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9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est" sheetId="1" state="visible" r:id="rId3"/>
    <sheet name="agents" sheetId="2" state="visible" r:id="rId4"/>
    <sheet name="agents_Lv60" sheetId="3" state="visible" r:id="rId5"/>
    <sheet name="agent calcration" sheetId="4" state="visible" r:id="rId6"/>
    <sheet name="skills" sheetId="5" state="visible" r:id="rId7"/>
    <sheet name="w-Engines" sheetId="6" state="visible" r:id="rId8"/>
    <sheet name="disc-driver" sheetId="7" state="visible" r:id="rId9"/>
    <sheet name="define" sheetId="8" state="visible" r:id="rId10"/>
    <sheet name="Sheet9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<sst xmlns="http://schemas.openxmlformats.org/spreadsheetml/2006/main" count="2006" uniqueCount="604">
  <si>
    <t xml:space="preserve">ATK</t>
  </si>
  <si>
    <t xml:space="preserve">Character</t>
  </si>
  <si>
    <t xml:space="preserve">W-Engine</t>
  </si>
  <si>
    <t xml:space="preserve">disc1</t>
  </si>
  <si>
    <t xml:space="preserve">disc2</t>
  </si>
  <si>
    <t xml:space="preserve">disc3</t>
  </si>
  <si>
    <t xml:space="preserve">disc4</t>
  </si>
  <si>
    <t xml:space="preserve">disc5</t>
  </si>
  <si>
    <t xml:space="preserve">disc6</t>
  </si>
  <si>
    <t xml:space="preserve">discTtl</t>
  </si>
  <si>
    <t xml:space="preserve">@1lv</t>
  </si>
  <si>
    <t xml:space="preserve">@1</t>
  </si>
  <si>
    <t xml:space="preserve">base</t>
  </si>
  <si>
    <t xml:space="preserve">inc</t>
  </si>
  <si>
    <t xml:space="preserve">implove</t>
  </si>
  <si>
    <t xml:space="preserve">step</t>
  </si>
  <si>
    <t xml:space="preserve">max</t>
  </si>
  <si>
    <t xml:space="preserve">Level</t>
  </si>
  <si>
    <t xml:space="preserve">raw</t>
  </si>
  <si>
    <t xml:space="preserve">rounddown</t>
  </si>
  <si>
    <t xml:space="preserve">inGame</t>
  </si>
  <si>
    <t xml:space="preserve">CRIT Rate</t>
  </si>
  <si>
    <t xml:space="preserve">CRIT Dmg</t>
  </si>
  <si>
    <t xml:space="preserve">ID</t>
  </si>
  <si>
    <t xml:space="preserve">Class</t>
  </si>
  <si>
    <t xml:space="preserve">Rank</t>
  </si>
  <si>
    <t xml:space="preserve">Attribute</t>
  </si>
  <si>
    <t xml:space="preserve">Name</t>
  </si>
  <si>
    <t xml:space="preserve">Stat</t>
  </si>
  <si>
    <t xml:space="preserve">Core Skill</t>
  </si>
  <si>
    <t xml:space="preserve">Primary</t>
  </si>
  <si>
    <t xml:space="preserve">Secondary</t>
  </si>
  <si>
    <t xml:space="preserve">EN</t>
  </si>
  <si>
    <t xml:space="preserve">JP</t>
  </si>
  <si>
    <t xml:space="preserve">HP</t>
  </si>
  <si>
    <t xml:space="preserve">DEF</t>
  </si>
  <si>
    <t xml:space="preserve">Impact</t>
  </si>
  <si>
    <t xml:space="preserve">CRIT</t>
  </si>
  <si>
    <t xml:space="preserve">Anomaly</t>
  </si>
  <si>
    <t xml:space="preserve">Penetrate</t>
  </si>
  <si>
    <t xml:space="preserve">EN Regen</t>
  </si>
  <si>
    <t xml:space="preserve">Odd</t>
  </si>
  <si>
    <t xml:space="preserve">Even</t>
  </si>
  <si>
    <t xml:space="preserve">Rate</t>
  </si>
  <si>
    <t xml:space="preserve">Dmg</t>
  </si>
  <si>
    <t xml:space="preserve">Buildup</t>
  </si>
  <si>
    <t xml:space="preserve">Proficiency</t>
  </si>
  <si>
    <t xml:space="preserve">Stun</t>
  </si>
  <si>
    <t xml:space="preserve">A</t>
  </si>
  <si>
    <t xml:space="preserve">Electric</t>
  </si>
  <si>
    <t xml:space="preserve">アンビー・デマラ</t>
  </si>
  <si>
    <t xml:space="preserve">Attack</t>
  </si>
  <si>
    <t xml:space="preserve">Physical</t>
  </si>
  <si>
    <t xml:space="preserve">ビリー・キッド</t>
  </si>
  <si>
    <t xml:space="preserve">Support</t>
  </si>
  <si>
    <t xml:space="preserve">Ether</t>
  </si>
  <si>
    <t xml:space="preserve">ニコ・デマラ</t>
  </si>
  <si>
    <t xml:space="preserve">S</t>
  </si>
  <si>
    <t xml:space="preserve">猫宮又奈</t>
  </si>
  <si>
    <t xml:space="preserve">Fire</t>
  </si>
  <si>
    <r>
      <rPr>
        <sz val="10"/>
        <rFont val="ＭＳ Ｐゴシック"/>
        <family val="2"/>
        <charset val="128"/>
      </rPr>
      <t xml:space="preserve">「</t>
    </r>
    <r>
      <rPr>
        <sz val="10"/>
        <rFont val="Arial"/>
        <family val="2"/>
        <charset val="128"/>
      </rPr>
      <t xml:space="preserve">11</t>
    </r>
    <r>
      <rPr>
        <sz val="10"/>
        <rFont val="ＭＳ Ｐゴシック"/>
        <family val="2"/>
        <charset val="128"/>
      </rPr>
      <t xml:space="preserve">号」</t>
    </r>
  </si>
  <si>
    <t xml:space="preserve">カリン・ウィクス</t>
  </si>
  <si>
    <t xml:space="preserve">アンドー・イワノフ</t>
  </si>
  <si>
    <t xml:space="preserve">Defense</t>
  </si>
  <si>
    <t xml:space="preserve">ベン・ビガー</t>
  </si>
  <si>
    <t xml:space="preserve">クレタ・ベロボーグ</t>
  </si>
  <si>
    <t xml:space="preserve">グレース・ハワード</t>
  </si>
  <si>
    <t xml:space="preserve">Ice</t>
  </si>
  <si>
    <t xml:space="preserve">フォン・ライカン</t>
  </si>
  <si>
    <t xml:space="preserve">エレン・ジョー</t>
  </si>
  <si>
    <t xml:space="preserve">アレクサンドリナ・セバスチャン</t>
  </si>
  <si>
    <t xml:space="preserve">pen-r</t>
  </si>
  <si>
    <t xml:space="preserve">atk</t>
  </si>
  <si>
    <t xml:space="preserve">朱鳶</t>
  </si>
  <si>
    <t xml:space="preserve">蒼角</t>
  </si>
  <si>
    <t xml:space="preserve">ルシアーナ・デ・モンテフィーノ</t>
  </si>
  <si>
    <t xml:space="preserve">パイパー・ウィール</t>
  </si>
  <si>
    <t xml:space="preserve">青衣</t>
  </si>
  <si>
    <t xml:space="preserve">ジェーン・ドゥ</t>
  </si>
  <si>
    <t xml:space="preserve">セス・ローウェル</t>
  </si>
  <si>
    <t xml:space="preserve">キング・シーザー</t>
  </si>
  <si>
    <t xml:space="preserve">バーニス・ホワイト</t>
  </si>
  <si>
    <t xml:space="preserve">月城柳</t>
  </si>
  <si>
    <t xml:space="preserve">ライト</t>
  </si>
  <si>
    <t xml:space="preserve">Frost</t>
  </si>
  <si>
    <t xml:space="preserve">星見雅</t>
  </si>
  <si>
    <t xml:space="preserve">浅羽悠真</t>
  </si>
  <si>
    <t xml:space="preserve">アストラ・ヤオ</t>
  </si>
  <si>
    <t xml:space="preserve">イヴリン・シュヴァリエ</t>
  </si>
  <si>
    <t xml:space="preserve">imp</t>
  </si>
  <si>
    <t xml:space="preserve">critR</t>
  </si>
  <si>
    <t xml:space="preserve">enReg</t>
  </si>
  <si>
    <t xml:space="preserve">critD</t>
  </si>
  <si>
    <t xml:space="preserve">anmB</t>
  </si>
  <si>
    <t xml:space="preserve">penP</t>
  </si>
  <si>
    <t xml:space="preserve">anmP</t>
  </si>
  <si>
    <t xml:space="preserve">Soldier 0 – Anby</t>
  </si>
  <si>
    <r>
      <rPr>
        <sz val="10"/>
        <rFont val="Arial"/>
        <family val="2"/>
        <charset val="128"/>
      </rPr>
      <t xml:space="preserve">0</t>
    </r>
    <r>
      <rPr>
        <sz val="10"/>
        <rFont val="ＭＳ Ｐゴシック"/>
        <family val="2"/>
        <charset val="128"/>
      </rPr>
      <t xml:space="preserve">号・アンビー</t>
    </r>
  </si>
  <si>
    <t xml:space="preserve">Pulchra Fellini</t>
  </si>
  <si>
    <t xml:space="preserve">プルクラ・フェリーニ</t>
  </si>
  <si>
    <t xml:space="preserve">Lv</t>
  </si>
  <si>
    <t xml:space="preserve">HP Inc</t>
  </si>
  <si>
    <t xml:space="preserve">ATK Inc</t>
  </si>
  <si>
    <t xml:space="preserve">DEF Inc</t>
  </si>
  <si>
    <t xml:space="preserve">Anm Buildup</t>
  </si>
  <si>
    <t xml:space="preserve">Anm Proficiency</t>
  </si>
  <si>
    <t xml:space="preserve">Group</t>
  </si>
  <si>
    <t xml:space="preserve">Lv1</t>
  </si>
  <si>
    <t xml:space="preserve">Lv2</t>
  </si>
  <si>
    <t xml:space="preserve">Lv3</t>
  </si>
  <si>
    <t xml:space="preserve">Lv4</t>
  </si>
  <si>
    <t xml:space="preserve">Lv5</t>
  </si>
  <si>
    <t xml:space="preserve">Lv6</t>
  </si>
  <si>
    <t xml:space="preserve">id</t>
  </si>
  <si>
    <t xml:space="preserve">CharID</t>
  </si>
  <si>
    <t xml:space="preserve">En</t>
  </si>
  <si>
    <t xml:space="preserve">Jp</t>
  </si>
  <si>
    <t xml:space="preserve">Combination</t>
  </si>
  <si>
    <t xml:space="preserve">Type</t>
  </si>
  <si>
    <t xml:space="preserve">Base</t>
  </si>
  <si>
    <t xml:space="preserve">Number</t>
  </si>
  <si>
    <t xml:space="preserve">Growth</t>
  </si>
  <si>
    <t xml:space="preserve">Element</t>
  </si>
  <si>
    <t xml:space="preserve">basic</t>
  </si>
  <si>
    <t xml:space="preserve">normal</t>
  </si>
  <si>
    <t xml:space="preserve">ボルトターボ</t>
  </si>
  <si>
    <t xml:space="preserve">slash</t>
  </si>
  <si>
    <t xml:space="preserve">derived</t>
  </si>
  <si>
    <t xml:space="preserve">落雷</t>
  </si>
  <si>
    <t xml:space="preserve">strike</t>
  </si>
  <si>
    <t xml:space="preserve">dodge</t>
  </si>
  <si>
    <t xml:space="preserve">dash</t>
  </si>
  <si>
    <t xml:space="preserve">電弧斬り</t>
  </si>
  <si>
    <t xml:space="preserve">counter</t>
  </si>
  <si>
    <t xml:space="preserve">迅雷</t>
  </si>
  <si>
    <t xml:space="preserve">assist</t>
  </si>
  <si>
    <t xml:space="preserve">quick</t>
  </si>
  <si>
    <t xml:space="preserve">雷呼</t>
  </si>
  <si>
    <t xml:space="preserve">follow</t>
  </si>
  <si>
    <t xml:space="preserve">スピニングサンダー</t>
  </si>
  <si>
    <t xml:space="preserve">special</t>
  </si>
  <si>
    <t xml:space="preserve">雷光斬り</t>
  </si>
  <si>
    <t xml:space="preserve">enhance</t>
  </si>
  <si>
    <t xml:space="preserve">蒼雷斬り</t>
  </si>
  <si>
    <t xml:space="preserve">chain</t>
  </si>
  <si>
    <t xml:space="preserve">ソレノイドエンジン</t>
  </si>
  <si>
    <t xml:space="preserve">ultimate</t>
  </si>
  <si>
    <t xml:space="preserve">オーバードライブエンジン</t>
  </si>
  <si>
    <t xml:space="preserve">出力全開</t>
  </si>
  <si>
    <t xml:space="preserve">pierce</t>
  </si>
  <si>
    <t xml:space="preserve">スターライトジャッジメント</t>
  </si>
  <si>
    <t xml:space="preserve">フェアな決闘</t>
  </si>
  <si>
    <t xml:space="preserve">スターライト・絆の力</t>
  </si>
  <si>
    <t xml:space="preserve">急所エイム</t>
  </si>
  <si>
    <t xml:space="preserve">大人しくしてろ！</t>
  </si>
  <si>
    <t xml:space="preserve">スイーパー・タイム</t>
  </si>
  <si>
    <t xml:space="preserve">スターライトグローリー</t>
  </si>
  <si>
    <t xml:space="preserve">スターライト・ここに輝く！</t>
  </si>
  <si>
    <t xml:space="preserve">邪兎の連打</t>
  </si>
  <si>
    <t xml:space="preserve">邪兎の連打（弾）</t>
  </si>
  <si>
    <r>
      <rPr>
        <sz val="10"/>
        <rFont val="ＭＳ Ｐゴシック"/>
        <family val="2"/>
        <charset val="128"/>
      </rPr>
      <t xml:space="preserve">思うがままに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弾</t>
    </r>
    <r>
      <rPr>
        <sz val="10"/>
        <rFont val="Arial"/>
        <family val="2"/>
        <charset val="128"/>
      </rPr>
      <t xml:space="preserve">)</t>
    </r>
  </si>
  <si>
    <t xml:space="preserve">開けてびっくり（前方）</t>
  </si>
  <si>
    <r>
      <rPr>
        <sz val="10"/>
        <rFont val="ＭＳ Ｐゴシック"/>
        <family val="2"/>
        <charset val="128"/>
      </rPr>
      <t xml:space="preserve">開けてびっくり（前方</t>
    </r>
    <r>
      <rPr>
        <sz val="10"/>
        <rFont val="Arial"/>
        <family val="2"/>
        <charset val="128"/>
      </rPr>
      <t xml:space="preserve">/</t>
    </r>
    <r>
      <rPr>
        <sz val="10"/>
        <rFont val="ＭＳ Ｐゴシック"/>
        <family val="2"/>
        <charset val="128"/>
      </rPr>
      <t xml:space="preserve">弾）</t>
    </r>
  </si>
  <si>
    <t xml:space="preserve">開けてびっくり（後方）</t>
  </si>
  <si>
    <t xml:space="preserve">牽制砲撃</t>
  </si>
  <si>
    <t xml:space="preserve">救急砲撃</t>
  </si>
  <si>
    <t xml:space="preserve">邪兎の出番！</t>
  </si>
  <si>
    <t xml:space="preserve">シュガーボム</t>
  </si>
  <si>
    <t xml:space="preserve">シュガーボムサンド</t>
  </si>
  <si>
    <t xml:space="preserve">高級エーテルボム</t>
  </si>
  <si>
    <t xml:space="preserve">特製エーテルグレネード</t>
  </si>
  <si>
    <t xml:space="preserve">風花</t>
  </si>
  <si>
    <t xml:space="preserve">charge</t>
  </si>
  <si>
    <t xml:space="preserve">霜月</t>
  </si>
  <si>
    <t xml:space="preserve">冬蜂</t>
  </si>
  <si>
    <t xml:space="preserve">寒雀</t>
  </si>
  <si>
    <t xml:space="preserve">花信風</t>
  </si>
  <si>
    <t xml:space="preserve">返り花</t>
  </si>
  <si>
    <t xml:space="preserve">深雪</t>
  </si>
  <si>
    <t xml:space="preserve">飛雪</t>
  </si>
  <si>
    <t xml:space="preserve">春来たる</t>
  </si>
  <si>
    <t xml:space="preserve">なごり雪</t>
  </si>
  <si>
    <t xml:space="preserve">猫の引っ掻き</t>
  </si>
  <si>
    <t xml:space="preserve">赤き刃</t>
  </si>
  <si>
    <t xml:space="preserve">どこを見てるの？</t>
  </si>
  <si>
    <t xml:space="preserve">ファントムクロー</t>
  </si>
  <si>
    <t xml:space="preserve">猫の手貸すぞ☆</t>
  </si>
  <si>
    <t xml:space="preserve">迅影</t>
  </si>
  <si>
    <t xml:space="preserve">奇襲</t>
  </si>
  <si>
    <t xml:space="preserve">めちゃコワ奇襲！</t>
  </si>
  <si>
    <t xml:space="preserve">クロースワイプ</t>
  </si>
  <si>
    <t xml:space="preserve">クロースマッシュ</t>
  </si>
  <si>
    <t xml:space="preserve">抜刀散火</t>
  </si>
  <si>
    <t xml:space="preserve">火力鎮圧</t>
  </si>
  <si>
    <t xml:space="preserve">熾火</t>
  </si>
  <si>
    <t xml:space="preserve">逆火</t>
  </si>
  <si>
    <t xml:space="preserve">火力支援</t>
  </si>
  <si>
    <t xml:space="preserve">再燃</t>
  </si>
  <si>
    <t xml:space="preserve">烈火</t>
  </si>
  <si>
    <t xml:space="preserve">燃え盛る烈火</t>
  </si>
  <si>
    <t xml:space="preserve">滾る烈火</t>
  </si>
  <si>
    <t xml:space="preserve">轟く烈火</t>
  </si>
  <si>
    <t xml:space="preserve">お掃除開始</t>
  </si>
  <si>
    <t xml:space="preserve">『断』</t>
  </si>
  <si>
    <t xml:space="preserve">『捨』</t>
  </si>
  <si>
    <t xml:space="preserve">応急処置</t>
  </si>
  <si>
    <t xml:space="preserve">テキパキお掃除</t>
  </si>
  <si>
    <t xml:space="preserve">強力清掃</t>
  </si>
  <si>
    <t xml:space="preserve">スカートの裾に注意</t>
  </si>
  <si>
    <t xml:space="preserve">ごめんなさい…</t>
  </si>
  <si>
    <t xml:space="preserve">も、申し訳ございません！</t>
  </si>
  <si>
    <t xml:space="preserve">熱血準備体操</t>
  </si>
  <si>
    <t xml:space="preserve">熱血準備体操（爆発状態）</t>
  </si>
  <si>
    <t xml:space="preserve">正面衝突</t>
  </si>
  <si>
    <t xml:space="preserve">拳骨応酬</t>
  </si>
  <si>
    <t xml:space="preserve">オーバーロード・ドリルブレイク（爆発状態）</t>
  </si>
  <si>
    <t xml:space="preserve">肩を並べて</t>
  </si>
  <si>
    <t xml:space="preserve">極限突進</t>
  </si>
  <si>
    <t xml:space="preserve">回れ、兄弟！</t>
  </si>
  <si>
    <t xml:space="preserve">バースト・ドリルブレイク（爆発状態）</t>
  </si>
  <si>
    <t xml:space="preserve">兄弟、天を衝け！</t>
  </si>
  <si>
    <t xml:space="preserve">回れ回れ！</t>
  </si>
  <si>
    <t xml:space="preserve">回れ！回れ！！回れ！！！</t>
  </si>
  <si>
    <t xml:space="preserve">帳尻合わせ</t>
  </si>
  <si>
    <t xml:space="preserve">経費で落とす</t>
  </si>
  <si>
    <t xml:space="preserve">精算</t>
  </si>
  <si>
    <t xml:space="preserve">共同取り立て</t>
  </si>
  <si>
    <t xml:space="preserve">債務不履行罰則</t>
  </si>
  <si>
    <t xml:space="preserve">債「拳」格付</t>
  </si>
  <si>
    <t xml:space="preserve">債「拳」弁砕</t>
  </si>
  <si>
    <r>
      <rPr>
        <sz val="10"/>
        <rFont val="ＭＳ Ｐゴシック"/>
        <family val="2"/>
        <charset val="128"/>
      </rPr>
      <t xml:space="preserve">債「拳」弁砕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ガード</t>
    </r>
    <r>
      <rPr>
        <sz val="10"/>
        <rFont val="Arial"/>
        <family val="2"/>
        <charset val="128"/>
      </rPr>
      <t xml:space="preserve">)</t>
    </r>
  </si>
  <si>
    <t xml:space="preserve">押印、決裁</t>
  </si>
  <si>
    <t xml:space="preserve">債「拳」、利息付き弁砕</t>
  </si>
  <si>
    <t xml:space="preserve">打ち砕いて、ぶちのめす</t>
  </si>
  <si>
    <r>
      <rPr>
        <sz val="10"/>
        <rFont val="ＭＳ Ｐゴシック"/>
        <family val="2"/>
        <charset val="128"/>
      </rPr>
      <t xml:space="preserve">打ち砕いて、ぶちのめす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熔炉昇温</t>
    </r>
    <r>
      <rPr>
        <sz val="10"/>
        <rFont val="Arial"/>
        <family val="2"/>
        <charset val="128"/>
      </rPr>
      <t xml:space="preserve">)</t>
    </r>
  </si>
  <si>
    <r>
      <rPr>
        <sz val="10"/>
        <rFont val="ＭＳ Ｐゴシック"/>
        <family val="2"/>
        <charset val="128"/>
      </rPr>
      <t xml:space="preserve">打ち砕いて、ぶちのめす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協力攻撃</t>
    </r>
    <r>
      <rPr>
        <sz val="10"/>
        <rFont val="Arial"/>
        <family val="2"/>
        <charset val="128"/>
      </rPr>
      <t xml:space="preserve">)</t>
    </r>
  </si>
  <si>
    <t xml:space="preserve">震えろ</t>
  </si>
  <si>
    <t xml:space="preserve">見くびるな！</t>
  </si>
  <si>
    <t xml:space="preserve">あたしがやる！</t>
  </si>
  <si>
    <t xml:space="preserve">鐘打</t>
  </si>
  <si>
    <t xml:space="preserve">爆破！ハンマータイム</t>
  </si>
  <si>
    <t xml:space="preserve">沸騰溶炉</t>
  </si>
  <si>
    <t xml:space="preserve">天崩・地裂</t>
  </si>
  <si>
    <t xml:space="preserve">地の底にぶちこんでやる！</t>
  </si>
  <si>
    <r>
      <rPr>
        <sz val="10"/>
        <rFont val="ＭＳ Ｐゴシック"/>
        <family val="2"/>
        <charset val="128"/>
      </rPr>
      <t xml:space="preserve">地の底にぶちこんでやる！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協力攻撃</t>
    </r>
    <r>
      <rPr>
        <sz val="10"/>
        <rFont val="Arial"/>
        <family val="2"/>
        <charset val="128"/>
      </rPr>
      <t xml:space="preserve">)</t>
    </r>
  </si>
  <si>
    <t xml:space="preserve">高圧ネイルガン</t>
  </si>
  <si>
    <r>
      <rPr>
        <sz val="10"/>
        <rFont val="ＭＳ Ｐゴシック"/>
        <family val="2"/>
        <charset val="128"/>
      </rPr>
      <t xml:space="preserve">高圧ネイルガン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ステップ射撃</t>
    </r>
    <r>
      <rPr>
        <sz val="10"/>
        <rFont val="Arial"/>
        <family val="2"/>
        <charset val="128"/>
      </rPr>
      <t xml:space="preserve">)</t>
    </r>
  </si>
  <si>
    <t xml:space="preserve">抜き打ち検査</t>
  </si>
  <si>
    <t xml:space="preserve">違反罰則</t>
  </si>
  <si>
    <t xml:space="preserve">ヒヤリハット対策</t>
  </si>
  <si>
    <t xml:space="preserve">反撃の電気針</t>
  </si>
  <si>
    <t xml:space="preserve">障害撤去</t>
  </si>
  <si>
    <t xml:space="preserve">規格外障害撤去</t>
  </si>
  <si>
    <t xml:space="preserve">共同施工</t>
  </si>
  <si>
    <t xml:space="preserve">発破作業中立入禁止</t>
  </si>
  <si>
    <t xml:space="preserve">月下遊猟</t>
  </si>
  <si>
    <r>
      <rPr>
        <sz val="10"/>
        <rFont val="ＭＳ Ｐゴシック"/>
        <family val="2"/>
        <charset val="128"/>
      </rPr>
      <t xml:space="preserve">月下遊猟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チャージ</t>
    </r>
    <r>
      <rPr>
        <sz val="10"/>
        <rFont val="Arial"/>
        <family val="2"/>
        <charset val="128"/>
      </rPr>
      <t xml:space="preserve">)</t>
    </r>
  </si>
  <si>
    <t xml:space="preserve">清潔を保つ</t>
  </si>
  <si>
    <t xml:space="preserve">礼儀の躾</t>
  </si>
  <si>
    <t xml:space="preserve">群狼</t>
  </si>
  <si>
    <t xml:space="preserve">復讐の反攻</t>
  </si>
  <si>
    <t xml:space="preserve">狩人の刻</t>
  </si>
  <si>
    <r>
      <rPr>
        <sz val="10"/>
        <rFont val="ＭＳ Ｐゴシック"/>
        <family val="2"/>
        <charset val="128"/>
      </rPr>
      <t xml:space="preserve">狩人の刻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チャージ</t>
    </r>
    <r>
      <rPr>
        <sz val="10"/>
        <rFont val="Arial"/>
        <family val="2"/>
        <charset val="128"/>
      </rPr>
      <t xml:space="preserve">)</t>
    </r>
  </si>
  <si>
    <t xml:space="preserve">人狼の刻</t>
  </si>
  <si>
    <r>
      <rPr>
        <sz val="10"/>
        <rFont val="ＭＳ Ｐゴシック"/>
        <family val="2"/>
        <charset val="128"/>
      </rPr>
      <t xml:space="preserve">人狼の刻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チャージ</t>
    </r>
    <r>
      <rPr>
        <sz val="10"/>
        <rFont val="Arial"/>
        <family val="2"/>
        <charset val="128"/>
      </rPr>
      <t xml:space="preserve">)</t>
    </r>
  </si>
  <si>
    <t xml:space="preserve">御意に</t>
  </si>
  <si>
    <t xml:space="preserve">使命を果たす</t>
  </si>
  <si>
    <t xml:space="preserve">鋭牙剪定法</t>
  </si>
  <si>
    <t xml:space="preserve">急凍剪定法</t>
  </si>
  <si>
    <t xml:space="preserve">荒波</t>
  </si>
  <si>
    <t xml:space="preserve">寒潮</t>
  </si>
  <si>
    <t xml:space="preserve">薄氷の急襲</t>
  </si>
  <si>
    <r>
      <rPr>
        <sz val="10"/>
        <rFont val="ＭＳ Ｐゴシック"/>
        <family val="2"/>
        <charset val="128"/>
      </rPr>
      <t xml:space="preserve">薄氷の急襲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チャージ</t>
    </r>
    <r>
      <rPr>
        <sz val="10"/>
        <rFont val="Arial"/>
        <family val="2"/>
        <charset val="128"/>
      </rPr>
      <t xml:space="preserve">)</t>
    </r>
  </si>
  <si>
    <t xml:space="preserve">暗礁</t>
  </si>
  <si>
    <t xml:space="preserve">護衛シャーク</t>
  </si>
  <si>
    <t xml:space="preserve">巡洋シャーク</t>
  </si>
  <si>
    <t xml:space="preserve">尾びれビンタ</t>
  </si>
  <si>
    <t xml:space="preserve">一掃</t>
  </si>
  <si>
    <t xml:space="preserve">シャーク・トルネード</t>
  </si>
  <si>
    <t xml:space="preserve">雪崩</t>
  </si>
  <si>
    <t xml:space="preserve">終わりなき冬の狂宴</t>
  </si>
  <si>
    <t xml:space="preserve">アホを痛めつけろ</t>
  </si>
  <si>
    <t xml:space="preserve">マヌケを追い払え</t>
  </si>
  <si>
    <t xml:space="preserve">いきなりビックリ</t>
  </si>
  <si>
    <t xml:space="preserve">ボンプ回生</t>
  </si>
  <si>
    <t xml:space="preserve">二拍子のアルマンド</t>
  </si>
  <si>
    <t xml:space="preserve">四拍子のガヴォット</t>
  </si>
  <si>
    <t xml:space="preserve">おバカをぶっ叩け</t>
  </si>
  <si>
    <t xml:space="preserve">おバカ消失魔法</t>
  </si>
  <si>
    <t xml:space="preserve">侍者の心得</t>
  </si>
  <si>
    <t xml:space="preserve">女王の侍従たち</t>
  </si>
  <si>
    <t xml:space="preserve">class</t>
  </si>
  <si>
    <t xml:space="preserve">rank</t>
  </si>
  <si>
    <t xml:space="preserve">name</t>
  </si>
  <si>
    <t xml:space="preserve">name-jp</t>
  </si>
  <si>
    <t xml:space="preserve">atkMax</t>
  </si>
  <si>
    <t xml:space="preserve">advSt</t>
  </si>
  <si>
    <t xml:space="preserve">advVal</t>
  </si>
  <si>
    <t xml:space="preserve">passive-buff</t>
  </si>
  <si>
    <t xml:space="preserve">grade1</t>
  </si>
  <si>
    <t xml:space="preserve">grade2</t>
  </si>
  <si>
    <t xml:space="preserve">grade3</t>
  </si>
  <si>
    <t xml:space="preserve">grade4</t>
  </si>
  <si>
    <t xml:space="preserve">grade5</t>
  </si>
  <si>
    <t xml:space="preserve">skill-buff-primary</t>
  </si>
  <si>
    <t xml:space="preserve">skill-buff-secondary</t>
  </si>
  <si>
    <t xml:space="preserve">buff-type</t>
  </si>
  <si>
    <t xml:space="preserve">description</t>
  </si>
  <si>
    <t xml:space="preserve">Demara Battery Mark II</t>
  </si>
  <si>
    <t xml:space="preserve">デマラ式電池Ⅱ型</t>
  </si>
  <si>
    <t xml:space="preserve">imp-p</t>
  </si>
  <si>
    <t xml:space="preserve">bonus-ele</t>
  </si>
  <si>
    <r>
      <rPr>
        <sz val="10"/>
        <rFont val="Segoe UI"/>
        <family val="2"/>
        <charset val="128"/>
      </rPr>
      <t xml:space="preserve">電気属性ダメージ</t>
    </r>
    <r>
      <rPr>
        <sz val="10"/>
        <rFont val="Times New Roman"/>
        <family val="1"/>
        <charset val="128"/>
      </rPr>
      <t xml:space="preserve">+15/17.5/20/22/24%</t>
    </r>
    <r>
      <rPr>
        <sz val="10"/>
        <rFont val="Segoe UI"/>
        <family val="2"/>
        <charset val="128"/>
      </rPr>
      <t xml:space="preserve">。『回避反撃』または『支援攻撃』が敵に命中した時、装備者のエネルギー獲得効率</t>
    </r>
    <r>
      <rPr>
        <sz val="10"/>
        <rFont val="Times New Roman"/>
        <family val="1"/>
        <charset val="128"/>
      </rPr>
      <t xml:space="preserve">+18/20.5/23/25/27.5%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</t>
    </r>
  </si>
  <si>
    <t xml:space="preserve">B</t>
  </si>
  <si>
    <t xml:space="preserve">[Lunar] Pleniluna</t>
  </si>
  <si>
    <t xml:space="preserve">「月相」‐望</t>
  </si>
  <si>
    <t xml:space="preserve">atk-p</t>
  </si>
  <si>
    <r>
      <rPr>
        <sz val="10"/>
        <rFont val="Segoe UI"/>
        <family val="2"/>
        <charset val="128"/>
      </rPr>
      <t xml:space="preserve">『通常攻撃』、『ダッシュ攻撃』、『回避反撃』の与ダメージ</t>
    </r>
    <r>
      <rPr>
        <sz val="10"/>
        <rFont val="Times New Roman"/>
        <family val="1"/>
        <charset val="128"/>
      </rPr>
      <t xml:space="preserve">+12/14/16/18/20%</t>
    </r>
    <r>
      <rPr>
        <sz val="10"/>
        <rFont val="Segoe UI"/>
        <family val="2"/>
        <charset val="128"/>
      </rPr>
      <t xml:space="preserve">。</t>
    </r>
  </si>
  <si>
    <t xml:space="preserve">[Lunar] Decresent</t>
  </si>
  <si>
    <t xml:space="preserve">「月相」‐晦</t>
  </si>
  <si>
    <r>
      <rPr>
        <sz val="10"/>
        <rFont val="Segoe UI"/>
        <family val="2"/>
        <charset val="128"/>
      </rPr>
      <t xml:space="preserve">『連携スキル』または『終結スキル』を発動すると、装備者の与ダメージ</t>
    </r>
    <r>
      <rPr>
        <sz val="10"/>
        <rFont val="Times New Roman"/>
        <family val="1"/>
        <charset val="128"/>
      </rPr>
      <t xml:space="preserve">+15/17.5/20/22.5/25%</t>
    </r>
    <r>
      <rPr>
        <sz val="10"/>
        <rFont val="Segoe UI"/>
        <family val="2"/>
        <charset val="128"/>
      </rPr>
      <t xml:space="preserve">。継続時間</t>
    </r>
    <r>
      <rPr>
        <sz val="10"/>
        <rFont val="Times New Roman"/>
        <family val="1"/>
        <charset val="128"/>
      </rPr>
      <t xml:space="preserve">6</t>
    </r>
    <r>
      <rPr>
        <sz val="10"/>
        <rFont val="Segoe UI"/>
        <family val="2"/>
        <charset val="128"/>
      </rPr>
      <t xml:space="preserve">秒。</t>
    </r>
  </si>
  <si>
    <t xml:space="preserve">[Lunar] Noviluna</t>
  </si>
  <si>
    <t xml:space="preserve">「月相」‐朔</t>
  </si>
  <si>
    <t xml:space="preserve">crit-r</t>
  </si>
  <si>
    <r>
      <rPr>
        <sz val="10"/>
        <rFont val="Segoe UI"/>
        <family val="2"/>
        <charset val="128"/>
      </rPr>
      <t xml:space="preserve">『強化特殊スキル』を発動すると、装備者のエネルギー</t>
    </r>
    <r>
      <rPr>
        <sz val="10"/>
        <rFont val="Times New Roman"/>
        <family val="1"/>
        <charset val="128"/>
      </rPr>
      <t xml:space="preserve">3/3.5/4/4.5/5Pt</t>
    </r>
    <r>
      <rPr>
        <sz val="10"/>
        <rFont val="Segoe UI"/>
        <family val="2"/>
        <charset val="128"/>
      </rPr>
      <t xml:space="preserve">回復する、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</si>
  <si>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[Reverb] Mark I</t>
  </si>
  <si>
    <t xml:space="preserve">「残響」‐Ⅰ型</t>
  </si>
  <si>
    <r>
      <rPr>
        <sz val="10"/>
        <rFont val="Segoe UI"/>
        <family val="2"/>
        <charset val="128"/>
      </rPr>
      <t xml:space="preserve">『強化特殊スキル』を発動すると、チーム全体の衝撃力</t>
    </r>
    <r>
      <rPr>
        <sz val="10"/>
        <rFont val="Times New Roman"/>
        <family val="1"/>
        <charset val="128"/>
      </rPr>
      <t xml:space="preserve">+8/9/10/11/12%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回のみ発動可能。同じパッシブ効果は重ね掛け不可。</t>
    </r>
  </si>
  <si>
    <t xml:space="preserve">[Reverb] Mark II</t>
  </si>
  <si>
    <t xml:space="preserve">「残響」‐Ⅱ型</t>
  </si>
  <si>
    <t xml:space="preserve">en-reg</t>
  </si>
  <si>
    <r>
      <rPr>
        <sz val="10"/>
        <rFont val="Segoe UI"/>
        <family val="2"/>
        <charset val="128"/>
      </rPr>
      <t xml:space="preserve">『強化特殊スキル』または『連携スキル』を発動すると、チーム全体の異常掌握と異常マスタリー</t>
    </r>
    <r>
      <rPr>
        <sz val="10"/>
        <rFont val="Times New Roman"/>
        <family val="1"/>
        <charset val="128"/>
      </rPr>
      <t xml:space="preserve">+10/12/13/15/16Pt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回のみ発動可能。同じパッシブ効果は重ね掛け不可。</t>
    </r>
  </si>
  <si>
    <t xml:space="preserve">[Reverb] Mark III</t>
  </si>
  <si>
    <t xml:space="preserve">「残響」‐Ⅲ型</t>
  </si>
  <si>
    <t xml:space="preserve">hp-p</t>
  </si>
  <si>
    <r>
      <rPr>
        <sz val="10"/>
        <rFont val="Segoe UI"/>
        <family val="2"/>
        <charset val="128"/>
      </rPr>
      <t xml:space="preserve">『連携スキル』または『終結スキル』を発動すると、チーム全体の攻撃力</t>
    </r>
    <r>
      <rPr>
        <sz val="10"/>
        <rFont val="Times New Roman"/>
        <family val="1"/>
        <charset val="128"/>
      </rPr>
      <t xml:space="preserve">+8/9/10/11/12%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回のみ発動可能。同じパッシブ効果は重ね掛け不可。</t>
    </r>
  </si>
  <si>
    <t xml:space="preserve">[Vortex] Revolver</t>
  </si>
  <si>
    <t xml:space="preserve">「激流」‐銃型</t>
  </si>
  <si>
    <r>
      <rPr>
        <sz val="10"/>
        <rFont val="Segoe UI"/>
        <family val="2"/>
        <charset val="128"/>
      </rPr>
      <t xml:space="preserve">『強化特殊スキル』の与えるブレイク値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。</t>
    </r>
  </si>
  <si>
    <t xml:space="preserve">[Vortex] Arrow</t>
  </si>
  <si>
    <t xml:space="preserve">「激流」‐矢型</t>
  </si>
  <si>
    <r>
      <rPr>
        <sz val="10"/>
        <rFont val="Segoe UI"/>
        <family val="2"/>
        <charset val="128"/>
      </rPr>
      <t xml:space="preserve">攻撃が敵に命中すると、装備者がメインターゲットに与えるブレイク値</t>
    </r>
    <r>
      <rPr>
        <sz val="10"/>
        <rFont val="Times New Roman"/>
        <family val="1"/>
        <charset val="128"/>
      </rPr>
      <t xml:space="preserve">+8/9/10/11/12%</t>
    </r>
    <r>
      <rPr>
        <sz val="10"/>
        <rFont val="Segoe UI"/>
        <family val="2"/>
        <charset val="128"/>
      </rPr>
      <t xml:space="preserve">。</t>
    </r>
  </si>
  <si>
    <t xml:space="preserve">[Vortex] Hatchet</t>
  </si>
  <si>
    <t xml:space="preserve">「激流」‐斧型</t>
  </si>
  <si>
    <r>
      <rPr>
        <sz val="10"/>
        <rFont val="Segoe UI"/>
        <family val="2"/>
        <charset val="128"/>
      </rPr>
      <t xml:space="preserve">接敵状態突入時、または出場した時、装備者の衝撃力</t>
    </r>
    <r>
      <rPr>
        <sz val="10"/>
        <rFont val="Times New Roman"/>
        <family val="1"/>
        <charset val="128"/>
      </rPr>
      <t xml:space="preserve">+9/10/11/12/13%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</si>
  <si>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[Magnetic Storm] Alpha</t>
  </si>
  <si>
    <t xml:space="preserve">「磁気嵐」‐壱式</t>
  </si>
  <si>
    <r>
      <rPr>
        <sz val="10"/>
        <rFont val="Segoe UI"/>
        <family val="2"/>
        <charset val="128"/>
      </rPr>
      <t xml:space="preserve">状態異常蓄積値を蓄積させると、装備者の異常掌握</t>
    </r>
    <r>
      <rPr>
        <sz val="10"/>
        <rFont val="Times New Roman"/>
        <family val="1"/>
        <charset val="128"/>
      </rPr>
      <t xml:space="preserve">+25/28/32/36/40Pt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</si>
  <si>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[Magnetic Storm] Bravo</t>
  </si>
  <si>
    <t xml:space="preserve">「磁気嵐」‐弐式</t>
  </si>
  <si>
    <t xml:space="preserve">anm-p</t>
  </si>
  <si>
    <r>
      <rPr>
        <sz val="10"/>
        <rFont val="Segoe UI"/>
        <family val="2"/>
        <charset val="128"/>
      </rPr>
      <t xml:space="preserve">状態異常蓄積値を蓄積させると、装備者の異常マスタリー</t>
    </r>
    <r>
      <rPr>
        <sz val="10"/>
        <rFont val="Times New Roman"/>
        <family val="1"/>
        <charset val="128"/>
      </rPr>
      <t xml:space="preserve">+25/28/32/36/40Pt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</si>
  <si>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[Magnetic Storm] Charlie</t>
  </si>
  <si>
    <t xml:space="preserve">「磁気嵐」‐参式</t>
  </si>
  <si>
    <r>
      <rPr>
        <sz val="10"/>
        <rFont val="Segoe UI"/>
        <family val="2"/>
        <charset val="128"/>
      </rPr>
      <t xml:space="preserve">任意のメンバーが敵を状態異常にした時、装備者のエネルギーが</t>
    </r>
    <r>
      <rPr>
        <sz val="10"/>
        <rFont val="Times New Roman"/>
        <family val="1"/>
        <charset val="128"/>
      </rPr>
      <t xml:space="preserve">3.5/4/4.5/5/5.5Pt</t>
    </r>
    <r>
      <rPr>
        <sz val="10"/>
        <rFont val="Segoe UI"/>
        <family val="2"/>
        <charset val="128"/>
      </rPr>
      <t xml:space="preserve">回復する、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</si>
  <si>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[Identity] Base</t>
  </si>
  <si>
    <t xml:space="preserve">「恒等式」‐本格</t>
  </si>
  <si>
    <t xml:space="preserve">def-p</t>
  </si>
  <si>
    <r>
      <rPr>
        <sz val="10"/>
        <rFont val="Segoe UI"/>
        <family val="2"/>
        <charset val="128"/>
      </rPr>
      <t xml:space="preserve">敵の攻撃を受けた時、装備者の防御力</t>
    </r>
    <r>
      <rPr>
        <sz val="10"/>
        <rFont val="Times New Roman"/>
        <family val="1"/>
        <charset val="128"/>
      </rPr>
      <t xml:space="preserve">+20/23/26/29/32%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</t>
    </r>
  </si>
  <si>
    <t xml:space="preserve">[Identity] Inflection</t>
  </si>
  <si>
    <t xml:space="preserve">「恒等式」‐変格</t>
  </si>
  <si>
    <r>
      <rPr>
        <sz val="10"/>
        <rFont val="Segoe UI"/>
        <family val="2"/>
        <charset val="128"/>
      </rPr>
      <t xml:space="preserve">敵の攻撃を受けた時、攻撃を仕掛けた敵の与ダメージ</t>
    </r>
    <r>
      <rPr>
        <sz val="10"/>
        <rFont val="Times New Roman"/>
        <family val="1"/>
        <charset val="128"/>
      </rPr>
      <t xml:space="preserve">-6/7/8/9/10%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</t>
    </r>
  </si>
  <si>
    <t xml:space="preserve">Street Superstar</t>
  </si>
  <si>
    <t xml:space="preserve">ストリートスター</t>
  </si>
  <si>
    <r>
      <rPr>
        <sz val="10"/>
        <rFont val="Segoe UI"/>
        <family val="2"/>
        <charset val="128"/>
      </rPr>
      <t xml:space="preserve">任意のメンバーが『連携スキル』を発動する度に、装備者にパワーを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重与える、最大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重まで重ね掛け可能。『終結スキル』を発動した時、すべてのパワーを消費し、パワー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重につき、スキルの与ダメージ</t>
    </r>
    <r>
      <rPr>
        <sz val="10"/>
        <rFont val="Times New Roman"/>
        <family val="1"/>
        <charset val="128"/>
      </rPr>
      <t xml:space="preserve">+15/17.2/19.5/21.7/24%</t>
    </r>
    <r>
      <rPr>
        <sz val="10"/>
        <rFont val="Segoe UI"/>
        <family val="2"/>
        <charset val="128"/>
      </rPr>
      <t xml:space="preserve">。</t>
    </r>
  </si>
  <si>
    <t xml:space="preserve">Slice of Time</t>
  </si>
  <si>
    <t xml:space="preserve">歳月の薄片</t>
  </si>
  <si>
    <r>
      <rPr>
        <sz val="10"/>
        <rFont val="Segoe UI"/>
        <family val="2"/>
        <charset val="128"/>
      </rPr>
      <t xml:space="preserve">任意のメンバーが『回避反撃』</t>
    </r>
    <r>
      <rPr>
        <sz val="10"/>
        <rFont val="Times New Roman"/>
        <family val="1"/>
        <charset val="128"/>
      </rPr>
      <t xml:space="preserve">/</t>
    </r>
    <r>
      <rPr>
        <sz val="10"/>
        <rFont val="Segoe UI"/>
        <family val="2"/>
        <charset val="128"/>
      </rPr>
      <t xml:space="preserve">『強化特殊スキル』</t>
    </r>
    <r>
      <rPr>
        <sz val="10"/>
        <rFont val="Times New Roman"/>
        <family val="1"/>
        <charset val="128"/>
      </rPr>
      <t xml:space="preserve">/</t>
    </r>
    <r>
      <rPr>
        <sz val="10"/>
        <rFont val="Segoe UI"/>
        <family val="2"/>
        <charset val="128"/>
      </rPr>
      <t xml:space="preserve">『支援攻撃』</t>
    </r>
    <r>
      <rPr>
        <sz val="10"/>
        <rFont val="Times New Roman"/>
        <family val="1"/>
        <charset val="128"/>
      </rPr>
      <t xml:space="preserve">/</t>
    </r>
    <r>
      <rPr>
        <sz val="10"/>
        <rFont val="Segoe UI"/>
        <family val="2"/>
        <charset val="128"/>
      </rPr>
      <t xml:space="preserve">『連携スキル』を発動した時、追加でデシベル値を</t>
    </r>
    <r>
      <rPr>
        <sz val="10"/>
        <rFont val="Times New Roman"/>
        <family val="1"/>
        <charset val="128"/>
      </rPr>
      <t xml:space="preserve">20/23/26/29/32/25/28.5/32/35.5/40/30/34.5/39/43.5/48/35/40/45/50/55Pt</t>
    </r>
    <r>
      <rPr>
        <sz val="10"/>
        <rFont val="Segoe UI"/>
        <family val="2"/>
        <charset val="128"/>
      </rPr>
      <t xml:space="preserve">獲得し、装備者のエネルギーが</t>
    </r>
    <r>
      <rPr>
        <sz val="10"/>
        <rFont val="Times New Roman"/>
        <family val="1"/>
        <charset val="128"/>
      </rPr>
      <t xml:space="preserve">0.7/0.8/0.9/1/1.1Pt</t>
    </r>
    <r>
      <rPr>
        <sz val="10"/>
        <rFont val="Segoe UI"/>
        <family val="2"/>
        <charset val="128"/>
      </rPr>
      <t xml:space="preserve">回復する、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回のみ発動可能。バフ効果のクールタイムはスキルごとに計算される。同じパッシブ効果は重ね掛け不可。</t>
    </r>
  </si>
  <si>
    <t xml:space="preserve">Rainforest Gourmet</t>
  </si>
  <si>
    <t xml:space="preserve">密林の食いしん坊</t>
  </si>
  <si>
    <r>
      <rPr>
        <sz val="10"/>
        <rFont val="Segoe UI"/>
        <family val="2"/>
        <charset val="128"/>
      </rPr>
      <t xml:space="preserve">エネルギー値を</t>
    </r>
    <r>
      <rPr>
        <sz val="10"/>
        <rFont val="Times New Roman"/>
        <family val="1"/>
        <charset val="128"/>
      </rPr>
      <t xml:space="preserve">10Pt</t>
    </r>
    <r>
      <rPr>
        <sz val="10"/>
        <rFont val="Segoe UI"/>
        <family val="2"/>
        <charset val="128"/>
      </rPr>
      <t xml:space="preserve">消費するたびに、バフ効果を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重獲得する。バフ効果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重につき、装備者の攻撃力</t>
    </r>
    <r>
      <rPr>
        <sz val="10"/>
        <rFont val="Times New Roman"/>
        <family val="1"/>
        <charset val="128"/>
      </rPr>
      <t xml:space="preserve">+2.5/2.8/3.2/3.6/4%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秒。継続時間は重ごとに独立してカウントされる。</t>
    </r>
  </si>
  <si>
    <t xml:space="preserve">Starlight Engine</t>
  </si>
  <si>
    <t xml:space="preserve">スターライトエンジン</t>
  </si>
  <si>
    <r>
      <rPr>
        <sz val="10"/>
        <rFont val="Segoe UI"/>
        <family val="2"/>
        <charset val="128"/>
      </rPr>
      <t xml:space="preserve">『回避反撃』または『クイック支援』を発動した時、装備者の攻撃力</t>
    </r>
    <r>
      <rPr>
        <sz val="10"/>
        <rFont val="Times New Roman"/>
        <family val="1"/>
        <charset val="128"/>
      </rPr>
      <t xml:space="preserve">+12/13.8/15.6/17.4/19.2%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</t>
    </r>
  </si>
  <si>
    <t xml:space="preserve">Steam Oven</t>
  </si>
  <si>
    <t xml:space="preserve">まな板の鯉</t>
  </si>
  <si>
    <r>
      <rPr>
        <sz val="10"/>
        <rFont val="Segoe UI"/>
        <family val="2"/>
        <charset val="128"/>
      </rPr>
      <t xml:space="preserve">エネルギー値</t>
    </r>
    <r>
      <rPr>
        <sz val="10"/>
        <rFont val="Times New Roman"/>
        <family val="1"/>
        <charset val="128"/>
      </rPr>
      <t xml:space="preserve">10Pt</t>
    </r>
    <r>
      <rPr>
        <sz val="10"/>
        <rFont val="Segoe UI"/>
        <family val="2"/>
        <charset val="128"/>
      </rPr>
      <t xml:space="preserve">につき、装備者の衝撃力</t>
    </r>
    <r>
      <rPr>
        <sz val="10"/>
        <rFont val="Times New Roman"/>
        <family val="1"/>
        <charset val="128"/>
      </rPr>
      <t xml:space="preserve">+2/2.3/2.6/2.9/3.2%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重まで重ね掛け可能。エネルギーが消費された後でも、効果が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秒持続する。継続時間は重ごとに独立してカウントされる。</t>
    </r>
  </si>
  <si>
    <t xml:space="preserve">Precious Fossilized Core</t>
  </si>
  <si>
    <t xml:space="preserve">貴重な化石コア</t>
  </si>
  <si>
    <r>
      <rPr>
        <sz val="10"/>
        <rFont val="Segoe UI"/>
        <family val="2"/>
        <charset val="128"/>
      </rPr>
      <t xml:space="preserve">ターゲットの</t>
    </r>
    <r>
      <rPr>
        <sz val="10"/>
        <rFont val="Times New Roman"/>
        <family val="1"/>
        <charset val="128"/>
      </rPr>
      <t xml:space="preserve">HP</t>
    </r>
    <r>
      <rPr>
        <sz val="10"/>
        <rFont val="Segoe UI"/>
        <family val="2"/>
        <charset val="128"/>
      </rPr>
      <t xml:space="preserve">が</t>
    </r>
    <r>
      <rPr>
        <sz val="10"/>
        <rFont val="Times New Roman"/>
        <family val="1"/>
        <charset val="128"/>
      </rPr>
      <t xml:space="preserve">50%</t>
    </r>
    <r>
      <rPr>
        <sz val="10"/>
        <rFont val="Segoe UI"/>
        <family val="2"/>
        <charset val="128"/>
      </rPr>
      <t xml:space="preserve">以上の時、装備者の与えるブレイク値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。ターゲットの</t>
    </r>
    <r>
      <rPr>
        <sz val="10"/>
        <rFont val="Times New Roman"/>
        <family val="1"/>
        <charset val="128"/>
      </rPr>
      <t xml:space="preserve">HP</t>
    </r>
    <r>
      <rPr>
        <sz val="10"/>
        <rFont val="Segoe UI"/>
        <family val="2"/>
        <charset val="128"/>
      </rPr>
      <t xml:space="preserve">が</t>
    </r>
    <r>
      <rPr>
        <sz val="10"/>
        <rFont val="Times New Roman"/>
        <family val="1"/>
        <charset val="128"/>
      </rPr>
      <t xml:space="preserve">75%</t>
    </r>
    <r>
      <rPr>
        <sz val="10"/>
        <rFont val="Segoe UI"/>
        <family val="2"/>
        <charset val="128"/>
      </rPr>
      <t xml:space="preserve">以上の時、この効果が追加で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。</t>
    </r>
  </si>
  <si>
    <t xml:space="preserve">Original Transmorpher</t>
  </si>
  <si>
    <t xml:space="preserve">正式版変身装置</t>
  </si>
  <si>
    <r>
      <rPr>
        <sz val="10"/>
        <rFont val="Times New Roman"/>
        <family val="1"/>
        <charset val="128"/>
      </rPr>
      <t xml:space="preserve">HP</t>
    </r>
    <r>
      <rPr>
        <sz val="10"/>
        <rFont val="Segoe UI"/>
        <family val="2"/>
        <charset val="128"/>
      </rPr>
      <t xml:space="preserve">上限</t>
    </r>
    <r>
      <rPr>
        <sz val="10"/>
        <rFont val="Times New Roman"/>
        <family val="1"/>
        <charset val="128"/>
      </rPr>
      <t xml:space="preserve">+8/9/10/11/12.5%</t>
    </r>
    <r>
      <rPr>
        <sz val="10"/>
        <rFont val="Segoe UI"/>
        <family val="2"/>
        <charset val="128"/>
      </rPr>
      <t xml:space="preserve">。敵の攻撃を受けた時、装備者の衝撃力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</t>
    </r>
  </si>
  <si>
    <t xml:space="preserve">Weeping Gemini</t>
  </si>
  <si>
    <t xml:space="preserve">双生の涙</t>
  </si>
  <si>
    <r>
      <rPr>
        <sz val="10"/>
        <rFont val="Segoe UI"/>
        <family val="2"/>
        <charset val="128"/>
      </rPr>
      <t xml:space="preserve">任意のメンバーが敵を状態異常にした時、装備者にバフ効果を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重与える。バフ効果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重につき、装備者の異常マスタリー</t>
    </r>
    <r>
      <rPr>
        <sz val="10"/>
        <rFont val="Times New Roman"/>
        <family val="1"/>
        <charset val="128"/>
      </rPr>
      <t xml:space="preserve">+30/34/38/42/48Pt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4</t>
    </r>
    <r>
      <rPr>
        <sz val="10"/>
        <rFont val="Segoe UI"/>
        <family val="2"/>
        <charset val="128"/>
      </rPr>
      <t xml:space="preserve">重まで重ね掛け可能。ターゲットがブレイク状態から復帰する、または死亡した時、バフ効果が終了する。継続時間は重ごとに独立してカウントされる。</t>
    </r>
  </si>
  <si>
    <t xml:space="preserve">Electro-Lip Gloss</t>
  </si>
  <si>
    <t xml:space="preserve">電撃リップグロス</t>
  </si>
  <si>
    <r>
      <rPr>
        <sz val="10"/>
        <rFont val="Segoe UI"/>
        <family val="2"/>
        <charset val="128"/>
      </rPr>
      <t xml:space="preserve">フィールド上に状態異常の敵がいる時、装備者の攻撃力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、ターゲットに与えるダメージが追加で</t>
    </r>
    <r>
      <rPr>
        <sz val="10"/>
        <rFont val="Times New Roman"/>
        <family val="1"/>
        <charset val="128"/>
      </rPr>
      <t xml:space="preserve">+15/17.5/20/22.5/25%</t>
    </r>
    <r>
      <rPr>
        <sz val="10"/>
        <rFont val="Segoe UI"/>
        <family val="2"/>
        <charset val="128"/>
      </rPr>
      <t xml:space="preserve">。</t>
    </r>
  </si>
  <si>
    <t xml:space="preserve">Bunny Band</t>
  </si>
  <si>
    <t xml:space="preserve">ラビットチャージャー</t>
  </si>
  <si>
    <r>
      <rPr>
        <sz val="10"/>
        <rFont val="Times New Roman"/>
        <family val="1"/>
        <charset val="128"/>
      </rPr>
      <t xml:space="preserve">HP</t>
    </r>
    <r>
      <rPr>
        <sz val="10"/>
        <rFont val="Segoe UI"/>
        <family val="2"/>
        <charset val="128"/>
      </rPr>
      <t xml:space="preserve">上限</t>
    </r>
    <r>
      <rPr>
        <sz val="10"/>
        <rFont val="Times New Roman"/>
        <family val="1"/>
        <charset val="128"/>
      </rPr>
      <t xml:space="preserve">+8/9.2/10.4/11.6/12.8%</t>
    </r>
    <r>
      <rPr>
        <sz val="10"/>
        <rFont val="Segoe UI"/>
        <family val="2"/>
        <charset val="128"/>
      </rPr>
      <t xml:space="preserve">。シールドがある時、装備者の攻撃力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。</t>
    </r>
  </si>
  <si>
    <t xml:space="preserve">Spring Embrace</t>
  </si>
  <si>
    <t xml:space="preserve">ホットスプリング</t>
  </si>
  <si>
    <r>
      <rPr>
        <sz val="10"/>
        <rFont val="Segoe UI"/>
        <family val="2"/>
        <charset val="128"/>
      </rPr>
      <t xml:space="preserve">自身の被ダメージ</t>
    </r>
    <r>
      <rPr>
        <sz val="10"/>
        <rFont val="Times New Roman"/>
        <family val="1"/>
        <charset val="128"/>
      </rPr>
      <t xml:space="preserve">-7.5/8.5/9.5/10.5/12%</t>
    </r>
    <r>
      <rPr>
        <sz val="10"/>
        <rFont val="Segoe UI"/>
        <family val="2"/>
        <charset val="128"/>
      </rPr>
      <t xml:space="preserve">。敵の攻撃を受けた時、装備者のエネルギー獲得効率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秒。装備者がキャラ切替で退場する時、この効果は操作中のメンバーに引き継がれ、継続時間も更新される。同じパッシブ効果は重ね掛け不可。</t>
    </r>
  </si>
  <si>
    <t xml:space="preserve">The Vault</t>
  </si>
  <si>
    <t xml:space="preserve">ザ・ボールト</t>
  </si>
  <si>
    <r>
      <rPr>
        <sz val="10"/>
        <rFont val="Segoe UI"/>
        <family val="2"/>
        <charset val="128"/>
      </rPr>
      <t xml:space="preserve">『強化特殊スキル』、『連携スキル』または『終結スキル』がエーテル属性ダメージを与えた時、チーム全体がターゲットに与えるダメージ</t>
    </r>
    <r>
      <rPr>
        <sz val="10"/>
        <rFont val="Times New Roman"/>
        <family val="1"/>
        <charset val="128"/>
      </rPr>
      <t xml:space="preserve">+15/17.5/20/22/24%</t>
    </r>
    <r>
      <rPr>
        <sz val="10"/>
        <rFont val="Segoe UI"/>
        <family val="2"/>
        <charset val="128"/>
      </rPr>
      <t xml:space="preserve">、装備者のエネルギー自動回復</t>
    </r>
    <r>
      <rPr>
        <sz val="10"/>
        <rFont val="Times New Roman"/>
        <family val="1"/>
        <charset val="128"/>
      </rPr>
      <t xml:space="preserve">+0.5/0.58/0.65/0.72/0.8Pt/</t>
    </r>
    <r>
      <rPr>
        <sz val="10"/>
        <rFont val="Segoe UI"/>
        <family val="2"/>
        <charset val="128"/>
      </rPr>
      <t xml:space="preserve">秒、継続時間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秒。同じパッシブ効果は重ね掛け不可。</t>
    </r>
  </si>
  <si>
    <t xml:space="preserve">Housekeeper</t>
  </si>
  <si>
    <t xml:space="preserve">ハウスキーパー</t>
  </si>
  <si>
    <r>
      <rPr>
        <sz val="10"/>
        <rFont val="Segoe UI"/>
        <family val="2"/>
        <charset val="128"/>
      </rPr>
      <t xml:space="preserve">控えにいる時、装備者のエネルギー自動回復</t>
    </r>
    <r>
      <rPr>
        <sz val="10"/>
        <rFont val="Times New Roman"/>
        <family val="1"/>
        <charset val="128"/>
      </rPr>
      <t xml:space="preserve">+0.45/0.52/0.58/0.65/0.72Pt/</t>
    </r>
    <r>
      <rPr>
        <sz val="10"/>
        <rFont val="Segoe UI"/>
        <family val="2"/>
        <charset val="128"/>
      </rPr>
      <t xml:space="preserve">秒。『強化特殊スキル』が敵に命中すると、装備者の物理属性ダメージ</t>
    </r>
    <r>
      <rPr>
        <sz val="10"/>
        <rFont val="Times New Roman"/>
        <family val="1"/>
        <charset val="128"/>
      </rPr>
      <t xml:space="preserve">+3/3.5/4/4.4/4.8%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秒。重複して発動すると継続時間が更新される。</t>
    </r>
  </si>
  <si>
    <t xml:space="preserve">Starlight Engine Replica</t>
  </si>
  <si>
    <t xml:space="preserve">なんちゃってスターライトエンジン</t>
  </si>
  <si>
    <r>
      <rPr>
        <sz val="10"/>
        <rFont val="Segoe UI"/>
        <family val="2"/>
        <charset val="128"/>
      </rPr>
      <t xml:space="preserve">『通常攻撃』または『ダッシュ攻撃』が</t>
    </r>
    <r>
      <rPr>
        <sz val="10"/>
        <rFont val="Times New Roman"/>
        <family val="1"/>
        <charset val="128"/>
      </rPr>
      <t xml:space="preserve">6</t>
    </r>
    <r>
      <rPr>
        <sz val="10"/>
        <rFont val="Segoe UI"/>
        <family val="2"/>
        <charset val="128"/>
      </rPr>
      <t xml:space="preserve">メートル以上離れた敵に命中すると、装備者がターゲットに与える物理属性ダメージ</t>
    </r>
    <r>
      <rPr>
        <sz val="10"/>
        <rFont val="Times New Roman"/>
        <family val="1"/>
        <charset val="128"/>
      </rPr>
      <t xml:space="preserve">+36/41/46.5/52/57.5%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</t>
    </r>
  </si>
  <si>
    <t xml:space="preserve">Drill Rig - Red Axis</t>
  </si>
  <si>
    <t xml:space="preserve">ドリルリグ‐レッドシャフト</t>
  </si>
  <si>
    <r>
      <rPr>
        <sz val="10"/>
        <rFont val="Segoe UI"/>
        <family val="2"/>
        <charset val="128"/>
      </rPr>
      <t xml:space="preserve">『強化特殊スキル』または『連携スキル』を発動した時、『通常攻撃』と『ダッシュ攻撃』による電気属性ダメージ</t>
    </r>
    <r>
      <rPr>
        <sz val="10"/>
        <rFont val="Times New Roman"/>
        <family val="1"/>
        <charset val="128"/>
      </rPr>
      <t xml:space="preserve">+50/57.5/65/72.5/80%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</si>
  <si>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Big Cylinder</t>
  </si>
  <si>
    <t xml:space="preserve">ビガー・シリンダー</t>
  </si>
  <si>
    <r>
      <rPr>
        <sz val="10"/>
        <rFont val="Segoe UI"/>
        <family val="2"/>
        <charset val="128"/>
      </rPr>
      <t xml:space="preserve">自身の被ダメージ</t>
    </r>
    <r>
      <rPr>
        <sz val="10"/>
        <rFont val="Times New Roman"/>
        <family val="1"/>
        <charset val="128"/>
      </rPr>
      <t xml:space="preserve">-7.5/8.5/9.5/10.5/12%</t>
    </r>
    <r>
      <rPr>
        <sz val="10"/>
        <rFont val="Segoe UI"/>
        <family val="2"/>
        <charset val="128"/>
      </rPr>
      <t xml:space="preserve">。敵の攻撃を受けた後、次の攻撃が敵に命中すると、装備者の防御力</t>
    </r>
    <r>
      <rPr>
        <sz val="10"/>
        <rFont val="Times New Roman"/>
        <family val="1"/>
        <charset val="128"/>
      </rPr>
      <t xml:space="preserve">600/690/780/870/960%</t>
    </r>
    <r>
      <rPr>
        <sz val="10"/>
        <rFont val="Segoe UI"/>
        <family val="2"/>
        <charset val="128"/>
      </rPr>
      <t xml:space="preserve">分のダメージを追加で与え、必ず会心が出る、</t>
    </r>
    <r>
      <rPr>
        <sz val="10"/>
        <rFont val="Times New Roman"/>
        <family val="1"/>
        <charset val="128"/>
      </rPr>
      <t xml:space="preserve">7.5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</si>
  <si>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Bashful Demon</t>
  </si>
  <si>
    <t xml:space="preserve">恥じらう悪面</t>
  </si>
  <si>
    <t xml:space="preserve">bonus-ice</t>
  </si>
  <si>
    <r>
      <rPr>
        <sz val="10"/>
        <rFont val="Segoe UI"/>
        <family val="2"/>
        <charset val="128"/>
      </rPr>
      <t xml:space="preserve">氷属性ダメージ</t>
    </r>
    <r>
      <rPr>
        <sz val="10"/>
        <rFont val="Times New Roman"/>
        <family val="1"/>
        <charset val="128"/>
      </rPr>
      <t xml:space="preserve">+15/17.5/20/22/24%</t>
    </r>
    <r>
      <rPr>
        <sz val="10"/>
        <rFont val="Segoe UI"/>
        <family val="2"/>
        <charset val="128"/>
      </rPr>
      <t xml:space="preserve">。『強化特殊スキル』を発動する度に、チーム全体の攻撃力</t>
    </r>
    <r>
      <rPr>
        <sz val="10"/>
        <rFont val="Times New Roman"/>
        <family val="1"/>
        <charset val="128"/>
      </rPr>
      <t xml:space="preserve">+2/2.3/2.6/2.9/3.2%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4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秒。重複して発動すると継続時間が更新される。同じパッシブ効果は重ね掛け不可。</t>
    </r>
  </si>
  <si>
    <t xml:space="preserve">Cannon Rotor</t>
  </si>
  <si>
    <t xml:space="preserve">キャノンローラー</t>
  </si>
  <si>
    <r>
      <rPr>
        <sz val="10"/>
        <rFont val="Segoe UI"/>
        <family val="2"/>
        <charset val="128"/>
      </rPr>
      <t xml:space="preserve">攻撃力</t>
    </r>
    <r>
      <rPr>
        <sz val="10"/>
        <rFont val="Times New Roman"/>
        <family val="1"/>
        <charset val="128"/>
      </rPr>
      <t xml:space="preserve">+7.5/8.6/9.7/10.8/12%</t>
    </r>
    <r>
      <rPr>
        <sz val="10"/>
        <rFont val="Segoe UI"/>
        <family val="2"/>
        <charset val="128"/>
      </rPr>
      <t xml:space="preserve">。攻撃が敵に命中し、なおかつ会心が出た時、攻撃力</t>
    </r>
    <r>
      <rPr>
        <sz val="10"/>
        <rFont val="Times New Roman"/>
        <family val="1"/>
        <charset val="128"/>
      </rPr>
      <t xml:space="preserve">200%</t>
    </r>
    <r>
      <rPr>
        <sz val="10"/>
        <rFont val="Segoe UI"/>
        <family val="2"/>
        <charset val="128"/>
      </rPr>
      <t xml:space="preserve">分のダメージを追加で与える、</t>
    </r>
    <r>
      <rPr>
        <sz val="10"/>
        <rFont val="Times New Roman"/>
        <family val="1"/>
        <charset val="128"/>
      </rPr>
      <t xml:space="preserve">8/7.5/7/6.5/6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</t>
    </r>
  </si>
  <si>
    <t xml:space="preserve">Unfettered Game Ball</t>
  </si>
  <si>
    <t xml:space="preserve">ゲームボール</t>
  </si>
  <si>
    <r>
      <rPr>
        <sz val="10"/>
        <rFont val="Segoe UI"/>
        <family val="2"/>
        <charset val="128"/>
      </rPr>
      <t xml:space="preserve">装備者の攻撃が敵に命中し、なおかつタイプの有利効果が発生した時、チーム全体の該当ターゲットに対する会心率</t>
    </r>
    <r>
      <rPr>
        <sz val="10"/>
        <rFont val="Times New Roman"/>
        <family val="1"/>
        <charset val="128"/>
      </rPr>
      <t xml:space="preserve">+12/13.5/15.5/17.5/20%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12</t>
    </r>
    <r>
      <rPr>
        <sz val="10"/>
        <rFont val="Segoe UI"/>
        <family val="2"/>
        <charset val="128"/>
      </rPr>
      <t xml:space="preserve">秒。同じパッシブ効果は重ね掛け不可。</t>
    </r>
  </si>
  <si>
    <t xml:space="preserve">Six Shooter</t>
  </si>
  <si>
    <t xml:space="preserve">シックスシューター</t>
  </si>
  <si>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秒ごとに装備者にパワーを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重与える、最大</t>
    </r>
    <r>
      <rPr>
        <sz val="10"/>
        <rFont val="Times New Roman"/>
        <family val="1"/>
        <charset val="128"/>
      </rPr>
      <t xml:space="preserve">6</t>
    </r>
    <r>
      <rPr>
        <sz val="10"/>
        <rFont val="Segoe UI"/>
        <family val="2"/>
        <charset val="128"/>
      </rPr>
      <t xml:space="preserve">重まで重ね掛け可能。『強化特殊スキル』を発動した時、すべてのパワーを消費し、パワー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重につき、スキルの与えるブレイク値</t>
    </r>
    <r>
      <rPr>
        <sz val="10"/>
        <rFont val="Times New Roman"/>
        <family val="1"/>
        <charset val="128"/>
      </rPr>
      <t xml:space="preserve">+4/4.6/5.2/5.8/6.4%</t>
    </r>
    <r>
      <rPr>
        <sz val="10"/>
        <rFont val="Segoe UI"/>
        <family val="2"/>
        <charset val="128"/>
      </rPr>
      <t xml:space="preserve">。</t>
    </r>
  </si>
  <si>
    <t xml:space="preserve">Steel Cushion</t>
  </si>
  <si>
    <t xml:space="preserve">鋼の肉球</t>
  </si>
  <si>
    <t xml:space="preserve">bonus-phy</t>
  </si>
  <si>
    <r>
      <rPr>
        <sz val="10"/>
        <rFont val="Segoe UI"/>
        <family val="2"/>
        <charset val="128"/>
      </rPr>
      <t xml:space="preserve">物理属性ダメージ</t>
    </r>
    <r>
      <rPr>
        <sz val="10"/>
        <rFont val="Times New Roman"/>
        <family val="1"/>
        <charset val="128"/>
      </rPr>
      <t xml:space="preserve">+20/25/30/35/40%</t>
    </r>
    <r>
      <rPr>
        <sz val="10"/>
        <rFont val="Segoe UI"/>
        <family val="2"/>
        <charset val="128"/>
      </rPr>
      <t xml:space="preserve">。敵を背後から攻撃し、なおかつ命中した時、装備者の与ダメージ</t>
    </r>
    <r>
      <rPr>
        <sz val="10"/>
        <rFont val="Times New Roman"/>
        <family val="1"/>
        <charset val="128"/>
      </rPr>
      <t xml:space="preserve">+25/31.5/38/44/50%</t>
    </r>
    <r>
      <rPr>
        <sz val="10"/>
        <rFont val="Segoe UI"/>
        <family val="2"/>
        <charset val="128"/>
      </rPr>
      <t xml:space="preserve">。</t>
    </r>
  </si>
  <si>
    <t xml:space="preserve">The Brimstone</t>
  </si>
  <si>
    <t xml:space="preserve">ブリムストーン</t>
  </si>
  <si>
    <r>
      <rPr>
        <sz val="10"/>
        <rFont val="Segoe UI"/>
        <family val="2"/>
        <charset val="128"/>
      </rPr>
      <t xml:space="preserve">『通常攻撃』、『ダッシュ攻撃』または『回避反撃』が敵に命中すると、装備者の攻撃力</t>
    </r>
    <r>
      <rPr>
        <sz val="10"/>
        <rFont val="Times New Roman"/>
        <family val="1"/>
        <charset val="128"/>
      </rPr>
      <t xml:space="preserve">+3.5/4.4/5.2/6/7%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0.5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回のみ発動可能、継続時間は重ごとに独立してカウントされる。</t>
    </r>
  </si>
  <si>
    <t xml:space="preserve">Helfire Gears</t>
  </si>
  <si>
    <t xml:space="preserve">燃獄ギア</t>
  </si>
  <si>
    <r>
      <rPr>
        <sz val="10"/>
        <rFont val="Segoe UI"/>
        <family val="2"/>
        <charset val="128"/>
      </rPr>
      <t xml:space="preserve">控えにいる時、装備者のエネルギー自動回復</t>
    </r>
    <r>
      <rPr>
        <sz val="10"/>
        <rFont val="Times New Roman"/>
        <family val="1"/>
        <charset val="128"/>
      </rPr>
      <t xml:space="preserve">+0.6/0.75/0.9/1.05/1.2Pt/</t>
    </r>
    <r>
      <rPr>
        <sz val="10"/>
        <rFont val="Segoe UI"/>
        <family val="2"/>
        <charset val="128"/>
      </rPr>
      <t xml:space="preserve">秒。『強化特殊スキル』を発動する度に、装備者の衝撃力</t>
    </r>
    <r>
      <rPr>
        <sz val="10"/>
        <rFont val="Times New Roman"/>
        <family val="1"/>
        <charset val="128"/>
      </rPr>
      <t xml:space="preserve">+10/12.5/15/17.5/20%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秒。継続時間は重ごとに独立してカウントされる。</t>
    </r>
  </si>
  <si>
    <t xml:space="preserve">The Restrained</t>
  </si>
  <si>
    <t xml:space="preserve">束縛されし者</t>
  </si>
  <si>
    <r>
      <rPr>
        <sz val="10"/>
        <rFont val="Segoe UI"/>
        <family val="2"/>
        <charset val="128"/>
      </rPr>
      <t xml:space="preserve">攻撃が敵に命中した時、『通常攻撃』による与ダメージとブレイク値</t>
    </r>
    <r>
      <rPr>
        <sz val="10"/>
        <rFont val="Times New Roman"/>
        <family val="1"/>
        <charset val="128"/>
      </rPr>
      <t xml:space="preserve">+6/7.5/9/10.5/12%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5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回の攻撃において、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回のみ発動可能。継続時間は重ごとに独立してカウントされる。</t>
    </r>
  </si>
  <si>
    <t xml:space="preserve">Fusion Compiler</t>
  </si>
  <si>
    <t xml:space="preserve">複合コンパイラ</t>
  </si>
  <si>
    <r>
      <rPr>
        <sz val="10"/>
        <rFont val="Segoe UI"/>
        <family val="2"/>
        <charset val="128"/>
      </rPr>
      <t xml:space="preserve">攻撃力</t>
    </r>
    <r>
      <rPr>
        <sz val="10"/>
        <rFont val="Times New Roman"/>
        <family val="1"/>
        <charset val="128"/>
      </rPr>
      <t xml:space="preserve">+12/15/18/21/24%</t>
    </r>
    <r>
      <rPr>
        <sz val="10"/>
        <rFont val="Segoe UI"/>
        <family val="2"/>
        <charset val="128"/>
      </rPr>
      <t xml:space="preserve">。『特殊スキル』または『強化特殊スキル』を発動する度に、装備者の異常マスタリー</t>
    </r>
    <r>
      <rPr>
        <sz val="10"/>
        <rFont val="Times New Roman"/>
        <family val="1"/>
        <charset val="128"/>
      </rPr>
      <t xml:space="preserve">+25/31/37/43/50Pt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秒。継続時間は重ごとに独立してカウントされる。</t>
    </r>
  </si>
  <si>
    <t xml:space="preserve">Deep Sea Visitor</t>
  </si>
  <si>
    <t xml:space="preserve">ディープシー・ビジター</t>
  </si>
  <si>
    <r>
      <rPr>
        <sz val="10"/>
        <rFont val="Segoe UI"/>
        <family val="2"/>
        <charset val="128"/>
      </rPr>
      <t xml:space="preserve">氷属性ダメージ</t>
    </r>
    <r>
      <rPr>
        <sz val="10"/>
        <rFont val="Times New Roman"/>
        <family val="1"/>
        <charset val="128"/>
      </rPr>
      <t xml:space="preserve">+25/31.5/38/44.5/50%</t>
    </r>
    <r>
      <rPr>
        <sz val="10"/>
        <rFont val="Segoe UI"/>
        <family val="2"/>
        <charset val="128"/>
      </rPr>
      <t xml:space="preserve">。『通常攻撃』が敵に命中した時、装備者の会心率</t>
    </r>
    <r>
      <rPr>
        <sz val="10"/>
        <rFont val="Times New Roman"/>
        <family val="1"/>
        <charset val="128"/>
      </rPr>
      <t xml:space="preserve">+10/12.5/15/17.5/20%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秒。『ダッシュ攻撃』で氷属性ダメージを与えた時、装備者の会心率が追加で</t>
    </r>
    <r>
      <rPr>
        <sz val="10"/>
        <rFont val="Times New Roman"/>
        <family val="1"/>
        <charset val="128"/>
      </rPr>
      <t xml:space="preserve">+10/12.5/15/17.5/20%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秒、継続時間はバフ効果ごとに独立してカウントされる。</t>
    </r>
  </si>
  <si>
    <t xml:space="preserve">Weeping Cradle</t>
  </si>
  <si>
    <t xml:space="preserve">啜り泣くゆりかご</t>
  </si>
  <si>
    <r>
      <rPr>
        <sz val="10"/>
        <rFont val="Segoe UI"/>
        <family val="2"/>
        <charset val="128"/>
      </rPr>
      <t xml:space="preserve">控えにいる時、装備者のエネルギー自動回復</t>
    </r>
    <r>
      <rPr>
        <sz val="10"/>
        <rFont val="Times New Roman"/>
        <family val="1"/>
        <charset val="128"/>
      </rPr>
      <t xml:space="preserve">+0.6/0.75/0.9/1.05/1.2Pt/</t>
    </r>
    <r>
      <rPr>
        <sz val="10"/>
        <rFont val="Segoe UI"/>
        <family val="2"/>
        <charset val="128"/>
      </rPr>
      <t xml:space="preserve">秒。装備者の攻撃が敵に命中した時、チーム全体のターゲットに与えるダメージ</t>
    </r>
    <r>
      <rPr>
        <sz val="10"/>
        <rFont val="Times New Roman"/>
        <family val="1"/>
        <charset val="128"/>
      </rPr>
      <t xml:space="preserve">+10/12.5/15/17.5/20%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秒。効果継続中、</t>
    </r>
    <r>
      <rPr>
        <sz val="10"/>
        <rFont val="Times New Roman"/>
        <family val="1"/>
        <charset val="128"/>
      </rPr>
      <t xml:space="preserve">0.5</t>
    </r>
    <r>
      <rPr>
        <sz val="10"/>
        <rFont val="Segoe UI"/>
        <family val="2"/>
        <charset val="128"/>
      </rPr>
      <t xml:space="preserve">秒ごとにこのバフ効果が追加で</t>
    </r>
    <r>
      <rPr>
        <sz val="10"/>
        <rFont val="Times New Roman"/>
        <family val="1"/>
        <charset val="128"/>
      </rPr>
      <t xml:space="preserve">+1.7/2/2.5/3/3.3%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10.2/12/15/18/19.8%</t>
    </r>
    <r>
      <rPr>
        <sz val="10"/>
        <rFont val="Segoe UI"/>
        <family val="2"/>
        <charset val="128"/>
      </rPr>
      <t xml:space="preserve">まで。重複して発動すると、継続時間のみが更新され、ダメージアップ効果が更新されない。同じパッシブ効果は重ね掛け不可。</t>
    </r>
  </si>
  <si>
    <t xml:space="preserve">Riot Suppressor Mark VI</t>
  </si>
  <si>
    <t xml:space="preserve">サプレッサーⅣ型</t>
  </si>
  <si>
    <t xml:space="preserve">crit-d</t>
  </si>
  <si>
    <r>
      <rPr>
        <sz val="10"/>
        <rFont val="Segoe UI"/>
        <family val="2"/>
        <charset val="128"/>
      </rPr>
      <t xml:space="preserve">会心率</t>
    </r>
    <r>
      <rPr>
        <sz val="10"/>
        <rFont val="Times New Roman"/>
        <family val="1"/>
        <charset val="128"/>
      </rPr>
      <t xml:space="preserve">+15/18.8/22.6/26.4/30%</t>
    </r>
    <r>
      <rPr>
        <sz val="10"/>
        <rFont val="Segoe UI"/>
        <family val="2"/>
        <charset val="128"/>
      </rPr>
      <t xml:space="preserve">。『強化特殊スキル』を発動した時、装備者にパワーを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重与える、最大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重まで重ね掛け可能。『通常攻撃』でエーテル属性ダメージを与えた時、パワーを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重消費し、その攻撃の与ダメージ</t>
    </r>
    <r>
      <rPr>
        <sz val="10"/>
        <rFont val="Times New Roman"/>
        <family val="1"/>
        <charset val="128"/>
      </rPr>
      <t xml:space="preserve">+35/43.5/52/60.5/70%</t>
    </r>
    <r>
      <rPr>
        <sz val="10"/>
        <rFont val="Segoe UI"/>
        <family val="2"/>
        <charset val="128"/>
      </rPr>
      <t xml:space="preserve">。</t>
    </r>
  </si>
  <si>
    <t xml:space="preserve">Kaboom the Cannon</t>
  </si>
  <si>
    <t xml:space="preserve">喧嘩腰のボンバルダム</t>
  </si>
  <si>
    <r>
      <rPr>
        <sz val="10"/>
        <rFont val="Segoe UI"/>
        <family val="2"/>
        <charset val="128"/>
      </rPr>
      <t xml:space="preserve">チームにいる任意の味方ユニットの攻撃が敵に命中した時、すべての味方ユニットの攻撃力</t>
    </r>
    <r>
      <rPr>
        <sz val="10"/>
        <rFont val="Times New Roman"/>
        <family val="1"/>
        <charset val="128"/>
      </rPr>
      <t xml:space="preserve">+2.5/2.8/3.2/3.6/4%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4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秒。継続時間は重ごとに独立してカウントされる。味方ユニット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名につき、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重のバフ効果を付与できる。同じパッシブ効果は重ね掛け不可。</t>
    </r>
  </si>
  <si>
    <t xml:space="preserve">Roaring Ride</t>
  </si>
  <si>
    <t xml:space="preserve">グロウル・マイ・カー</t>
  </si>
  <si>
    <r>
      <rPr>
        <sz val="10"/>
        <rFont val="Segoe UI"/>
        <family val="2"/>
        <charset val="128"/>
      </rPr>
      <t xml:space="preserve">『強化特殊スキル』が敵に命中すると、以下の効果のいずれか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つが発動する、継続時間</t>
    </r>
    <r>
      <rPr>
        <sz val="10"/>
        <rFont val="Times New Roman"/>
        <family val="1"/>
        <charset val="128"/>
      </rPr>
      <t xml:space="preserve">5</t>
    </r>
    <r>
      <rPr>
        <sz val="10"/>
        <rFont val="Segoe UI"/>
        <family val="2"/>
        <charset val="128"/>
      </rPr>
      <t xml:space="preserve">秒、</t>
    </r>
    <r>
      <rPr>
        <sz val="10"/>
        <rFont val="Times New Roman"/>
        <family val="1"/>
        <charset val="128"/>
      </rPr>
      <t xml:space="preserve">0.3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回のみ発動可能。同じ効果は重ね掛け不可、重複して発動すると継続時間が更新される。異なる効果は併存可能。装備者の攻撃力</t>
    </r>
    <r>
      <rPr>
        <sz val="10"/>
        <rFont val="Times New Roman"/>
        <family val="1"/>
        <charset val="128"/>
      </rPr>
      <t xml:space="preserve">+8/9.2/10.4/11.6/12.8%</t>
    </r>
    <r>
      <rPr>
        <sz val="10"/>
        <rFont val="Segoe UI"/>
        <family val="2"/>
        <charset val="128"/>
      </rPr>
      <t xml:space="preserve">。装備者の異常マスタリー</t>
    </r>
    <r>
      <rPr>
        <sz val="10"/>
        <rFont val="Times New Roman"/>
        <family val="1"/>
        <charset val="128"/>
      </rPr>
      <t xml:space="preserve">+40/46/52/58/64Pt</t>
    </r>
    <r>
      <rPr>
        <sz val="10"/>
        <rFont val="Segoe UI"/>
        <family val="2"/>
        <charset val="128"/>
      </rPr>
      <t xml:space="preserve">。装備者の状態異常蓄積効率</t>
    </r>
    <r>
      <rPr>
        <sz val="10"/>
        <rFont val="Times New Roman"/>
        <family val="1"/>
        <charset val="128"/>
      </rPr>
      <t xml:space="preserve">+25/28/32/36/40%</t>
    </r>
    <r>
      <rPr>
        <sz val="10"/>
        <rFont val="Segoe UI"/>
        <family val="2"/>
        <charset val="128"/>
      </rPr>
      <t xml:space="preserve">。</t>
    </r>
  </si>
  <si>
    <t xml:space="preserve">Gilded Blossom</t>
  </si>
  <si>
    <t xml:space="preserve">金メッキの花信</t>
  </si>
  <si>
    <t xml:space="preserve">bonus-dmg</t>
  </si>
  <si>
    <r>
      <rPr>
        <sz val="10"/>
        <rFont val="Segoe UI"/>
        <family val="2"/>
        <charset val="128"/>
      </rPr>
      <t xml:space="preserve">攻撃力</t>
    </r>
    <r>
      <rPr>
        <sz val="10"/>
        <rFont val="Times New Roman"/>
        <family val="1"/>
        <charset val="128"/>
      </rPr>
      <t xml:space="preserve">+6/6.9/7.8/8.7/9.6%</t>
    </r>
    <r>
      <rPr>
        <sz val="10"/>
        <rFont val="Segoe UI"/>
        <family val="2"/>
        <charset val="128"/>
      </rPr>
      <t xml:space="preserve">、『強化特殊スキル』の与ダメージ</t>
    </r>
    <r>
      <rPr>
        <sz val="10"/>
        <rFont val="Times New Roman"/>
        <family val="1"/>
        <charset val="128"/>
      </rPr>
      <t xml:space="preserve">+15/17.2/19.5/21.8/24%</t>
    </r>
    <r>
      <rPr>
        <sz val="10"/>
        <rFont val="Segoe UI"/>
        <family val="2"/>
        <charset val="128"/>
      </rPr>
      <t xml:space="preserve">。</t>
    </r>
  </si>
  <si>
    <t xml:space="preserve">Ice-Jade Teapot</t>
  </si>
  <si>
    <t xml:space="preserve">玉壺青氷</t>
  </si>
  <si>
    <r>
      <rPr>
        <sz val="10"/>
        <rFont val="Segoe UI"/>
        <family val="2"/>
        <charset val="128"/>
      </rPr>
      <t xml:space="preserve">『通常攻撃』が敵に命中すると、「茶味」を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重獲得する。「茶味」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重につき、装備者の衝撃力</t>
    </r>
    <r>
      <rPr>
        <sz val="10"/>
        <rFont val="Times New Roman"/>
        <family val="1"/>
        <charset val="128"/>
      </rPr>
      <t xml:space="preserve">+0.7/0.88/1.05/1.22/1.4%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30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秒。継続時間は重ごとに独立してカウントされる。「茶味」獲得時、装備者が持つ「茶味」が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以上の場合、チーム全体の与ダメージ</t>
    </r>
    <r>
      <rPr>
        <sz val="10"/>
        <rFont val="Times New Roman"/>
        <family val="1"/>
        <charset val="128"/>
      </rPr>
      <t xml:space="preserve">+20/23/26/29/32%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秒。同じパッシブ効果は重ね掛け不可。</t>
    </r>
  </si>
  <si>
    <t xml:space="preserve">Sharpened Stinger</t>
  </si>
  <si>
    <t xml:space="preserve">磨き抜かれた切っ先</t>
  </si>
  <si>
    <r>
      <rPr>
        <sz val="10"/>
        <rFont val="Segoe UI"/>
        <family val="2"/>
        <charset val="128"/>
      </rPr>
      <t xml:space="preserve">『ダッシュ攻撃』を発動した時、「猟欲」を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重獲得する。「猟欲」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重につき、装備者の与える物理属性ダメージ</t>
    </r>
    <r>
      <rPr>
        <sz val="10"/>
        <rFont val="Times New Roman"/>
        <family val="1"/>
        <charset val="128"/>
      </rPr>
      <t xml:space="preserve">+12/15/18/21/24%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秒。この効果は</t>
    </r>
    <r>
      <rPr>
        <sz val="10"/>
        <rFont val="Times New Roman"/>
        <family val="1"/>
        <charset val="128"/>
      </rPr>
      <t xml:space="preserve">0.5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回のみ発動可能、重複して発動すると継続時間が更新される。接敵状態突入時、または『極限回避』発動時、即座に「猟欲」を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重獲得する。「猟欲」の重数が上限に達すると、装備者の状態異常蓄積効率</t>
    </r>
    <r>
      <rPr>
        <sz val="10"/>
        <rFont val="Times New Roman"/>
        <family val="1"/>
        <charset val="128"/>
      </rPr>
      <t xml:space="preserve">+40/50/60/70/80%</t>
    </r>
    <r>
      <rPr>
        <sz val="10"/>
        <rFont val="Segoe UI"/>
        <family val="2"/>
        <charset val="128"/>
      </rPr>
      <t xml:space="preserve">。</t>
    </r>
  </si>
  <si>
    <t xml:space="preserve">Peacekeeper ‐ Specialized</t>
  </si>
  <si>
    <t xml:space="preserve">秩序の守り手・特化型</t>
  </si>
  <si>
    <r>
      <rPr>
        <sz val="10"/>
        <rFont val="Segoe UI"/>
        <family val="2"/>
        <charset val="128"/>
      </rPr>
      <t xml:space="preserve">シールドがある時、装備者のエネルギー自動回復</t>
    </r>
    <r>
      <rPr>
        <sz val="10"/>
        <rFont val="Times New Roman"/>
        <family val="1"/>
        <charset val="128"/>
      </rPr>
      <t xml:space="preserve">+0.4/0.46/0.52/0.58/0.64Pt/</t>
    </r>
    <r>
      <rPr>
        <sz val="10"/>
        <rFont val="Segoe UI"/>
        <family val="2"/>
        <charset val="128"/>
      </rPr>
      <t xml:space="preserve">秒。『強化特殊スキル』と『支援突撃』による状態異常蓄積値</t>
    </r>
    <r>
      <rPr>
        <sz val="10"/>
        <rFont val="Times New Roman"/>
        <family val="1"/>
        <charset val="128"/>
      </rPr>
      <t xml:space="preserve">+36/40/45/50/55%</t>
    </r>
    <r>
      <rPr>
        <sz val="10"/>
        <rFont val="Segoe UI"/>
        <family val="2"/>
        <charset val="128"/>
      </rPr>
      <t xml:space="preserve">。</t>
    </r>
  </si>
  <si>
    <t xml:space="preserve">Tusks of Fury</t>
  </si>
  <si>
    <t xml:space="preserve">猛進するキバ</t>
  </si>
  <si>
    <r>
      <rPr>
        <sz val="10"/>
        <rFont val="Segoe UI"/>
        <family val="2"/>
        <charset val="128"/>
      </rPr>
      <t xml:space="preserve">装備者のシールド生成量</t>
    </r>
    <r>
      <rPr>
        <sz val="10"/>
        <rFont val="Times New Roman"/>
        <family val="1"/>
        <charset val="128"/>
      </rPr>
      <t xml:space="preserve">+30/38/46/52/60%</t>
    </r>
    <r>
      <rPr>
        <sz val="10"/>
        <rFont val="Segoe UI"/>
        <family val="2"/>
        <charset val="128"/>
      </rPr>
      <t xml:space="preserve">。任意のメンバーが「看破」または『極限回避』を発動した時、チーム全体の与ダメージ</t>
    </r>
    <r>
      <rPr>
        <sz val="10"/>
        <rFont val="Times New Roman"/>
        <family val="1"/>
        <charset val="128"/>
      </rPr>
      <t xml:space="preserve">+18/22.5/27/31.5/36%</t>
    </r>
    <r>
      <rPr>
        <sz val="10"/>
        <rFont val="Segoe UI"/>
        <family val="2"/>
        <charset val="128"/>
      </rPr>
      <t xml:space="preserve">、与えるブレイク値</t>
    </r>
    <r>
      <rPr>
        <sz val="10"/>
        <rFont val="Times New Roman"/>
        <family val="1"/>
        <charset val="128"/>
      </rPr>
      <t xml:space="preserve">+12/15/18/21/24%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秒。同じパッシブ効果は重ね掛け不可。</t>
    </r>
  </si>
  <si>
    <t xml:space="preserve">Flamemaker Shaker</t>
  </si>
  <si>
    <t xml:space="preserve">バーニング・シェイカー</t>
  </si>
  <si>
    <r>
      <rPr>
        <sz val="10"/>
        <rFont val="Segoe UI"/>
        <family val="2"/>
        <charset val="128"/>
      </rPr>
      <t xml:space="preserve">控えにいる時、装備者のエネルギー自動回復</t>
    </r>
    <r>
      <rPr>
        <sz val="10"/>
        <rFont val="Times New Roman"/>
        <family val="1"/>
        <charset val="128"/>
      </rPr>
      <t xml:space="preserve">+0.6/0.75/0.9/1.05/1.2Pt/</t>
    </r>
    <r>
      <rPr>
        <sz val="10"/>
        <rFont val="Segoe UI"/>
        <family val="2"/>
        <charset val="128"/>
      </rPr>
      <t xml:space="preserve">秒。『強化特殊スキル』または『支援攻撃』が敵に命中すると、装備者の与ダメージ</t>
    </r>
    <r>
      <rPr>
        <sz val="10"/>
        <rFont val="Times New Roman"/>
        <family val="1"/>
        <charset val="128"/>
      </rPr>
      <t xml:space="preserve">+3.5/4.4/5.2/6.1/7%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6</t>
    </r>
    <r>
      <rPr>
        <sz val="10"/>
        <rFont val="Segoe UI"/>
        <family val="2"/>
        <charset val="128"/>
      </rPr>
      <t xml:space="preserve">秒、</t>
    </r>
    <r>
      <rPr>
        <sz val="10"/>
        <rFont val="Times New Roman"/>
        <family val="1"/>
        <charset val="128"/>
      </rPr>
      <t xml:space="preserve">0.3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回のみ発動可能。控えにいる時、重ね掛けの効率が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倍になる。重複して発動すると継続時間が更新される。ダメージアップ効果獲得時、所持している重数が</t>
    </r>
    <r>
      <rPr>
        <sz val="10"/>
        <rFont val="Times New Roman"/>
        <family val="1"/>
        <charset val="128"/>
      </rPr>
      <t xml:space="preserve">5</t>
    </r>
    <r>
      <rPr>
        <sz val="10"/>
        <rFont val="Segoe UI"/>
        <family val="2"/>
        <charset val="128"/>
      </rPr>
      <t xml:space="preserve">重以上の場合、追加で装備者の異常マスタリー</t>
    </r>
    <r>
      <rPr>
        <sz val="10"/>
        <rFont val="Times New Roman"/>
        <family val="1"/>
        <charset val="128"/>
      </rPr>
      <t xml:space="preserve">+50/62/75/87/100Pt</t>
    </r>
    <r>
      <rPr>
        <sz val="10"/>
        <rFont val="Segoe UI"/>
        <family val="2"/>
        <charset val="128"/>
      </rPr>
      <t xml:space="preserve">。異常マスタリーアップ効果は重ね掛け不可、継続時間</t>
    </r>
    <r>
      <rPr>
        <sz val="10"/>
        <rFont val="Times New Roman"/>
        <family val="1"/>
        <charset val="128"/>
      </rPr>
      <t xml:space="preserve">6</t>
    </r>
    <r>
      <rPr>
        <sz val="10"/>
        <rFont val="Segoe UI"/>
        <family val="2"/>
        <charset val="128"/>
      </rPr>
      <t xml:space="preserve">秒。</t>
    </r>
  </si>
  <si>
    <t xml:space="preserve">Timeweaver</t>
  </si>
  <si>
    <t xml:space="preserve">刻流の賢者</t>
  </si>
  <si>
    <r>
      <rPr>
        <sz val="10"/>
        <rFont val="Segoe UI"/>
        <family val="2"/>
        <charset val="128"/>
      </rPr>
      <t xml:space="preserve">装備者の電気属性の状態異常蓄積効率</t>
    </r>
    <r>
      <rPr>
        <sz val="10"/>
        <rFont val="Times New Roman"/>
        <family val="1"/>
        <charset val="128"/>
      </rPr>
      <t xml:space="preserve">+30/35/40/45/50%</t>
    </r>
    <r>
      <rPr>
        <sz val="10"/>
        <rFont val="Segoe UI"/>
        <family val="2"/>
        <charset val="128"/>
      </rPr>
      <t xml:space="preserve">。『特殊スキル』または『強化特殊スキル』が状態異常の敵に命中すると、装備者の異常マスタリー</t>
    </r>
    <r>
      <rPr>
        <sz val="10"/>
        <rFont val="Times New Roman"/>
        <family val="1"/>
        <charset val="128"/>
      </rPr>
      <t xml:space="preserve">+75/85/95/105/115Pt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秒。装備者の異常マスタリーが</t>
    </r>
    <r>
      <rPr>
        <sz val="10"/>
        <rFont val="Times New Roman"/>
        <family val="1"/>
        <charset val="128"/>
      </rPr>
      <t xml:space="preserve">375Pt</t>
    </r>
    <r>
      <rPr>
        <sz val="10"/>
        <rFont val="Segoe UI"/>
        <family val="2"/>
        <charset val="128"/>
      </rPr>
      <t xml:space="preserve">以上の時、装備者による「混沌」ダメージ</t>
    </r>
    <r>
      <rPr>
        <sz val="10"/>
        <rFont val="Times New Roman"/>
        <family val="1"/>
        <charset val="128"/>
      </rPr>
      <t xml:space="preserve">+25/27.5/30/32.5/35%</t>
    </r>
    <r>
      <rPr>
        <sz val="10"/>
        <rFont val="Segoe UI"/>
        <family val="2"/>
        <charset val="128"/>
      </rPr>
      <t xml:space="preserve">。</t>
    </r>
  </si>
  <si>
    <t xml:space="preserve">Blazing Laurel</t>
  </si>
  <si>
    <t xml:space="preserve">炎心の桂冠</t>
  </si>
  <si>
    <r>
      <rPr>
        <sz val="10"/>
        <rFont val="Segoe UI"/>
        <family val="2"/>
        <charset val="128"/>
      </rPr>
      <t xml:space="preserve">『クイック支援』または『極限支援』発動時、装備者の衝撃力</t>
    </r>
    <r>
      <rPr>
        <sz val="10"/>
        <rFont val="Times New Roman"/>
        <family val="1"/>
        <charset val="128"/>
      </rPr>
      <t xml:space="preserve">+25/28.75/32.5/36.25/40%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秒。装備者の『通常攻撃』が敵に命中すると、ターゲットに「衰耗」を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重付与する、最大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30</t>
    </r>
    <r>
      <rPr>
        <sz val="10"/>
        <rFont val="Segoe UI"/>
        <family val="2"/>
        <charset val="128"/>
      </rPr>
      <t xml:space="preserve">秒、重複して発動すると継続時間が更新される。任意のメンバーの攻撃が敵に命中した時、ターゲットの「衰耗」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重につき、今回の攻撃による氷属性ダメージと炎属性ダメージの会心ダメージ</t>
    </r>
    <r>
      <rPr>
        <sz val="10"/>
        <rFont val="Times New Roman"/>
        <family val="1"/>
        <charset val="128"/>
      </rPr>
      <t xml:space="preserve">+1.5/1.72/1.95/2.17/2.4%</t>
    </r>
    <r>
      <rPr>
        <sz val="10"/>
        <rFont val="Segoe UI"/>
        <family val="2"/>
        <charset val="128"/>
      </rPr>
      <t xml:space="preserve">、該当効果はチーム内でひとつしか有効にならない。</t>
    </r>
  </si>
  <si>
    <t xml:space="preserve">Marcato Desire</t>
  </si>
  <si>
    <t xml:space="preserve">強音デザイア</t>
  </si>
  <si>
    <r>
      <rPr>
        <sz val="10"/>
        <rFont val="Segoe UI"/>
        <family val="2"/>
        <charset val="128"/>
      </rPr>
      <t xml:space="preserve">『強化特殊スキル』または『連携スキル』が敵に命中すると、装備者の攻撃力</t>
    </r>
    <r>
      <rPr>
        <sz val="10"/>
        <rFont val="Times New Roman"/>
        <family val="1"/>
        <charset val="128"/>
      </rPr>
      <t xml:space="preserve">+6/6.9/7.8/8.7/9.6%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8</t>
    </r>
    <r>
      <rPr>
        <sz val="10"/>
        <rFont val="Segoe UI"/>
        <family val="2"/>
        <charset val="128"/>
      </rPr>
      <t xml:space="preserve">秒。ターゲットが状態異常の場合、この効果がさらに</t>
    </r>
    <r>
      <rPr>
        <sz val="10"/>
        <rFont val="Times New Roman"/>
        <family val="1"/>
        <charset val="128"/>
      </rPr>
      <t xml:space="preserve">+6/6.9/7.8/8.7/9.6%</t>
    </r>
    <r>
      <rPr>
        <sz val="10"/>
        <rFont val="Segoe UI"/>
        <family val="2"/>
        <charset val="128"/>
      </rPr>
      <t xml:space="preserve">。</t>
    </r>
  </si>
  <si>
    <t xml:space="preserve">Hailstorm Shrine</t>
  </si>
  <si>
    <t xml:space="preserve">あられ落つ星殿</t>
  </si>
  <si>
    <r>
      <rPr>
        <sz val="10"/>
        <rFont val="Segoe UI"/>
        <family val="2"/>
        <charset val="128"/>
      </rPr>
      <t xml:space="preserve">会心ダメージ</t>
    </r>
    <r>
      <rPr>
        <sz val="10"/>
        <rFont val="Times New Roman"/>
        <family val="1"/>
        <charset val="128"/>
      </rPr>
      <t xml:space="preserve">+50/57/65/72/80%</t>
    </r>
    <r>
      <rPr>
        <sz val="10"/>
        <rFont val="Segoe UI"/>
        <family val="2"/>
        <charset val="128"/>
      </rPr>
      <t xml:space="preserve">。『強化特殊スキル』発動時、または任意のメンバーが敵を状態異常にした時、装備者による氷属性ダメージ</t>
    </r>
    <r>
      <rPr>
        <sz val="10"/>
        <rFont val="Times New Roman"/>
        <family val="1"/>
        <charset val="128"/>
      </rPr>
      <t xml:space="preserve">+20/23/26/29/32%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秒。継続時間は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重ごとに独立してカウントされる。</t>
    </r>
  </si>
  <si>
    <t xml:space="preserve">Zanshin Herb Case</t>
  </si>
  <si>
    <t xml:space="preserve">残心の青籠</t>
  </si>
  <si>
    <r>
      <rPr>
        <sz val="10"/>
        <rFont val="Segoe UI"/>
        <family val="2"/>
        <charset val="128"/>
      </rPr>
      <t xml:space="preserve">会心率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。『ダッシュ攻撃』による電気属性ダメージ</t>
    </r>
    <r>
      <rPr>
        <sz val="10"/>
        <rFont val="Times New Roman"/>
        <family val="1"/>
        <charset val="128"/>
      </rPr>
      <t xml:space="preserve">+40/46/52/58/64%</t>
    </r>
    <r>
      <rPr>
        <sz val="10"/>
        <rFont val="Segoe UI"/>
        <family val="2"/>
        <charset val="128"/>
      </rPr>
      <t xml:space="preserve">。任意のメンバーが敵を状態異常またはブレイク状態にした時、装備者の会心率が追加で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15</t>
    </r>
    <r>
      <rPr>
        <sz val="10"/>
        <rFont val="Segoe UI"/>
        <family val="2"/>
        <charset val="128"/>
      </rPr>
      <t xml:space="preserve">秒。</t>
    </r>
  </si>
  <si>
    <t xml:space="preserve">Elegant Vanity</t>
  </si>
  <si>
    <t xml:space="preserve">優美のヴァニティ</t>
  </si>
  <si>
    <r>
      <rPr>
        <sz val="10"/>
        <rFont val="Segoe UI"/>
        <family val="2"/>
        <charset val="128"/>
      </rPr>
      <t xml:space="preserve">任意のメンバーが『クイック支援』、『連携スキル』、『パリィ支援』、『回避支援』で出場した時、装備者のエネルギーを</t>
    </r>
    <r>
      <rPr>
        <sz val="10"/>
        <rFont val="Times New Roman"/>
        <family val="1"/>
        <charset val="128"/>
      </rPr>
      <t xml:space="preserve">5/5.5/6/6.5/7Pt</t>
    </r>
    <r>
      <rPr>
        <sz val="10"/>
        <rFont val="Segoe UI"/>
        <family val="2"/>
        <charset val="128"/>
      </rPr>
      <t xml:space="preserve">回復する、</t>
    </r>
    <r>
      <rPr>
        <sz val="10"/>
        <rFont val="Times New Roman"/>
        <family val="1"/>
        <charset val="128"/>
      </rPr>
      <t xml:space="preserve">5</t>
    </r>
    <r>
      <rPr>
        <sz val="10"/>
        <rFont val="Segoe UI"/>
        <family val="2"/>
        <charset val="128"/>
      </rPr>
      <t xml:space="preserve">秒に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回のみ発動可能。装備者がエネルギーを</t>
    </r>
    <r>
      <rPr>
        <sz val="10"/>
        <rFont val="Times New Roman"/>
        <family val="1"/>
        <charset val="128"/>
      </rPr>
      <t xml:space="preserve">25Pt</t>
    </r>
    <r>
      <rPr>
        <sz val="10"/>
        <rFont val="Segoe UI"/>
        <family val="2"/>
        <charset val="128"/>
      </rPr>
      <t xml:space="preserve">以上消費した時、チーム全体の与ダメージ</t>
    </r>
    <r>
      <rPr>
        <sz val="10"/>
        <rFont val="Times New Roman"/>
        <family val="1"/>
        <charset val="128"/>
      </rPr>
      <t xml:space="preserve">+10/11.5/13/14.5/16%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20</t>
    </r>
    <r>
      <rPr>
        <sz val="10"/>
        <rFont val="Segoe UI"/>
        <family val="2"/>
        <charset val="128"/>
      </rPr>
      <t xml:space="preserve">秒、重複して発動すると継続時間が更新される、該当効果はチーム内でひとつしか有効にならない。</t>
    </r>
  </si>
  <si>
    <t xml:space="preserve">Heartstring Nocturne</t>
  </si>
  <si>
    <t xml:space="preserve">心弦のノクターン</t>
  </si>
  <si>
    <r>
      <rPr>
        <sz val="10"/>
        <rFont val="Segoe UI"/>
        <family val="2"/>
        <charset val="128"/>
      </rPr>
      <t xml:space="preserve">会心ダメージ</t>
    </r>
    <r>
      <rPr>
        <sz val="10"/>
        <rFont val="Times New Roman"/>
        <family val="1"/>
        <charset val="128"/>
      </rPr>
      <t xml:space="preserve">+50/57.5/65/72.5/80%</t>
    </r>
    <r>
      <rPr>
        <sz val="10"/>
        <rFont val="Segoe UI"/>
        <family val="2"/>
        <charset val="128"/>
      </rPr>
      <t xml:space="preserve">。フィールド入場時、『連携スキル』発動時および『終結スキル』発動時に、装備者が「心弦」を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重獲得する。「心弦」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重につき、装備者の『連携スキル』と『終結スキル』がターゲットの炎属性ダメージ耐性を</t>
    </r>
    <r>
      <rPr>
        <sz val="10"/>
        <rFont val="Times New Roman"/>
        <family val="1"/>
        <charset val="128"/>
      </rPr>
      <t xml:space="preserve">12.5/14.5/16.5/18.5/20%</t>
    </r>
    <r>
      <rPr>
        <sz val="10"/>
        <rFont val="Segoe UI"/>
        <family val="2"/>
        <charset val="128"/>
      </rPr>
      <t xml:space="preserve">無視する。最大</t>
    </r>
    <r>
      <rPr>
        <sz val="10"/>
        <rFont val="Times New Roman"/>
        <family val="1"/>
        <charset val="128"/>
      </rPr>
      <t xml:space="preserve">2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30</t>
    </r>
    <r>
      <rPr>
        <sz val="10"/>
        <rFont val="Segoe UI"/>
        <family val="2"/>
        <charset val="128"/>
      </rPr>
      <t xml:space="preserve">秒、重複して発動すると継続時間が更新される。</t>
    </r>
  </si>
  <si>
    <t xml:space="preserve">Severed Innocence </t>
  </si>
  <si>
    <t xml:space="preserve">純然たる犠牲</t>
  </si>
  <si>
    <r>
      <rPr>
        <sz val="10"/>
        <rFont val="Segoe UI"/>
        <family val="2"/>
        <charset val="128"/>
      </rPr>
      <t xml:space="preserve">会心ダメージ</t>
    </r>
    <r>
      <rPr>
        <sz val="10"/>
        <rFont val="Times New Roman"/>
        <family val="1"/>
        <charset val="128"/>
      </rPr>
      <t xml:space="preserve">+30%/34.5%/39%/43.5%/48%</t>
    </r>
    <r>
      <rPr>
        <sz val="10"/>
        <rFont val="Segoe UI"/>
        <family val="2"/>
        <charset val="128"/>
      </rPr>
      <t xml:space="preserve">。装備者の『通常攻撃』、『特殊スキル』、または『追加攻撃』が敵に命中した時、それぞれバフ効果を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重獲得する。バフ効果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重につき、装備者の会心ダメージが追加で</t>
    </r>
    <r>
      <rPr>
        <sz val="10"/>
        <rFont val="Times New Roman"/>
        <family val="1"/>
        <charset val="128"/>
      </rPr>
      <t xml:space="preserve">+10%/11.5%/13%/14.5%/16%</t>
    </r>
    <r>
      <rPr>
        <sz val="10"/>
        <rFont val="Segoe UI"/>
        <family val="2"/>
        <charset val="128"/>
      </rPr>
      <t xml:space="preserve">、最大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重まで重ね掛け可能、継続時間</t>
    </r>
    <r>
      <rPr>
        <sz val="10"/>
        <rFont val="Times New Roman"/>
        <family val="1"/>
        <charset val="128"/>
      </rPr>
      <t xml:space="preserve">60</t>
    </r>
    <r>
      <rPr>
        <sz val="10"/>
        <rFont val="Segoe UI"/>
        <family val="2"/>
        <charset val="128"/>
      </rPr>
      <t xml:space="preserve">秒。継続時間は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重ごとに独立してカウントされ、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回のスキルにおいて</t>
    </r>
    <r>
      <rPr>
        <sz val="10"/>
        <rFont val="Times New Roman"/>
        <family val="1"/>
        <charset val="128"/>
      </rPr>
      <t xml:space="preserve">1</t>
    </r>
    <r>
      <rPr>
        <sz val="10"/>
        <rFont val="Segoe UI"/>
        <family val="2"/>
        <charset val="128"/>
      </rPr>
      <t xml:space="preserve">回のみ発動可能。バフ効果を</t>
    </r>
    <r>
      <rPr>
        <sz val="10"/>
        <rFont val="Times New Roman"/>
        <family val="1"/>
        <charset val="128"/>
      </rPr>
      <t xml:space="preserve">3</t>
    </r>
    <r>
      <rPr>
        <sz val="10"/>
        <rFont val="Segoe UI"/>
        <family val="2"/>
        <charset val="128"/>
      </rPr>
      <t xml:space="preserve">重所持している場合、装備者による電気属性ダメージ</t>
    </r>
    <r>
      <rPr>
        <sz val="10"/>
        <rFont val="Times New Roman"/>
        <family val="1"/>
        <charset val="128"/>
      </rPr>
      <t xml:space="preserve">+20%/23%/26%/29%/32%</t>
    </r>
    <r>
      <rPr>
        <sz val="10"/>
        <rFont val="Segoe UI"/>
        <family val="2"/>
        <charset val="128"/>
      </rPr>
      <t xml:space="preserve">。</t>
    </r>
  </si>
  <si>
    <t xml:space="preserve">Box Cutter</t>
  </si>
  <si>
    <t xml:space="preserve">ペーパーカッター</t>
  </si>
  <si>
    <r>
      <rPr>
        <sz val="10"/>
        <rFont val="Segoe UI"/>
        <family val="2"/>
        <charset val="128"/>
      </rPr>
      <t xml:space="preserve">『追加攻撃』を発動した時、装備者の与える物理属性ダメージ</t>
    </r>
    <r>
      <rPr>
        <sz val="10"/>
        <rFont val="Times New Roman"/>
        <family val="1"/>
        <charset val="128"/>
      </rPr>
      <t xml:space="preserve">+15%/17.3%/19.5%/21.8%/24%</t>
    </r>
    <r>
      <rPr>
        <sz val="10"/>
        <rFont val="Segoe UI"/>
        <family val="2"/>
        <charset val="128"/>
      </rPr>
      <t xml:space="preserve">、与えるブレイク値</t>
    </r>
    <r>
      <rPr>
        <sz val="10"/>
        <rFont val="Times New Roman"/>
        <family val="1"/>
        <charset val="128"/>
      </rPr>
      <t xml:space="preserve">+10%/11.5%/13%/14.5%/16%</t>
    </r>
    <r>
      <rPr>
        <sz val="10"/>
        <rFont val="Segoe UI"/>
        <family val="2"/>
        <charset val="128"/>
      </rPr>
      <t xml:space="preserve">、継続時間</t>
    </r>
    <r>
      <rPr>
        <sz val="10"/>
        <rFont val="Times New Roman"/>
        <family val="1"/>
        <charset val="128"/>
      </rPr>
      <t xml:space="preserve">10</t>
    </r>
    <r>
      <rPr>
        <sz val="10"/>
        <rFont val="Segoe UI"/>
        <family val="2"/>
        <charset val="128"/>
      </rPr>
      <t xml:space="preserve">秒。</t>
    </r>
  </si>
  <si>
    <t xml:space="preserve">Effect</t>
  </si>
  <si>
    <t xml:space="preserve">stack</t>
  </si>
  <si>
    <t xml:space="preserve">en</t>
  </si>
  <si>
    <t xml:space="preserve">jp</t>
  </si>
  <si>
    <t xml:space="preserve">type</t>
  </si>
  <si>
    <t xml:space="preserve">val</t>
  </si>
  <si>
    <t xml:space="preserve">group</t>
  </si>
  <si>
    <t xml:space="preserve">conditions</t>
  </si>
  <si>
    <t xml:space="preserve">range</t>
  </si>
  <si>
    <t xml:space="preserve">target</t>
  </si>
  <si>
    <t xml:space="preserve">comparison</t>
  </si>
  <si>
    <t xml:space="preserve">comparsion</t>
  </si>
  <si>
    <t xml:space="preserve">Swing Jazz</t>
  </si>
  <si>
    <t xml:space="preserve">スイング・ジャズ</t>
  </si>
  <si>
    <t xml:space="preserve">Woodpecker Electro</t>
  </si>
  <si>
    <t xml:space="preserve">ウッドペッカー・エレクトロ</t>
  </si>
  <si>
    <t xml:space="preserve">attack</t>
  </si>
  <si>
    <t xml:space="preserve">Puffer Electro</t>
  </si>
  <si>
    <t xml:space="preserve">パファー・エレクトロ</t>
  </si>
  <si>
    <t xml:space="preserve">Shockstar Disco</t>
  </si>
  <si>
    <t xml:space="preserve">ショックスター・ディスコ</t>
  </si>
  <si>
    <t xml:space="preserve">stun</t>
  </si>
  <si>
    <t xml:space="preserve">Freedom Blues</t>
  </si>
  <si>
    <t xml:space="preserve">フリーダム・ブルース</t>
  </si>
  <si>
    <t xml:space="preserve">anomaly</t>
  </si>
  <si>
    <t xml:space="preserve">Hormone Punk</t>
  </si>
  <si>
    <t xml:space="preserve">ホルモン・パンク</t>
  </si>
  <si>
    <t xml:space="preserve">Soul Rock</t>
  </si>
  <si>
    <t xml:space="preserve">ソウル・ロック</t>
  </si>
  <si>
    <t xml:space="preserve">defense</t>
  </si>
  <si>
    <t xml:space="preserve">Inferno Metal</t>
  </si>
  <si>
    <t xml:space="preserve">炎獄のヘヴィメタル</t>
  </si>
  <si>
    <t xml:space="preserve">bonus-fire</t>
  </si>
  <si>
    <t xml:space="preserve">dmg-bonus</t>
  </si>
  <si>
    <t xml:space="preserve">Chaotic Metal</t>
  </si>
  <si>
    <t xml:space="preserve">混沌のヘヴィメタル</t>
  </si>
  <si>
    <t xml:space="preserve">bonus-eth</t>
  </si>
  <si>
    <t xml:space="preserve">Thunder Metal</t>
  </si>
  <si>
    <t xml:space="preserve">霹靂のヘヴィメタル</t>
  </si>
  <si>
    <t xml:space="preserve">Polar Metal</t>
  </si>
  <si>
    <t xml:space="preserve">極地のヘヴィメタル</t>
  </si>
  <si>
    <t xml:space="preserve">Fanged Metal</t>
  </si>
  <si>
    <t xml:space="preserve">獣牙のヘヴィメタル</t>
  </si>
  <si>
    <t xml:space="preserve">Proto Punk</t>
  </si>
  <si>
    <t xml:space="preserve">プロト・パンク</t>
  </si>
  <si>
    <t xml:space="preserve">shield</t>
  </si>
  <si>
    <t xml:space="preserve">Chaos Jazz</t>
  </si>
  <si>
    <t xml:space="preserve">ケイオス・ジャズ</t>
  </si>
  <si>
    <t xml:space="preserve">auto</t>
  </si>
  <si>
    <t xml:space="preserve">self</t>
  </si>
  <si>
    <t xml:space="preserve">none</t>
  </si>
  <si>
    <t xml:space="preserve">select</t>
  </si>
  <si>
    <t xml:space="preserve">Branch &amp; Blade Song</t>
  </si>
  <si>
    <t xml:space="preserve">折枝の刀歌</t>
  </si>
  <si>
    <t xml:space="preserve">anm-b</t>
  </si>
  <si>
    <t xml:space="preserve">&gt;</t>
  </si>
  <si>
    <t xml:space="preserve">Astral Voice</t>
  </si>
  <si>
    <t xml:space="preserve">静寂のアストラ</t>
  </si>
  <si>
    <t xml:space="preserve">team</t>
  </si>
  <si>
    <t xml:space="preserve">Phaethon’s Melody</t>
  </si>
  <si>
    <t xml:space="preserve">「パエトーン」の歌</t>
  </si>
  <si>
    <t xml:space="preserve">Shadow Harmony</t>
  </si>
  <si>
    <t xml:space="preserve">シャドウハーモニー</t>
  </si>
  <si>
    <t xml:space="preserve">st-name</t>
  </si>
  <si>
    <t xml:space="preserve">class-name</t>
  </si>
  <si>
    <t xml:space="preserve">hp-v</t>
  </si>
  <si>
    <t xml:space="preserve">atk-v</t>
  </si>
  <si>
    <t xml:space="preserve">def-v</t>
  </si>
  <si>
    <t xml:space="preserve">pen-v</t>
  </si>
  <si>
    <t xml:space="preserve">レベル</t>
  </si>
  <si>
    <t xml:space="preserve">倍率</t>
  </si>
  <si>
    <t xml:space="preserve">上昇率</t>
  </si>
  <si>
    <t xml:space="preserve">攻撃係数</t>
  </si>
  <si>
    <t xml:space="preserve">防御係数</t>
  </si>
  <si>
    <t xml:space="preserve">基礎攻撃力</t>
  </si>
  <si>
    <t xml:space="preserve">スキル倍率</t>
  </si>
  <si>
    <t xml:space="preserve">敵防御基礎値</t>
  </si>
  <si>
    <r>
      <rPr>
        <sz val="10"/>
        <rFont val="ＭＳ Ｐゴシック"/>
        <family val="2"/>
        <charset val="128"/>
      </rPr>
      <t xml:space="preserve">敵</t>
    </r>
    <r>
      <rPr>
        <sz val="10"/>
        <rFont val="Arial"/>
        <family val="2"/>
        <charset val="128"/>
      </rPr>
      <t xml:space="preserve">Lv</t>
    </r>
  </si>
  <si>
    <r>
      <rPr>
        <sz val="10"/>
        <rFont val="ＭＳ Ｐゴシック"/>
        <family val="2"/>
        <charset val="128"/>
      </rPr>
      <t xml:space="preserve">攻撃側</t>
    </r>
    <r>
      <rPr>
        <sz val="10"/>
        <rFont val="Arial"/>
        <family val="2"/>
        <charset val="128"/>
      </rPr>
      <t xml:space="preserve">Lv</t>
    </r>
    <r>
      <rPr>
        <sz val="10"/>
        <rFont val="ＭＳ Ｐゴシック"/>
        <family val="2"/>
        <charset val="128"/>
      </rPr>
      <t xml:space="preserve">係数</t>
    </r>
  </si>
  <si>
    <t xml:space="preserve">ダメージ出力</t>
  </si>
  <si>
    <t xml:space="preserve">攻撃力</t>
  </si>
  <si>
    <t xml:space="preserve">ダメージボーナス</t>
  </si>
  <si>
    <t xml:space="preserve">特殊補正</t>
  </si>
  <si>
    <t xml:space="preserve">会心補正</t>
  </si>
  <si>
    <t xml:space="preserve">ブレイク倍率</t>
  </si>
  <si>
    <t xml:space="preserve">防御補正</t>
  </si>
  <si>
    <t xml:space="preserve">耐性補正</t>
  </si>
  <si>
    <t xml:space="preserve">=</t>
  </si>
  <si>
    <t xml:space="preserve">↑</t>
  </si>
  <si>
    <t xml:space="preserve">レベル係数</t>
  </si>
  <si>
    <t xml:space="preserve">有効防御力</t>
  </si>
  <si>
    <t xml:space="preserve">攻撃力倍率</t>
  </si>
  <si>
    <t xml:space="preserve">攻撃力加算</t>
  </si>
  <si>
    <t xml:space="preserve">攻撃力倍率バフ</t>
  </si>
  <si>
    <t xml:space="preserve">攻撃力加算バフ</t>
  </si>
  <si>
    <t xml:space="preserve">防御力</t>
  </si>
  <si>
    <t xml:space="preserve">防御デバフ</t>
  </si>
  <si>
    <t xml:space="preserve">貫通率</t>
  </si>
  <si>
    <t xml:space="preserve">貫通値</t>
  </si>
  <si>
    <t xml:space="preserve">防御基礎値</t>
  </si>
  <si>
    <t xml:space="preserve">敵レベル</t>
  </si>
  <si>
    <t xml:space="preserve">基礎値</t>
  </si>
  <si>
    <t xml:space="preserve">実ダメージ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</si>
</sst>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%"/>
    <numFmt numFmtId="166" formatCode="0.00%"/>
    <numFmt numFmtId="167" formatCode="0.000%"/>
    <numFmt numFmtId="168" formatCode="#,##0.000"/>
    <numFmt numFmtId="169" formatCode="#,##0.00"/>
    <numFmt numFmtId="170" formatCode="0.000"/>
    <numFmt numFmtId="171" formatCode="0.0%"/>
    <numFmt numFmtId="172" formatCode="0.0"/>
    <numFmt numFmtId="173" formatCode="&quot;TRUE&quot;;&quot;TRUE&quot;;&quot;FALSE&quot;"/>
    <numFmt numFmtId="174" formatCode="0"/>
  </numFmts>
  <fonts count="10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Segoe UI"/>
      <family val="2"/>
      <charset val="128"/>
    </font>
    <font>
      <sz val="10"/>
      <name val="Times New Roman"/>
      <family val="1"/>
      <charset val="128"/>
    </font>
    <font>
      <sz val="10"/>
      <name val="ＭＳ ゴシック;游ゴシック;メイリオ"/>
      <family val="3"/>
      <charset val="128"/>
    </font>
    <font>
      <b val="true"/>
      <sz val="10"/>
      <name val="Segoe UI"/>
      <family val="2"/>
      <charset val="128"/>
    </font>
    <font>
      <sz val="10"/>
      <color rgb="FFFFFFFF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28370854514645"/>
          <c:y val="0.0386580759831149"/>
          <c:w val="0.770806100217865"/>
          <c:h val="0.865807598311486"/>
        </c:manualLayout>
      </c:layout>
      <c:lineChart>
        <c:grouping val="standard"/>
        <c:varyColors val="0"/>
        <c:ser>
          <c:idx val="0"/>
          <c:order val="0"/>
          <c:tx>
            <c:strRef>
              <c:f>Sheet9!$C$23</c:f>
              <c:strCache>
                <c:ptCount val="1"/>
                <c:pt idx="0">
                  <c:v>実ダメージ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Sheet9!$B$25:$B$30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strCache>
            </c:strRef>
          </c:cat>
          <c:val>
            <c:numRef>
              <c:f>Sheet9!$C$25:$C$30</c:f>
              <c:numCache>
                <c:formatCode>General</c:formatCode>
                <c:ptCount val="6"/>
                <c:pt idx="0">
                  <c:v>832</c:v>
                </c:pt>
                <c:pt idx="1">
                  <c:v>771</c:v>
                </c:pt>
                <c:pt idx="2">
                  <c:v>698</c:v>
                </c:pt>
                <c:pt idx="3">
                  <c:v>623</c:v>
                </c:pt>
                <c:pt idx="4">
                  <c:v>551</c:v>
                </c:pt>
                <c:pt idx="5">
                  <c:v>485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Sheet9!$D$23</c:f>
              <c:strCache>
                <c:ptCount val="1"/>
                <c:pt idx="0">
                  <c:v>防御補正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Sheet9!$B$25:$B$30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strCache>
            </c:strRef>
          </c:cat>
          <c:val>
            <c:numRef>
              <c:f>Sheet9!$D$25:$D$30</c:f>
              <c:numCache>
                <c:formatCode>General</c:formatCode>
                <c:ptCount val="6"/>
                <c:pt idx="0">
                  <c:v>0.904131620699398</c:v>
                </c:pt>
                <c:pt idx="1">
                  <c:v>0.837843124470235</c:v>
                </c:pt>
                <c:pt idx="2">
                  <c:v>0.758514268327139</c:v>
                </c:pt>
                <c:pt idx="3">
                  <c:v>0.677012018865054</c:v>
                </c:pt>
                <c:pt idx="4">
                  <c:v>0.598769859381452</c:v>
                </c:pt>
                <c:pt idx="5">
                  <c:v>0.527047879854817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Sheet9!$E$23</c:f>
              <c:strCache>
                <c:ptCount val="1"/>
                <c:pt idx="0">
                  <c:v>有効防御力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Sheet9!$B$25:$B$30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strCache>
            </c:strRef>
          </c:cat>
          <c:val>
            <c:numRef>
              <c:f>Sheet9!$E$25:$E$30</c:f>
              <c:numCache>
                <c:formatCode>General</c:formatCode>
                <c:ptCount val="6"/>
                <c:pt idx="0">
                  <c:v>84.1907211538461</c:v>
                </c:pt>
                <c:pt idx="1">
                  <c:v>153.671439688716</c:v>
                </c:pt>
                <c:pt idx="2">
                  <c:v>252.783209169054</c:v>
                </c:pt>
                <c:pt idx="3">
                  <c:v>378.800449438202</c:v>
                </c:pt>
                <c:pt idx="4">
                  <c:v>532.052050816697</c:v>
                </c:pt>
                <c:pt idx="5">
                  <c:v>712.504494845361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523331"/>
        <c:axId val="60784846"/>
      </c:lineChart>
      <c:catAx>
        <c:axId val="675233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fffff"/>
                </a:solidFill>
                <a:uFillTx/>
                <a:latin typeface="Arial"/>
              </a:defRPr>
            </a:pPr>
          </a:p>
        </c:txPr>
        <c:crossAx val="60784846"/>
        <c:crosses val="autoZero"/>
        <c:auto val="1"/>
        <c:lblAlgn val="ctr"/>
        <c:lblOffset val="100"/>
        <c:noMultiLvlLbl val="0"/>
      </c:catAx>
      <c:valAx>
        <c:axId val="607848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fffff"/>
                </a:solidFill>
                <a:uFillTx/>
                <a:latin typeface="Arial"/>
              </a:defRPr>
            </a:pPr>
          </a:p>
        </c:txPr>
        <c:crossAx val="67523331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1786492374728"/>
          <c:y val="0.437680515441013"/>
          <c:w val="0.178076885833253"/>
          <c:h val="0.1197644706143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ffffff"/>
              </a:solidFill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1c1c1c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43920</xdr:colOff>
      <xdr:row>23</xdr:row>
      <xdr:rowOff>0</xdr:rowOff>
    </xdr:from>
    <xdr:to>
      <xdr:col>15</xdr:col>
      <xdr:colOff>164160</xdr:colOff>
      <xdr:row>42</xdr:row>
      <xdr:rowOff>151920</xdr:rowOff>
    </xdr:to>
    <xdr:graphicFrame>
      <xdr:nvGraphicFramePr>
        <xdr:cNvPr id="0" name=""/>
        <xdr:cNvGraphicFramePr/>
      </xdr:nvGraphicFramePr>
      <xdr:xfrm>
        <a:off x="4920840" y="3738960"/>
        <a:ext cx="74354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121"/>
  <sheetViews>
    <sheetView showFormulas="false" showGridLines="true" showRowColHeaders="true" showZeros="true" rightToLeft="false" tabSelected="false" showOutlineSymbols="true" defaultGridColor="true" view="normal" topLeftCell="A77" colorId="64" zoomScale="90" zoomScaleNormal="90" zoomScalePageLayoutView="100" workbookViewId="0">
      <selection pane="topLeft" activeCell="E121" activeCellId="0" sqref="E121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3" min="13" style="0" width="7.13"/>
  </cols>
  <sheetData>
    <row r="2" customFormat="false" ht="12.8" hidden="false" customHeight="false" outlineLevel="0" collapsed="false">
      <c r="C2" s="1" t="s">
        <v>0</v>
      </c>
    </row>
    <row r="3" customFormat="false" ht="12.8" hidden="false" customHeight="false" outlineLevel="0" collapsed="false">
      <c r="A3" s="1" t="s">
        <v>1</v>
      </c>
      <c r="B3" s="0" t="n">
        <v>7673</v>
      </c>
      <c r="C3" s="0" t="n">
        <v>880</v>
      </c>
      <c r="D3" s="0" t="n">
        <v>606</v>
      </c>
      <c r="E3" s="0" t="n">
        <v>86</v>
      </c>
    </row>
    <row r="4" customFormat="false" ht="12.8" hidden="false" customHeight="false" outlineLevel="0" collapsed="false">
      <c r="A4" s="1" t="s">
        <v>2</v>
      </c>
      <c r="C4" s="0" t="n">
        <v>684</v>
      </c>
    </row>
    <row r="5" customFormat="false" ht="12.8" hidden="false" customHeight="false" outlineLevel="0" collapsed="false">
      <c r="C5" s="2" t="n">
        <v>0</v>
      </c>
    </row>
    <row r="6" customFormat="false" ht="12.8" hidden="false" customHeight="false" outlineLevel="0" collapsed="false">
      <c r="A6" s="1" t="s">
        <v>3</v>
      </c>
      <c r="C6" s="0" t="n">
        <v>38</v>
      </c>
    </row>
    <row r="7" customFormat="false" ht="12.8" hidden="false" customHeight="false" outlineLevel="0" collapsed="false">
      <c r="C7" s="2" t="n">
        <v>0</v>
      </c>
    </row>
    <row r="8" customFormat="false" ht="12.8" hidden="false" customHeight="false" outlineLevel="0" collapsed="false">
      <c r="A8" s="1" t="s">
        <v>4</v>
      </c>
      <c r="C8" s="0" t="n">
        <v>316</v>
      </c>
    </row>
    <row r="9" customFormat="false" ht="12.8" hidden="false" customHeight="false" outlineLevel="0" collapsed="false">
      <c r="C9" s="2" t="n">
        <v>0</v>
      </c>
    </row>
    <row r="10" customFormat="false" ht="12.8" hidden="false" customHeight="false" outlineLevel="0" collapsed="false">
      <c r="A10" s="1" t="s">
        <v>5</v>
      </c>
      <c r="C10" s="0" t="n">
        <v>0</v>
      </c>
    </row>
    <row r="11" customFormat="false" ht="12.8" hidden="false" customHeight="false" outlineLevel="0" collapsed="false">
      <c r="C11" s="2" t="n">
        <v>0.06</v>
      </c>
    </row>
    <row r="12" customFormat="false" ht="12.8" hidden="false" customHeight="false" outlineLevel="0" collapsed="false">
      <c r="A12" s="1" t="s">
        <v>6</v>
      </c>
      <c r="C12" s="0" t="n">
        <v>0</v>
      </c>
    </row>
    <row r="13" customFormat="false" ht="12.8" hidden="false" customHeight="false" outlineLevel="0" collapsed="false">
      <c r="C13" s="2" t="n">
        <v>0.12</v>
      </c>
    </row>
    <row r="14" customFormat="false" ht="12.8" hidden="false" customHeight="false" outlineLevel="0" collapsed="false">
      <c r="A14" s="1" t="s">
        <v>7</v>
      </c>
      <c r="C14" s="0" t="n">
        <v>0</v>
      </c>
    </row>
    <row r="15" customFormat="false" ht="12.8" hidden="false" customHeight="false" outlineLevel="0" collapsed="false">
      <c r="C15" s="2" t="n">
        <v>0.09</v>
      </c>
    </row>
    <row r="16" customFormat="false" ht="12.8" hidden="false" customHeight="false" outlineLevel="0" collapsed="false">
      <c r="A16" s="1" t="s">
        <v>8</v>
      </c>
      <c r="C16" s="0" t="n">
        <v>57</v>
      </c>
    </row>
    <row r="17" customFormat="false" ht="12.8" hidden="false" customHeight="false" outlineLevel="0" collapsed="false">
      <c r="C17" s="2" t="n">
        <v>0</v>
      </c>
    </row>
    <row r="19" customFormat="false" ht="12.8" hidden="false" customHeight="false" outlineLevel="0" collapsed="false">
      <c r="A19" s="1" t="s">
        <v>9</v>
      </c>
      <c r="C19" s="0" t="n">
        <f aca="false">SUM(C6,C8,C10,C12,C14,C16)</f>
        <v>411</v>
      </c>
    </row>
    <row r="20" customFormat="false" ht="12.8" hidden="false" customHeight="false" outlineLevel="0" collapsed="false">
      <c r="C20" s="2" t="n">
        <f aca="false">SUM(C5,C7,C9,C11,C13,C15,C17)</f>
        <v>0.27</v>
      </c>
      <c r="K20" s="3" t="n">
        <v>0.0677</v>
      </c>
      <c r="L20" s="3" t="n">
        <f aca="false">63.23%</f>
        <v>0.6323</v>
      </c>
      <c r="M20" s="3" t="s">
        <v>10</v>
      </c>
      <c r="N20" s="3" t="n">
        <f aca="false">30%</f>
        <v>0.3</v>
      </c>
      <c r="O20" s="1" t="s">
        <v>11</v>
      </c>
    </row>
    <row r="21" customFormat="false" ht="12.8" hidden="false" customHeight="false" outlineLevel="0" collapsed="false">
      <c r="C21" s="0" t="n">
        <f aca="false">(C3+C4)*C20</f>
        <v>422.28</v>
      </c>
      <c r="D21" s="0" t="n">
        <f aca="false">(C3+C4)*0.03</f>
        <v>46.92</v>
      </c>
      <c r="G21" s="0" t="n">
        <v>32</v>
      </c>
      <c r="H21" s="0" t="n">
        <v>475</v>
      </c>
      <c r="I21" s="4" t="n">
        <f aca="false">G21/H21</f>
        <v>0.0673684210526316</v>
      </c>
      <c r="J21" s="4" t="n">
        <f aca="false">H21/G21</f>
        <v>14.84375</v>
      </c>
      <c r="K21" s="5" t="n">
        <f aca="false">H21*$K$20</f>
        <v>32.1575</v>
      </c>
      <c r="L21" s="5" t="n">
        <f aca="false">H21*$L$20</f>
        <v>300.3425</v>
      </c>
      <c r="M21" s="5" t="n">
        <f aca="false">L21/60</f>
        <v>5.00570833333333</v>
      </c>
      <c r="N21" s="5" t="n">
        <f aca="false">H21*$N$20</f>
        <v>142.5</v>
      </c>
      <c r="O21" s="5" t="n">
        <f aca="false">N21/5</f>
        <v>28.5</v>
      </c>
    </row>
    <row r="22" customFormat="false" ht="12.8" hidden="false" customHeight="false" outlineLevel="0" collapsed="false">
      <c r="C22" s="0" t="n">
        <f aca="false">(C3+C4)*(1+C20)+C19</f>
        <v>2397.28</v>
      </c>
      <c r="G22" s="0" t="n">
        <v>40</v>
      </c>
      <c r="H22" s="0" t="n">
        <v>594</v>
      </c>
      <c r="I22" s="4" t="n">
        <f aca="false">G22/H22</f>
        <v>0.0673400673400673</v>
      </c>
      <c r="J22" s="4" t="n">
        <f aca="false">H22/G22</f>
        <v>14.85</v>
      </c>
      <c r="K22" s="5" t="n">
        <f aca="false">H22*$K$20</f>
        <v>40.2138</v>
      </c>
      <c r="L22" s="5" t="n">
        <f aca="false">H22*$L$20</f>
        <v>375.5862</v>
      </c>
      <c r="M22" s="5" t="n">
        <f aca="false">L22/60</f>
        <v>6.25977</v>
      </c>
      <c r="N22" s="5" t="n">
        <f aca="false">H22*$N$20</f>
        <v>178.2</v>
      </c>
      <c r="O22" s="5" t="n">
        <f aca="false">N22/5</f>
        <v>35.64</v>
      </c>
    </row>
    <row r="23" customFormat="false" ht="12.8" hidden="false" customHeight="false" outlineLevel="0" collapsed="false">
      <c r="C23" s="0" t="n">
        <f aca="false">SUM(C3,C4,C19,C21)</f>
        <v>2397.28</v>
      </c>
      <c r="G23" s="0" t="n">
        <v>42</v>
      </c>
      <c r="H23" s="0" t="n">
        <v>624</v>
      </c>
      <c r="I23" s="4" t="n">
        <f aca="false">G23/H23</f>
        <v>0.0673076923076923</v>
      </c>
      <c r="J23" s="4" t="n">
        <f aca="false">H23/G23</f>
        <v>14.8571428571429</v>
      </c>
      <c r="K23" s="5" t="n">
        <f aca="false">H23*$K$20</f>
        <v>42.2448</v>
      </c>
      <c r="L23" s="5" t="n">
        <f aca="false">H23*$L$20</f>
        <v>394.5552</v>
      </c>
      <c r="M23" s="5" t="n">
        <f aca="false">L23/60</f>
        <v>6.57592</v>
      </c>
      <c r="N23" s="5" t="n">
        <f aca="false">H23*$N$20</f>
        <v>187.2</v>
      </c>
      <c r="O23" s="5" t="n">
        <f aca="false">N23/5</f>
        <v>37.44</v>
      </c>
    </row>
    <row r="24" customFormat="false" ht="12.8" hidden="false" customHeight="false" outlineLevel="0" collapsed="false">
      <c r="G24" s="0" t="n">
        <v>46</v>
      </c>
      <c r="H24" s="0" t="n">
        <v>684</v>
      </c>
      <c r="I24" s="4" t="n">
        <f aca="false">G24/H24</f>
        <v>0.0672514619883041</v>
      </c>
      <c r="J24" s="4" t="n">
        <f aca="false">H24/G24</f>
        <v>14.8695652173913</v>
      </c>
      <c r="K24" s="5" t="n">
        <f aca="false">H24*$K$20</f>
        <v>46.3068</v>
      </c>
      <c r="L24" s="5" t="n">
        <f aca="false">H24*$L$20</f>
        <v>432.4932</v>
      </c>
      <c r="M24" s="5" t="n">
        <f aca="false">L24/60</f>
        <v>7.20822</v>
      </c>
      <c r="N24" s="5" t="n">
        <f aca="false">H24*$N$20</f>
        <v>205.2</v>
      </c>
      <c r="O24" s="5" t="n">
        <f aca="false">N24/5</f>
        <v>41.04</v>
      </c>
    </row>
    <row r="25" customFormat="false" ht="12.8" hidden="false" customHeight="false" outlineLevel="0" collapsed="false">
      <c r="G25" s="0" t="n">
        <v>48</v>
      </c>
      <c r="H25" s="0" t="n">
        <v>713</v>
      </c>
      <c r="I25" s="4" t="n">
        <f aca="false">G25/H25</f>
        <v>0.0673211781206171</v>
      </c>
      <c r="J25" s="4" t="n">
        <f aca="false">H25/G25</f>
        <v>14.8541666666667</v>
      </c>
      <c r="K25" s="5" t="n">
        <f aca="false">H25*$K$20</f>
        <v>48.2701</v>
      </c>
      <c r="L25" s="5" t="n">
        <f aca="false">H25*$L$20</f>
        <v>450.8299</v>
      </c>
      <c r="M25" s="5" t="n">
        <f aca="false">L25/60</f>
        <v>7.51383166666667</v>
      </c>
      <c r="N25" s="5" t="n">
        <f aca="false">H25*$N$20</f>
        <v>213.9</v>
      </c>
      <c r="O25" s="5" t="n">
        <f aca="false">N25/5</f>
        <v>42.78</v>
      </c>
    </row>
    <row r="26" customFormat="false" ht="12.8" hidden="false" customHeight="false" outlineLevel="0" collapsed="false">
      <c r="C26" s="0" t="n">
        <f aca="false">2434.11-C22</f>
        <v>36.8300000000004</v>
      </c>
      <c r="G26" s="0" t="n">
        <v>50</v>
      </c>
      <c r="H26" s="0" t="n">
        <v>743</v>
      </c>
      <c r="I26" s="4" t="n">
        <f aca="false">G26/H26</f>
        <v>0.0672947510094213</v>
      </c>
      <c r="J26" s="4" t="n">
        <f aca="false">H26/G26</f>
        <v>14.86</v>
      </c>
      <c r="K26" s="5" t="n">
        <f aca="false">H26*$K$20</f>
        <v>50.3011</v>
      </c>
      <c r="L26" s="5" t="n">
        <f aca="false">H26*$L$20</f>
        <v>469.7989</v>
      </c>
      <c r="M26" s="5" t="n">
        <f aca="false">L26/60</f>
        <v>7.82998166666667</v>
      </c>
      <c r="N26" s="5" t="n">
        <f aca="false">H26*$N$20</f>
        <v>222.9</v>
      </c>
      <c r="O26" s="5" t="n">
        <f aca="false">N26/5</f>
        <v>44.58</v>
      </c>
    </row>
    <row r="27" customFormat="false" ht="12.8" hidden="false" customHeight="false" outlineLevel="0" collapsed="false">
      <c r="I27" s="4" t="n">
        <f aca="false">AVERAGE(I21:I26)</f>
        <v>0.0673139286364556</v>
      </c>
      <c r="J27" s="4" t="n">
        <f aca="false">AVERAGE(J21:J26)</f>
        <v>14.8557707902001</v>
      </c>
    </row>
    <row r="30" customFormat="false" ht="12.8" hidden="false" customHeight="false" outlineLevel="0" collapsed="false">
      <c r="A30" s="1" t="s">
        <v>12</v>
      </c>
      <c r="B30" s="1" t="s">
        <v>13</v>
      </c>
      <c r="C30" s="1" t="s">
        <v>14</v>
      </c>
      <c r="D30" s="1" t="s">
        <v>15</v>
      </c>
      <c r="E30" s="1" t="s">
        <v>16</v>
      </c>
    </row>
    <row r="31" customFormat="false" ht="12.8" hidden="false" customHeight="false" outlineLevel="0" collapsed="false">
      <c r="A31" s="0" t="n">
        <v>32</v>
      </c>
      <c r="B31" s="6" t="n">
        <f aca="false">A31*B32</f>
        <v>5.01312</v>
      </c>
      <c r="C31" s="6" t="n">
        <f aca="false">A31*C32</f>
        <v>28.608</v>
      </c>
      <c r="D31" s="0" t="n">
        <v>5</v>
      </c>
      <c r="E31" s="6" t="n">
        <f aca="false">A31+(B31*60)+(C31*5)</f>
        <v>475.8272</v>
      </c>
      <c r="F31" s="6" t="n">
        <f aca="false">A31*F32</f>
        <v>475.84</v>
      </c>
    </row>
    <row r="32" customFormat="false" ht="12.8" hidden="false" customHeight="false" outlineLevel="0" collapsed="false">
      <c r="B32" s="3" t="n">
        <v>0.15666</v>
      </c>
      <c r="C32" s="3" t="n">
        <v>0.894</v>
      </c>
      <c r="F32" s="3" t="n">
        <v>14.87</v>
      </c>
    </row>
    <row r="33" customFormat="false" ht="12.8" hidden="false" customHeight="false" outlineLevel="0" collapsed="false">
      <c r="A33" s="1" t="s">
        <v>17</v>
      </c>
      <c r="C33" s="1" t="s">
        <v>18</v>
      </c>
      <c r="D33" s="1" t="s">
        <v>19</v>
      </c>
      <c r="F33" s="1" t="s">
        <v>20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7" t="n">
        <f aca="false">$A$31+$B$31*$A34+$C$31*$B34</f>
        <v>32</v>
      </c>
      <c r="D34" s="0" t="n">
        <f aca="false">ROUNDDOWN($A$31+$B$31*$A34+$C$31*$B34,0)</f>
        <v>32</v>
      </c>
      <c r="F34" s="0" t="n">
        <v>0</v>
      </c>
      <c r="H34" s="8" t="n">
        <f aca="false">F34/$A$31</f>
        <v>0</v>
      </c>
    </row>
    <row r="35" customFormat="false" ht="12.8" hidden="false" customHeight="false" outlineLevel="0" collapsed="false">
      <c r="A35" s="0" t="n">
        <v>1</v>
      </c>
      <c r="B35" s="0" t="n">
        <v>0</v>
      </c>
      <c r="C35" s="7" t="n">
        <f aca="false">$A$31+$B$31*$A35+$C$31*$B35</f>
        <v>37.01312</v>
      </c>
      <c r="D35" s="0" t="n">
        <f aca="false">ROUNDDOWN($A$31+$B$31*$A35+$C$31*$B35,0)</f>
        <v>37</v>
      </c>
      <c r="E35" s="9" t="str">
        <f aca="false">"+"&amp;($D35-$D34)</f>
        <v>+5</v>
      </c>
      <c r="F35" s="0" t="n">
        <v>6</v>
      </c>
      <c r="G35" s="0" t="n">
        <f aca="false">F35-F34</f>
        <v>6</v>
      </c>
      <c r="H35" s="8" t="n">
        <f aca="false">G35/$A$31</f>
        <v>0.1875</v>
      </c>
      <c r="J35" s="1" t="s">
        <v>0</v>
      </c>
      <c r="K35" s="0" t="n">
        <v>2856</v>
      </c>
      <c r="L35" s="0" t="n">
        <v>2781</v>
      </c>
    </row>
    <row r="36" customFormat="false" ht="12.8" hidden="false" customHeight="false" outlineLevel="0" collapsed="false">
      <c r="A36" s="0" t="n">
        <v>2</v>
      </c>
      <c r="B36" s="0" t="n">
        <v>0</v>
      </c>
      <c r="C36" s="7" t="n">
        <f aca="false">$A$31+$B$31*$A36+$C$31*$B36</f>
        <v>42.02624</v>
      </c>
      <c r="D36" s="0" t="n">
        <f aca="false">ROUNDDOWN($A$31+$B$31*$A36+$C$31*$B36,0)</f>
        <v>42</v>
      </c>
      <c r="E36" s="0" t="str">
        <f aca="false">"+"&amp;($D36-$D35)</f>
        <v>+5</v>
      </c>
      <c r="F36" s="0" t="n">
        <v>13</v>
      </c>
      <c r="G36" s="0" t="n">
        <f aca="false">F36-F35</f>
        <v>7</v>
      </c>
      <c r="H36" s="8" t="n">
        <f aca="false">G36/$A$31</f>
        <v>0.21875</v>
      </c>
      <c r="J36" s="1" t="s">
        <v>21</v>
      </c>
      <c r="K36" s="0" t="n">
        <v>68.2</v>
      </c>
      <c r="L36" s="0" t="n">
        <v>75.4</v>
      </c>
    </row>
    <row r="37" customFormat="false" ht="12.8" hidden="false" customHeight="false" outlineLevel="0" collapsed="false">
      <c r="A37" s="0" t="n">
        <v>3</v>
      </c>
      <c r="B37" s="0" t="n">
        <v>0</v>
      </c>
      <c r="C37" s="7" t="n">
        <f aca="false">$A$31+$B$31*$A37+$C$31*$B37</f>
        <v>47.03936</v>
      </c>
      <c r="D37" s="0" t="n">
        <f aca="false">ROUNDDOWN($A$31+$B$31*$A37+$C$31*$B37,0)</f>
        <v>47</v>
      </c>
      <c r="E37" s="0" t="str">
        <f aca="false">"+"&amp;($D37-$D36)</f>
        <v>+5</v>
      </c>
      <c r="F37" s="0" t="n">
        <v>19</v>
      </c>
      <c r="G37" s="0" t="n">
        <f aca="false">F37-F36</f>
        <v>6</v>
      </c>
      <c r="H37" s="8" t="n">
        <f aca="false">G37/$A$31</f>
        <v>0.1875</v>
      </c>
      <c r="J37" s="1" t="s">
        <v>22</v>
      </c>
      <c r="K37" s="0" t="n">
        <v>104.4</v>
      </c>
      <c r="L37" s="0" t="n">
        <v>104.4</v>
      </c>
    </row>
    <row r="38" customFormat="false" ht="12.8" hidden="false" customHeight="false" outlineLevel="0" collapsed="false">
      <c r="A38" s="0" t="n">
        <v>4</v>
      </c>
      <c r="B38" s="0" t="n">
        <v>0</v>
      </c>
      <c r="C38" s="7" t="n">
        <f aca="false">$A$31+$B$31*$A38+$C$31*$B38</f>
        <v>52.05248</v>
      </c>
      <c r="D38" s="0" t="n">
        <f aca="false">ROUNDDOWN($A$31+$B$31*$A38+$C$31*$B38,0)</f>
        <v>52</v>
      </c>
      <c r="E38" s="0" t="str">
        <f aca="false">"+"&amp;($D38-$D37)</f>
        <v>+5</v>
      </c>
      <c r="F38" s="0" t="n">
        <v>26</v>
      </c>
      <c r="G38" s="0" t="n">
        <f aca="false">F38-F37</f>
        <v>7</v>
      </c>
      <c r="H38" s="8" t="n">
        <f aca="false">G38/$A$31</f>
        <v>0.21875</v>
      </c>
    </row>
    <row r="39" customFormat="false" ht="12.8" hidden="false" customHeight="false" outlineLevel="0" collapsed="false">
      <c r="A39" s="0" t="n">
        <v>5</v>
      </c>
      <c r="B39" s="0" t="n">
        <v>0</v>
      </c>
      <c r="C39" s="7" t="n">
        <f aca="false">$A$31+$B$31*$A39+$C$31*$B39</f>
        <v>57.0656</v>
      </c>
      <c r="D39" s="0" t="n">
        <f aca="false">ROUNDDOWN($A$31+$B$31*$A39+$C$31*$B39,0)</f>
        <v>57</v>
      </c>
      <c r="E39" s="0" t="str">
        <f aca="false">"+"&amp;($D39-$D38)</f>
        <v>+5</v>
      </c>
      <c r="F39" s="0" t="n">
        <v>32</v>
      </c>
      <c r="G39" s="0" t="n">
        <f aca="false">F39-F38</f>
        <v>6</v>
      </c>
      <c r="H39" s="8" t="n">
        <f aca="false">G39/$A$31</f>
        <v>0.1875</v>
      </c>
      <c r="K39" s="10" t="n">
        <f aca="false">K35*(1+(K37/100)*(K36/100))</f>
        <v>4889.494848</v>
      </c>
      <c r="L39" s="10" t="n">
        <f aca="false">L35*(1+(L37/100)*(L36/100))</f>
        <v>4970.136456</v>
      </c>
    </row>
    <row r="40" customFormat="false" ht="12.8" hidden="false" customHeight="false" outlineLevel="0" collapsed="false">
      <c r="A40" s="0" t="n">
        <v>6</v>
      </c>
      <c r="B40" s="0" t="n">
        <v>0</v>
      </c>
      <c r="C40" s="7" t="n">
        <f aca="false">$A$31+$B$31*$A40+$C$31*$B40</f>
        <v>62.07872</v>
      </c>
      <c r="D40" s="0" t="n">
        <f aca="false">ROUNDDOWN($A$31+$B$31*$A40+$C$31*$B40,0)</f>
        <v>62</v>
      </c>
      <c r="E40" s="0" t="str">
        <f aca="false">"+"&amp;($D40-$D39)</f>
        <v>+5</v>
      </c>
      <c r="F40" s="0" t="n">
        <v>39</v>
      </c>
      <c r="G40" s="0" t="n">
        <f aca="false">F40-F39</f>
        <v>7</v>
      </c>
      <c r="H40" s="8" t="n">
        <f aca="false">G40/$A$31</f>
        <v>0.21875</v>
      </c>
      <c r="K40" s="10" t="n">
        <f aca="false">K39/K35</f>
        <v>1.712008</v>
      </c>
      <c r="L40" s="10" t="n">
        <f aca="false">L39/L35</f>
        <v>1.787176</v>
      </c>
    </row>
    <row r="41" customFormat="false" ht="12.8" hidden="false" customHeight="false" outlineLevel="0" collapsed="false">
      <c r="A41" s="0" t="n">
        <v>7</v>
      </c>
      <c r="B41" s="0" t="n">
        <v>0</v>
      </c>
      <c r="C41" s="7" t="n">
        <f aca="false">$A$31+$B$31*$A41+$C$31*$B41</f>
        <v>67.09184</v>
      </c>
      <c r="D41" s="0" t="n">
        <f aca="false">ROUNDDOWN($A$31+$B$31*$A41+$C$31*$B41,0)</f>
        <v>67</v>
      </c>
      <c r="E41" s="0" t="str">
        <f aca="false">"+"&amp;($D41-$D40)</f>
        <v>+5</v>
      </c>
      <c r="F41" s="0" t="n">
        <v>46</v>
      </c>
      <c r="G41" s="0" t="n">
        <f aca="false">F41-F40</f>
        <v>7</v>
      </c>
      <c r="H41" s="8" t="n">
        <f aca="false">G41/$A$31</f>
        <v>0.21875</v>
      </c>
    </row>
    <row r="42" customFormat="false" ht="12.8" hidden="false" customHeight="false" outlineLevel="0" collapsed="false">
      <c r="A42" s="0" t="n">
        <v>8</v>
      </c>
      <c r="B42" s="0" t="n">
        <v>0</v>
      </c>
      <c r="C42" s="7" t="n">
        <f aca="false">$A$31+$B$31*$A42+$C$31*$B42</f>
        <v>72.10496</v>
      </c>
      <c r="D42" s="0" t="n">
        <f aca="false">ROUNDDOWN($A$31+$B$31*$A42+$C$31*$B42,0)</f>
        <v>72</v>
      </c>
      <c r="E42" s="0" t="str">
        <f aca="false">"+"&amp;($D42-$D41)</f>
        <v>+5</v>
      </c>
      <c r="F42" s="0" t="n">
        <v>52</v>
      </c>
      <c r="G42" s="0" t="n">
        <f aca="false">F42-F41</f>
        <v>6</v>
      </c>
      <c r="H42" s="8" t="n">
        <f aca="false">G42/$A$31</f>
        <v>0.1875</v>
      </c>
    </row>
    <row r="43" customFormat="false" ht="12.8" hidden="false" customHeight="false" outlineLevel="0" collapsed="false">
      <c r="A43" s="0" t="n">
        <v>9</v>
      </c>
      <c r="B43" s="0" t="n">
        <v>0</v>
      </c>
      <c r="C43" s="7" t="n">
        <f aca="false">$A$31+$B$31*$A43+$C$31*$B43</f>
        <v>77.11808</v>
      </c>
      <c r="D43" s="0" t="n">
        <f aca="false">ROUNDDOWN($A$31+$B$31*$A43+$C$31*$B43,0)</f>
        <v>77</v>
      </c>
      <c r="E43" s="0" t="str">
        <f aca="false">"+"&amp;($D43-$D42)</f>
        <v>+5</v>
      </c>
      <c r="F43" s="0" t="n">
        <v>59</v>
      </c>
      <c r="G43" s="0" t="n">
        <f aca="false">F43-F42</f>
        <v>7</v>
      </c>
      <c r="H43" s="8" t="n">
        <f aca="false">G43/$A$31</f>
        <v>0.21875</v>
      </c>
    </row>
    <row r="44" customFormat="false" ht="12.8" hidden="false" customHeight="false" outlineLevel="0" collapsed="false">
      <c r="A44" s="0" t="n">
        <v>10</v>
      </c>
      <c r="B44" s="0" t="n">
        <v>0</v>
      </c>
      <c r="C44" s="7" t="n">
        <f aca="false">$A$31+$B$31*$A44+$C$31*$B44</f>
        <v>82.1312</v>
      </c>
      <c r="D44" s="0" t="n">
        <f aca="false">ROUNDDOWN($A$31+$B$31*$A44+$C$31*$B44,0)</f>
        <v>82</v>
      </c>
      <c r="E44" s="0" t="str">
        <f aca="false">"+"&amp;($D44-$D43)</f>
        <v>+5</v>
      </c>
      <c r="F44" s="0" t="n">
        <v>65</v>
      </c>
      <c r="G44" s="0" t="n">
        <f aca="false">F44-F43</f>
        <v>6</v>
      </c>
      <c r="H44" s="8" t="n">
        <f aca="false">G44/$A$31</f>
        <v>0.1875</v>
      </c>
    </row>
    <row r="45" customFormat="false" ht="12.8" hidden="false" customHeight="false" outlineLevel="0" collapsed="false">
      <c r="A45" s="0" t="n">
        <v>10</v>
      </c>
      <c r="B45" s="0" t="n">
        <v>1</v>
      </c>
      <c r="C45" s="7" t="n">
        <f aca="false">$A$31+$B$31*$A45+$C$31*$B45</f>
        <v>110.7392</v>
      </c>
      <c r="D45" s="0" t="n">
        <f aca="false">ROUNDDOWN($A$31+$B$31*$A45+$C$31*$B45,0)</f>
        <v>110</v>
      </c>
      <c r="E45" s="0" t="str">
        <f aca="false">"+"&amp;($D45-$D44)</f>
        <v>+28</v>
      </c>
      <c r="G45" s="8"/>
    </row>
    <row r="46" customFormat="false" ht="12.8" hidden="false" customHeight="false" outlineLevel="0" collapsed="false">
      <c r="A46" s="0" t="n">
        <v>11</v>
      </c>
      <c r="B46" s="0" t="n">
        <v>1</v>
      </c>
      <c r="C46" s="7" t="n">
        <f aca="false">$A$31+$B$31*$A46+$C$31*$B46</f>
        <v>115.75232</v>
      </c>
      <c r="D46" s="0" t="n">
        <f aca="false">ROUNDDOWN($A$31+$B$31*$A46+$C$31*$B46,0)</f>
        <v>115</v>
      </c>
      <c r="E46" s="0" t="str">
        <f aca="false">"+"&amp;($D46-$D45)</f>
        <v>+5</v>
      </c>
    </row>
    <row r="47" customFormat="false" ht="12.8" hidden="false" customHeight="false" outlineLevel="0" collapsed="false">
      <c r="A47" s="0" t="n">
        <v>12</v>
      </c>
      <c r="B47" s="0" t="n">
        <v>1</v>
      </c>
      <c r="C47" s="7" t="n">
        <f aca="false">$A$31+$B$31*$A47+$C$31*$B47</f>
        <v>120.76544</v>
      </c>
      <c r="D47" s="0" t="n">
        <f aca="false">ROUNDDOWN($A$31+$B$31*$A47+$C$31*$B47,0)</f>
        <v>120</v>
      </c>
      <c r="E47" s="0" t="str">
        <f aca="false">"+"&amp;($D47-$D46)</f>
        <v>+5</v>
      </c>
    </row>
    <row r="48" customFormat="false" ht="12.8" hidden="false" customHeight="false" outlineLevel="0" collapsed="false">
      <c r="A48" s="0" t="n">
        <v>13</v>
      </c>
      <c r="B48" s="0" t="n">
        <v>1</v>
      </c>
      <c r="C48" s="7" t="n">
        <f aca="false">$A$31+$B$31*$A48+$C$31*$B48</f>
        <v>125.77856</v>
      </c>
      <c r="D48" s="0" t="n">
        <f aca="false">ROUNDDOWN($A$31+$B$31*$A48+$C$31*$B48,0)</f>
        <v>125</v>
      </c>
      <c r="E48" s="0" t="str">
        <f aca="false">"+"&amp;($D48-$D47)</f>
        <v>+5</v>
      </c>
    </row>
    <row r="49" customFormat="false" ht="12.8" hidden="false" customHeight="false" outlineLevel="0" collapsed="false">
      <c r="A49" s="0" t="n">
        <v>14</v>
      </c>
      <c r="B49" s="0" t="n">
        <v>1</v>
      </c>
      <c r="C49" s="7" t="n">
        <f aca="false">$A$31+$B$31*$A49+$C$31*$B49</f>
        <v>130.79168</v>
      </c>
      <c r="D49" s="0" t="n">
        <f aca="false">ROUNDDOWN($A$31+$B$31*$A49+$C$31*$B49,0)</f>
        <v>130</v>
      </c>
      <c r="E49" s="0" t="str">
        <f aca="false">"+"&amp;($D49-$D48)</f>
        <v>+5</v>
      </c>
    </row>
    <row r="50" customFormat="false" ht="12.8" hidden="false" customHeight="false" outlineLevel="0" collapsed="false">
      <c r="A50" s="0" t="n">
        <v>15</v>
      </c>
      <c r="B50" s="0" t="n">
        <v>1</v>
      </c>
      <c r="C50" s="7" t="n">
        <f aca="false">$A$31+$B$31*$A50+$C$31*$B50</f>
        <v>135.8048</v>
      </c>
      <c r="D50" s="0" t="n">
        <f aca="false">ROUNDDOWN($A$31+$B$31*$A50+$C$31*$B50,0)</f>
        <v>135</v>
      </c>
      <c r="E50" s="0" t="str">
        <f aca="false">"+"&amp;($D50-$D49)</f>
        <v>+5</v>
      </c>
    </row>
    <row r="51" customFormat="false" ht="12.8" hidden="false" customHeight="false" outlineLevel="0" collapsed="false">
      <c r="A51" s="0" t="n">
        <v>16</v>
      </c>
      <c r="B51" s="0" t="n">
        <v>1</v>
      </c>
      <c r="C51" s="7" t="n">
        <f aca="false">$A$31+$B$31*$A51+$C$31*$B51</f>
        <v>140.81792</v>
      </c>
      <c r="D51" s="0" t="n">
        <f aca="false">ROUNDDOWN($A$31+$B$31*$A51+$C$31*$B51,0)</f>
        <v>140</v>
      </c>
      <c r="E51" s="0" t="str">
        <f aca="false">"+"&amp;($D51-$D50)</f>
        <v>+5</v>
      </c>
    </row>
    <row r="52" customFormat="false" ht="12.8" hidden="false" customHeight="false" outlineLevel="0" collapsed="false">
      <c r="A52" s="0" t="n">
        <v>17</v>
      </c>
      <c r="B52" s="0" t="n">
        <v>1</v>
      </c>
      <c r="C52" s="7" t="n">
        <f aca="false">$A$31+$B$31*$A52+$C$31*$B52</f>
        <v>145.83104</v>
      </c>
      <c r="D52" s="0" t="n">
        <f aca="false">ROUNDDOWN($A$31+$B$31*$A52+$C$31*$B52,0)</f>
        <v>145</v>
      </c>
      <c r="E52" s="0" t="str">
        <f aca="false">"+"&amp;($D52-$D51)</f>
        <v>+5</v>
      </c>
    </row>
    <row r="53" customFormat="false" ht="12.8" hidden="false" customHeight="false" outlineLevel="0" collapsed="false">
      <c r="A53" s="0" t="n">
        <v>18</v>
      </c>
      <c r="B53" s="0" t="n">
        <v>1</v>
      </c>
      <c r="C53" s="7" t="n">
        <f aca="false">$A$31+$B$31*$A53+$C$31*$B53</f>
        <v>150.84416</v>
      </c>
      <c r="D53" s="0" t="n">
        <f aca="false">ROUNDDOWN($A$31+$B$31*$A53+$C$31*$B53,0)</f>
        <v>150</v>
      </c>
      <c r="E53" s="0" t="str">
        <f aca="false">"+"&amp;($D53-$D52)</f>
        <v>+5</v>
      </c>
    </row>
    <row r="54" customFormat="false" ht="12.8" hidden="false" customHeight="false" outlineLevel="0" collapsed="false">
      <c r="A54" s="0" t="n">
        <v>19</v>
      </c>
      <c r="B54" s="0" t="n">
        <v>1</v>
      </c>
      <c r="C54" s="7" t="n">
        <f aca="false">$A$31+$B$31*$A54+$C$31*$B54</f>
        <v>155.85728</v>
      </c>
      <c r="D54" s="0" t="n">
        <f aca="false">ROUNDDOWN($A$31+$B$31*$A54+$C$31*$B54,0)</f>
        <v>155</v>
      </c>
      <c r="E54" s="0" t="str">
        <f aca="false">"+"&amp;($D54-$D53)</f>
        <v>+5</v>
      </c>
    </row>
    <row r="55" customFormat="false" ht="12.8" hidden="false" customHeight="false" outlineLevel="0" collapsed="false">
      <c r="A55" s="0" t="n">
        <v>20</v>
      </c>
      <c r="B55" s="0" t="n">
        <v>1</v>
      </c>
      <c r="C55" s="7" t="n">
        <f aca="false">$A$31+$B$31*$A55+$C$31*$B55</f>
        <v>160.8704</v>
      </c>
      <c r="D55" s="0" t="n">
        <f aca="false">ROUNDDOWN($A$31+$B$31*$A55+$C$31*$B55,0)</f>
        <v>160</v>
      </c>
      <c r="E55" s="0" t="str">
        <f aca="false">"+"&amp;($D55-$D54)</f>
        <v>+5</v>
      </c>
    </row>
    <row r="56" customFormat="false" ht="12.8" hidden="false" customHeight="false" outlineLevel="0" collapsed="false">
      <c r="A56" s="0" t="n">
        <v>20</v>
      </c>
      <c r="B56" s="0" t="n">
        <v>2</v>
      </c>
      <c r="C56" s="7" t="n">
        <f aca="false">$A$31+$B$31*$A56+$C$31*$B56</f>
        <v>189.4784</v>
      </c>
      <c r="D56" s="0" t="n">
        <f aca="false">ROUNDDOWN($A$31+$B$31*$A56+$C$31*$B56,0)</f>
        <v>189</v>
      </c>
      <c r="E56" s="0" t="str">
        <f aca="false">"+"&amp;($D56-$D55)</f>
        <v>+29</v>
      </c>
    </row>
    <row r="57" customFormat="false" ht="12.8" hidden="false" customHeight="false" outlineLevel="0" collapsed="false">
      <c r="A57" s="0" t="n">
        <v>21</v>
      </c>
      <c r="B57" s="0" t="n">
        <v>2</v>
      </c>
      <c r="C57" s="7" t="n">
        <f aca="false">$A$31+$B$31*$A57+$C$31*$B57</f>
        <v>194.49152</v>
      </c>
      <c r="D57" s="0" t="n">
        <f aca="false">ROUNDDOWN($A$31+$B$31*$A57+$C$31*$B57,0)</f>
        <v>194</v>
      </c>
      <c r="E57" s="0" t="str">
        <f aca="false">"+"&amp;($D57-$D56)</f>
        <v>+5</v>
      </c>
    </row>
    <row r="58" customFormat="false" ht="12.8" hidden="false" customHeight="false" outlineLevel="0" collapsed="false">
      <c r="A58" s="0" t="n">
        <v>22</v>
      </c>
      <c r="B58" s="0" t="n">
        <v>2</v>
      </c>
      <c r="C58" s="7" t="n">
        <f aca="false">$A$31+$B$31*$A58+$C$31*$B58</f>
        <v>199.50464</v>
      </c>
      <c r="D58" s="0" t="n">
        <f aca="false">ROUNDDOWN($A$31+$B$31*$A58+$C$31*$B58,0)</f>
        <v>199</v>
      </c>
      <c r="E58" s="0" t="str">
        <f aca="false">"+"&amp;($D58-$D57)</f>
        <v>+5</v>
      </c>
    </row>
    <row r="59" customFormat="false" ht="12.8" hidden="false" customHeight="false" outlineLevel="0" collapsed="false">
      <c r="A59" s="0" t="n">
        <v>23</v>
      </c>
      <c r="B59" s="0" t="n">
        <v>2</v>
      </c>
      <c r="C59" s="7" t="n">
        <f aca="false">$A$31+$B$31*$A59+$C$31*$B59</f>
        <v>204.51776</v>
      </c>
      <c r="D59" s="0" t="n">
        <f aca="false">ROUNDDOWN($A$31+$B$31*$A59+$C$31*$B59,0)</f>
        <v>204</v>
      </c>
      <c r="E59" s="0" t="str">
        <f aca="false">"+"&amp;($D59-$D58)</f>
        <v>+5</v>
      </c>
    </row>
    <row r="60" customFormat="false" ht="12.8" hidden="false" customHeight="false" outlineLevel="0" collapsed="false">
      <c r="A60" s="0" t="n">
        <v>24</v>
      </c>
      <c r="B60" s="0" t="n">
        <v>2</v>
      </c>
      <c r="C60" s="7" t="n">
        <f aca="false">$A$31+$B$31*$A60+$C$31*$B60</f>
        <v>209.53088</v>
      </c>
      <c r="D60" s="0" t="n">
        <f aca="false">ROUNDDOWN($A$31+$B$31*$A60+$C$31*$B60,0)</f>
        <v>209</v>
      </c>
      <c r="E60" s="0" t="str">
        <f aca="false">"+"&amp;($D60-$D59)</f>
        <v>+5</v>
      </c>
    </row>
    <row r="61" customFormat="false" ht="12.8" hidden="false" customHeight="false" outlineLevel="0" collapsed="false">
      <c r="A61" s="0" t="n">
        <v>25</v>
      </c>
      <c r="B61" s="0" t="n">
        <v>2</v>
      </c>
      <c r="C61" s="7" t="n">
        <f aca="false">$A$31+$B$31*$A61+$C$31*$B61</f>
        <v>214.544</v>
      </c>
      <c r="D61" s="0" t="n">
        <f aca="false">ROUNDDOWN($A$31+$B$31*$A61+$C$31*$B61,0)</f>
        <v>214</v>
      </c>
      <c r="E61" s="0" t="str">
        <f aca="false">"+"&amp;($D61-$D60)</f>
        <v>+5</v>
      </c>
    </row>
    <row r="62" customFormat="false" ht="12.8" hidden="false" customHeight="false" outlineLevel="0" collapsed="false">
      <c r="A62" s="0" t="n">
        <v>26</v>
      </c>
      <c r="B62" s="0" t="n">
        <v>2</v>
      </c>
      <c r="C62" s="7" t="n">
        <f aca="false">$A$31+$B$31*$A62+$C$31*$B62</f>
        <v>219.55712</v>
      </c>
      <c r="D62" s="0" t="n">
        <f aca="false">ROUNDDOWN($A$31+$B$31*$A62+$C$31*$B62,0)</f>
        <v>219</v>
      </c>
      <c r="E62" s="0" t="str">
        <f aca="false">"+"&amp;($D62-$D61)</f>
        <v>+5</v>
      </c>
    </row>
    <row r="63" customFormat="false" ht="12.8" hidden="false" customHeight="false" outlineLevel="0" collapsed="false">
      <c r="A63" s="0" t="n">
        <v>27</v>
      </c>
      <c r="B63" s="0" t="n">
        <v>2</v>
      </c>
      <c r="C63" s="7" t="n">
        <f aca="false">$A$31+$B$31*$A63+$C$31*$B63</f>
        <v>224.57024</v>
      </c>
      <c r="D63" s="0" t="n">
        <f aca="false">ROUNDDOWN($A$31+$B$31*$A63+$C$31*$B63,0)</f>
        <v>224</v>
      </c>
      <c r="E63" s="0" t="str">
        <f aca="false">"+"&amp;($D63-$D62)</f>
        <v>+5</v>
      </c>
    </row>
    <row r="64" customFormat="false" ht="12.8" hidden="false" customHeight="false" outlineLevel="0" collapsed="false">
      <c r="A64" s="0" t="n">
        <v>28</v>
      </c>
      <c r="B64" s="0" t="n">
        <v>2</v>
      </c>
      <c r="C64" s="7" t="n">
        <f aca="false">$A$31+$B$31*$A64+$C$31*$B64</f>
        <v>229.58336</v>
      </c>
      <c r="D64" s="0" t="n">
        <f aca="false">ROUNDDOWN($A$31+$B$31*$A64+$C$31*$B64,0)</f>
        <v>229</v>
      </c>
      <c r="E64" s="0" t="str">
        <f aca="false">"+"&amp;($D64-$D63)</f>
        <v>+5</v>
      </c>
    </row>
    <row r="65" customFormat="false" ht="12.8" hidden="false" customHeight="false" outlineLevel="0" collapsed="false">
      <c r="A65" s="0" t="n">
        <v>29</v>
      </c>
      <c r="B65" s="0" t="n">
        <v>2</v>
      </c>
      <c r="C65" s="7" t="n">
        <f aca="false">$A$31+$B$31*$A65+$C$31*$B65</f>
        <v>234.59648</v>
      </c>
      <c r="D65" s="0" t="n">
        <f aca="false">ROUNDDOWN($A$31+$B$31*$A65+$C$31*$B65,0)</f>
        <v>234</v>
      </c>
      <c r="E65" s="0" t="str">
        <f aca="false">"+"&amp;($D65-$D64)</f>
        <v>+5</v>
      </c>
    </row>
    <row r="66" customFormat="false" ht="12.8" hidden="false" customHeight="false" outlineLevel="0" collapsed="false">
      <c r="A66" s="0" t="n">
        <v>30</v>
      </c>
      <c r="B66" s="0" t="n">
        <v>2</v>
      </c>
      <c r="C66" s="7" t="n">
        <f aca="false">$A$31+$B$31*$A66+$C$31*$B66</f>
        <v>239.6096</v>
      </c>
      <c r="D66" s="0" t="n">
        <f aca="false">ROUNDDOWN($A$31+$B$31*$A66+$C$31*$B66,0)</f>
        <v>239</v>
      </c>
      <c r="E66" s="0" t="str">
        <f aca="false">"+"&amp;($D66-$D65)</f>
        <v>+5</v>
      </c>
    </row>
    <row r="67" customFormat="false" ht="12.8" hidden="false" customHeight="false" outlineLevel="0" collapsed="false">
      <c r="A67" s="0" t="n">
        <v>30</v>
      </c>
      <c r="B67" s="0" t="n">
        <v>3</v>
      </c>
      <c r="C67" s="7" t="n">
        <f aca="false">$A$31+$B$31*$A67+$C$31*$B67</f>
        <v>268.2176</v>
      </c>
      <c r="D67" s="0" t="n">
        <f aca="false">ROUNDDOWN($A$31+$B$31*$A67+$C$31*$B67,0)</f>
        <v>268</v>
      </c>
      <c r="E67" s="0" t="str">
        <f aca="false">"+"&amp;($D67-$D66)</f>
        <v>+29</v>
      </c>
    </row>
    <row r="68" customFormat="false" ht="12.8" hidden="false" customHeight="false" outlineLevel="0" collapsed="false">
      <c r="A68" s="0" t="n">
        <v>31</v>
      </c>
      <c r="B68" s="0" t="n">
        <v>3</v>
      </c>
      <c r="C68" s="7" t="n">
        <f aca="false">$A$31+$B$31*$A68+$C$31*$B68</f>
        <v>273.23072</v>
      </c>
      <c r="D68" s="0" t="n">
        <f aca="false">ROUNDDOWN($A$31+$B$31*$A68+$C$31*$B68,0)</f>
        <v>273</v>
      </c>
      <c r="E68" s="0" t="str">
        <f aca="false">"+"&amp;($D68-$D67)</f>
        <v>+5</v>
      </c>
    </row>
    <row r="69" customFormat="false" ht="12.8" hidden="false" customHeight="false" outlineLevel="0" collapsed="false">
      <c r="A69" s="0" t="n">
        <v>32</v>
      </c>
      <c r="B69" s="0" t="n">
        <v>3</v>
      </c>
      <c r="C69" s="7" t="n">
        <f aca="false">$A$31+$B$31*$A69+$C$31*$B69</f>
        <v>278.24384</v>
      </c>
      <c r="D69" s="0" t="n">
        <f aca="false">ROUNDDOWN($A$31+$B$31*$A69+$C$31*$B69,0)</f>
        <v>278</v>
      </c>
      <c r="E69" s="0" t="str">
        <f aca="false">"+"&amp;($D69-$D68)</f>
        <v>+5</v>
      </c>
    </row>
    <row r="70" customFormat="false" ht="12.8" hidden="false" customHeight="false" outlineLevel="0" collapsed="false">
      <c r="A70" s="0" t="n">
        <v>33</v>
      </c>
      <c r="B70" s="0" t="n">
        <v>3</v>
      </c>
      <c r="C70" s="7" t="n">
        <f aca="false">$A$31+$B$31*$A70+$C$31*$B70</f>
        <v>283.25696</v>
      </c>
      <c r="D70" s="0" t="n">
        <f aca="false">ROUNDDOWN($A$31+$B$31*$A70+$C$31*$B70,0)</f>
        <v>283</v>
      </c>
      <c r="E70" s="0" t="str">
        <f aca="false">"+"&amp;($D70-$D69)</f>
        <v>+5</v>
      </c>
    </row>
    <row r="71" customFormat="false" ht="12.8" hidden="false" customHeight="false" outlineLevel="0" collapsed="false">
      <c r="A71" s="0" t="n">
        <v>34</v>
      </c>
      <c r="B71" s="0" t="n">
        <v>3</v>
      </c>
      <c r="C71" s="7" t="n">
        <f aca="false">$A$31+$B$31*$A71+$C$31*$B71</f>
        <v>288.27008</v>
      </c>
      <c r="D71" s="0" t="n">
        <f aca="false">ROUNDDOWN($A$31+$B$31*$A71+$C$31*$B71,0)</f>
        <v>288</v>
      </c>
      <c r="E71" s="0" t="str">
        <f aca="false">"+"&amp;($D71-$D70)</f>
        <v>+5</v>
      </c>
    </row>
    <row r="72" customFormat="false" ht="12.8" hidden="false" customHeight="false" outlineLevel="0" collapsed="false">
      <c r="A72" s="0" t="n">
        <v>35</v>
      </c>
      <c r="B72" s="0" t="n">
        <v>3</v>
      </c>
      <c r="C72" s="7" t="n">
        <f aca="false">$A$31+$B$31*$A72+$C$31*$B72</f>
        <v>293.2832</v>
      </c>
      <c r="D72" s="0" t="n">
        <f aca="false">ROUNDDOWN($A$31+$B$31*$A72+$C$31*$B72,0)</f>
        <v>293</v>
      </c>
      <c r="E72" s="0" t="str">
        <f aca="false">"+"&amp;($D72-$D71)</f>
        <v>+5</v>
      </c>
    </row>
    <row r="73" customFormat="false" ht="12.8" hidden="false" customHeight="false" outlineLevel="0" collapsed="false">
      <c r="A73" s="0" t="n">
        <v>36</v>
      </c>
      <c r="B73" s="0" t="n">
        <v>3</v>
      </c>
      <c r="C73" s="7" t="n">
        <f aca="false">$A$31+$B$31*$A73+$C$31*$B73</f>
        <v>298.29632</v>
      </c>
      <c r="D73" s="0" t="n">
        <f aca="false">ROUNDDOWN($A$31+$B$31*$A73+$C$31*$B73,0)</f>
        <v>298</v>
      </c>
      <c r="E73" s="0" t="str">
        <f aca="false">"+"&amp;($D73-$D72)</f>
        <v>+5</v>
      </c>
    </row>
    <row r="74" customFormat="false" ht="12.8" hidden="false" customHeight="false" outlineLevel="0" collapsed="false">
      <c r="A74" s="0" t="n">
        <v>37</v>
      </c>
      <c r="B74" s="0" t="n">
        <v>3</v>
      </c>
      <c r="C74" s="7" t="n">
        <f aca="false">$A$31+$B$31*$A74+$C$31*$B74</f>
        <v>303.30944</v>
      </c>
      <c r="D74" s="0" t="n">
        <f aca="false">ROUNDDOWN($A$31+$B$31*$A74+$C$31*$B74,0)</f>
        <v>303</v>
      </c>
      <c r="E74" s="0" t="str">
        <f aca="false">"+"&amp;($D74-$D73)</f>
        <v>+5</v>
      </c>
    </row>
    <row r="75" customFormat="false" ht="12.8" hidden="false" customHeight="false" outlineLevel="0" collapsed="false">
      <c r="A75" s="0" t="n">
        <v>38</v>
      </c>
      <c r="B75" s="0" t="n">
        <v>3</v>
      </c>
      <c r="C75" s="7" t="n">
        <f aca="false">$A$31+$B$31*$A75+$C$31*$B75</f>
        <v>308.32256</v>
      </c>
      <c r="D75" s="0" t="n">
        <f aca="false">ROUNDDOWN($A$31+$B$31*$A75+$C$31*$B75,0)</f>
        <v>308</v>
      </c>
      <c r="E75" s="0" t="str">
        <f aca="false">"+"&amp;($D75-$D74)</f>
        <v>+5</v>
      </c>
    </row>
    <row r="76" customFormat="false" ht="12.8" hidden="false" customHeight="false" outlineLevel="0" collapsed="false">
      <c r="A76" s="0" t="n">
        <v>39</v>
      </c>
      <c r="B76" s="0" t="n">
        <v>3</v>
      </c>
      <c r="C76" s="7" t="n">
        <f aca="false">$A$31+$B$31*$A76+$C$31*$B76</f>
        <v>313.33568</v>
      </c>
      <c r="D76" s="0" t="n">
        <f aca="false">ROUNDDOWN($A$31+$B$31*$A76+$C$31*$B76,0)</f>
        <v>313</v>
      </c>
      <c r="E76" s="0" t="str">
        <f aca="false">"+"&amp;($D76-$D75)</f>
        <v>+5</v>
      </c>
    </row>
    <row r="77" customFormat="false" ht="12.8" hidden="false" customHeight="false" outlineLevel="0" collapsed="false">
      <c r="A77" s="0" t="n">
        <v>40</v>
      </c>
      <c r="B77" s="0" t="n">
        <v>3</v>
      </c>
      <c r="C77" s="7" t="n">
        <f aca="false">$A$31+$B$31*$A77+$C$31*$B77</f>
        <v>318.3488</v>
      </c>
      <c r="D77" s="0" t="n">
        <f aca="false">ROUNDDOWN($A$31+$B$31*$A77+$C$31*$B77,0)</f>
        <v>318</v>
      </c>
      <c r="E77" s="0" t="str">
        <f aca="false">"+"&amp;($D77-$D76)</f>
        <v>+5</v>
      </c>
    </row>
    <row r="78" customFormat="false" ht="12.8" hidden="false" customHeight="false" outlineLevel="0" collapsed="false">
      <c r="A78" s="0" t="n">
        <v>40</v>
      </c>
      <c r="B78" s="0" t="n">
        <v>4</v>
      </c>
      <c r="C78" s="7" t="n">
        <f aca="false">$A$31+$B$31*$A78+$C$31*$B78</f>
        <v>346.9568</v>
      </c>
      <c r="D78" s="0" t="n">
        <f aca="false">ROUNDDOWN($A$31+$B$31*$A78+$C$31*$B78,0)</f>
        <v>346</v>
      </c>
      <c r="E78" s="0" t="str">
        <f aca="false">"+"&amp;($D78-$D77)</f>
        <v>+28</v>
      </c>
    </row>
    <row r="79" customFormat="false" ht="12.8" hidden="false" customHeight="false" outlineLevel="0" collapsed="false">
      <c r="A79" s="0" t="n">
        <v>41</v>
      </c>
      <c r="B79" s="0" t="n">
        <v>4</v>
      </c>
      <c r="C79" s="7" t="n">
        <f aca="false">$A$31+$B$31*$A79+$C$31*$B79</f>
        <v>351.96992</v>
      </c>
      <c r="D79" s="0" t="n">
        <f aca="false">ROUNDDOWN($A$31+$B$31*$A79+$C$31*$B79,0)</f>
        <v>351</v>
      </c>
      <c r="E79" s="0" t="str">
        <f aca="false">"+"&amp;($D79-$D78)</f>
        <v>+5</v>
      </c>
    </row>
    <row r="80" customFormat="false" ht="12.8" hidden="false" customHeight="false" outlineLevel="0" collapsed="false">
      <c r="A80" s="0" t="n">
        <v>42</v>
      </c>
      <c r="B80" s="0" t="n">
        <v>4</v>
      </c>
      <c r="C80" s="7" t="n">
        <f aca="false">$A$31+$B$31*$A80+$C$31*$B80</f>
        <v>356.98304</v>
      </c>
      <c r="D80" s="0" t="n">
        <f aca="false">ROUNDDOWN($A$31+$B$31*$A80+$C$31*$B80,0)</f>
        <v>356</v>
      </c>
      <c r="E80" s="0" t="str">
        <f aca="false">"+"&amp;($D80-$D79)</f>
        <v>+5</v>
      </c>
    </row>
    <row r="81" customFormat="false" ht="12.8" hidden="false" customHeight="false" outlineLevel="0" collapsed="false">
      <c r="A81" s="0" t="n">
        <v>43</v>
      </c>
      <c r="B81" s="0" t="n">
        <v>4</v>
      </c>
      <c r="C81" s="7" t="n">
        <f aca="false">$A$31+$B$31*$A81+$C$31*$B81</f>
        <v>361.99616</v>
      </c>
      <c r="D81" s="0" t="n">
        <f aca="false">ROUNDDOWN($A$31+$B$31*$A81+$C$31*$B81,0)</f>
        <v>361</v>
      </c>
      <c r="E81" s="0" t="str">
        <f aca="false">"+"&amp;($D81-$D80)</f>
        <v>+5</v>
      </c>
    </row>
    <row r="82" customFormat="false" ht="12.8" hidden="false" customHeight="false" outlineLevel="0" collapsed="false">
      <c r="A82" s="0" t="n">
        <v>44</v>
      </c>
      <c r="B82" s="0" t="n">
        <v>4</v>
      </c>
      <c r="C82" s="7" t="n">
        <f aca="false">$A$31+$B$31*$A82+$C$31*$B82</f>
        <v>367.00928</v>
      </c>
      <c r="D82" s="0" t="n">
        <f aca="false">ROUNDDOWN($A$31+$B$31*$A82+$C$31*$B82,0)</f>
        <v>367</v>
      </c>
      <c r="E82" s="0" t="str">
        <f aca="false">"+"&amp;($D82-$D81)</f>
        <v>+6</v>
      </c>
    </row>
    <row r="83" customFormat="false" ht="12.8" hidden="false" customHeight="false" outlineLevel="0" collapsed="false">
      <c r="A83" s="0" t="n">
        <v>45</v>
      </c>
      <c r="B83" s="0" t="n">
        <v>4</v>
      </c>
      <c r="C83" s="7" t="n">
        <f aca="false">$A$31+$B$31*$A83+$C$31*$B83</f>
        <v>372.0224</v>
      </c>
      <c r="D83" s="0" t="n">
        <f aca="false">ROUNDDOWN($A$31+$B$31*$A83+$C$31*$B83,0)</f>
        <v>372</v>
      </c>
      <c r="E83" s="0" t="str">
        <f aca="false">"+"&amp;($D83-$D82)</f>
        <v>+5</v>
      </c>
    </row>
    <row r="84" customFormat="false" ht="12.8" hidden="false" customHeight="false" outlineLevel="0" collapsed="false">
      <c r="A84" s="0" t="n">
        <v>46</v>
      </c>
      <c r="B84" s="0" t="n">
        <v>4</v>
      </c>
      <c r="C84" s="7" t="n">
        <f aca="false">$A$31+$B$31*$A84+$C$31*$B84</f>
        <v>377.03552</v>
      </c>
      <c r="D84" s="0" t="n">
        <f aca="false">ROUNDDOWN($A$31+$B$31*$A84+$C$31*$B84,0)</f>
        <v>377</v>
      </c>
      <c r="E84" s="0" t="str">
        <f aca="false">"+"&amp;($D84-$D83)</f>
        <v>+5</v>
      </c>
    </row>
    <row r="85" customFormat="false" ht="12.8" hidden="false" customHeight="false" outlineLevel="0" collapsed="false">
      <c r="A85" s="0" t="n">
        <v>47</v>
      </c>
      <c r="B85" s="0" t="n">
        <v>4</v>
      </c>
      <c r="C85" s="7" t="n">
        <f aca="false">$A$31+$B$31*$A85+$C$31*$B85</f>
        <v>382.04864</v>
      </c>
      <c r="D85" s="0" t="n">
        <f aca="false">ROUNDDOWN($A$31+$B$31*$A85+$C$31*$B85,0)</f>
        <v>382</v>
      </c>
      <c r="E85" s="0" t="str">
        <f aca="false">"+"&amp;($D85-$D84)</f>
        <v>+5</v>
      </c>
    </row>
    <row r="86" customFormat="false" ht="12.8" hidden="false" customHeight="false" outlineLevel="0" collapsed="false">
      <c r="A86" s="0" t="n">
        <v>48</v>
      </c>
      <c r="B86" s="0" t="n">
        <v>4</v>
      </c>
      <c r="C86" s="7" t="n">
        <f aca="false">$A$31+$B$31*$A86+$C$31*$B86</f>
        <v>387.06176</v>
      </c>
      <c r="D86" s="0" t="n">
        <f aca="false">ROUNDDOWN($A$31+$B$31*$A86+$C$31*$B86,0)</f>
        <v>387</v>
      </c>
      <c r="E86" s="0" t="str">
        <f aca="false">"+"&amp;($D86-$D85)</f>
        <v>+5</v>
      </c>
    </row>
    <row r="87" customFormat="false" ht="12.8" hidden="false" customHeight="false" outlineLevel="0" collapsed="false">
      <c r="A87" s="0" t="n">
        <v>49</v>
      </c>
      <c r="B87" s="0" t="n">
        <v>4</v>
      </c>
      <c r="C87" s="7" t="n">
        <f aca="false">$A$31+$B$31*$A87+$C$31*$B87</f>
        <v>392.07488</v>
      </c>
      <c r="D87" s="0" t="n">
        <f aca="false">ROUNDDOWN($A$31+$B$31*$A87+$C$31*$B87,0)</f>
        <v>392</v>
      </c>
      <c r="E87" s="0" t="str">
        <f aca="false">"+"&amp;($D87-$D86)</f>
        <v>+5</v>
      </c>
    </row>
    <row r="88" customFormat="false" ht="12.8" hidden="false" customHeight="false" outlineLevel="0" collapsed="false">
      <c r="A88" s="0" t="n">
        <v>50</v>
      </c>
      <c r="B88" s="0" t="n">
        <v>4</v>
      </c>
      <c r="C88" s="7" t="n">
        <f aca="false">$A$31+$B$31*$A88+$C$31*$B88</f>
        <v>397.088</v>
      </c>
      <c r="D88" s="0" t="n">
        <f aca="false">ROUNDDOWN($A$31+$B$31*$A88+$C$31*$B88,0)</f>
        <v>397</v>
      </c>
      <c r="E88" s="0" t="str">
        <f aca="false">"+"&amp;($D88-$D87)</f>
        <v>+5</v>
      </c>
    </row>
    <row r="89" customFormat="false" ht="12.8" hidden="false" customHeight="false" outlineLevel="0" collapsed="false">
      <c r="A89" s="0" t="n">
        <v>50</v>
      </c>
      <c r="B89" s="0" t="n">
        <v>5</v>
      </c>
      <c r="C89" s="7" t="n">
        <f aca="false">$A$31+$B$31*$A89+$C$31*$B89</f>
        <v>425.696</v>
      </c>
      <c r="D89" s="0" t="n">
        <f aca="false">ROUNDDOWN($A$31+$B$31*$A89+$C$31*$B89,0)</f>
        <v>425</v>
      </c>
      <c r="E89" s="0" t="str">
        <f aca="false">"+"&amp;($D89-$D88)</f>
        <v>+28</v>
      </c>
    </row>
    <row r="90" customFormat="false" ht="12.8" hidden="false" customHeight="false" outlineLevel="0" collapsed="false">
      <c r="A90" s="0" t="n">
        <v>51</v>
      </c>
      <c r="B90" s="0" t="n">
        <v>5</v>
      </c>
      <c r="C90" s="7" t="n">
        <f aca="false">$A$31+$B$31*$A90+$C$31*$B90</f>
        <v>430.70912</v>
      </c>
      <c r="D90" s="0" t="n">
        <f aca="false">ROUNDDOWN($A$31+$B$31*$A90+$C$31*$B90,0)</f>
        <v>430</v>
      </c>
      <c r="E90" s="0" t="str">
        <f aca="false">"+"&amp;($D90-$D89)</f>
        <v>+5</v>
      </c>
    </row>
    <row r="91" customFormat="false" ht="12.8" hidden="false" customHeight="false" outlineLevel="0" collapsed="false">
      <c r="A91" s="0" t="n">
        <v>52</v>
      </c>
      <c r="B91" s="0" t="n">
        <v>5</v>
      </c>
      <c r="C91" s="7" t="n">
        <f aca="false">$A$31+$B$31*$A91+$C$31*$B91</f>
        <v>435.72224</v>
      </c>
      <c r="D91" s="0" t="n">
        <f aca="false">ROUNDDOWN($A$31+$B$31*$A91+$C$31*$B91,0)</f>
        <v>435</v>
      </c>
      <c r="E91" s="0" t="str">
        <f aca="false">"+"&amp;($D91-$D90)</f>
        <v>+5</v>
      </c>
    </row>
    <row r="92" customFormat="false" ht="12.8" hidden="false" customHeight="false" outlineLevel="0" collapsed="false">
      <c r="A92" s="0" t="n">
        <v>53</v>
      </c>
      <c r="B92" s="0" t="n">
        <v>5</v>
      </c>
      <c r="C92" s="7" t="n">
        <f aca="false">$A$31+$B$31*$A92+$C$31*$B92</f>
        <v>440.73536</v>
      </c>
      <c r="D92" s="0" t="n">
        <f aca="false">ROUNDDOWN($A$31+$B$31*$A92+$C$31*$B92,0)</f>
        <v>440</v>
      </c>
      <c r="E92" s="0" t="str">
        <f aca="false">"+"&amp;($D92-$D91)</f>
        <v>+5</v>
      </c>
    </row>
    <row r="93" customFormat="false" ht="12.8" hidden="false" customHeight="false" outlineLevel="0" collapsed="false">
      <c r="A93" s="0" t="n">
        <v>54</v>
      </c>
      <c r="B93" s="0" t="n">
        <v>5</v>
      </c>
      <c r="C93" s="7" t="n">
        <f aca="false">$A$31+$B$31*$A93+$C$31*$B93</f>
        <v>445.74848</v>
      </c>
      <c r="D93" s="0" t="n">
        <f aca="false">ROUNDDOWN($A$31+$B$31*$A93+$C$31*$B93,0)</f>
        <v>445</v>
      </c>
      <c r="E93" s="0" t="str">
        <f aca="false">"+"&amp;($D93-$D92)</f>
        <v>+5</v>
      </c>
    </row>
    <row r="94" customFormat="false" ht="12.8" hidden="false" customHeight="false" outlineLevel="0" collapsed="false">
      <c r="A94" s="0" t="n">
        <v>55</v>
      </c>
      <c r="B94" s="0" t="n">
        <v>5</v>
      </c>
      <c r="C94" s="7" t="n">
        <f aca="false">$A$31+$B$31*$A94+$C$31*$B94</f>
        <v>450.7616</v>
      </c>
      <c r="D94" s="0" t="n">
        <f aca="false">ROUNDDOWN($A$31+$B$31*$A94+$C$31*$B94,0)</f>
        <v>450</v>
      </c>
      <c r="E94" s="0" t="str">
        <f aca="false">"+"&amp;($D94-$D93)</f>
        <v>+5</v>
      </c>
    </row>
    <row r="95" customFormat="false" ht="12.8" hidden="false" customHeight="false" outlineLevel="0" collapsed="false">
      <c r="A95" s="0" t="n">
        <v>56</v>
      </c>
      <c r="B95" s="0" t="n">
        <v>5</v>
      </c>
      <c r="C95" s="7" t="n">
        <f aca="false">$A$31+$B$31*$A95+$C$31*$B95</f>
        <v>455.77472</v>
      </c>
      <c r="D95" s="0" t="n">
        <f aca="false">ROUNDDOWN($A$31+$B$31*$A95+$C$31*$B95,0)</f>
        <v>455</v>
      </c>
      <c r="E95" s="0" t="str">
        <f aca="false">"+"&amp;($D95-$D94)</f>
        <v>+5</v>
      </c>
    </row>
    <row r="96" customFormat="false" ht="12.8" hidden="false" customHeight="false" outlineLevel="0" collapsed="false">
      <c r="A96" s="0" t="n">
        <v>57</v>
      </c>
      <c r="B96" s="0" t="n">
        <v>5</v>
      </c>
      <c r="C96" s="7" t="n">
        <f aca="false">$A$31+$B$31*$A96+$C$31*$B96</f>
        <v>460.78784</v>
      </c>
      <c r="D96" s="0" t="n">
        <f aca="false">ROUNDDOWN($A$31+$B$31*$A96+$C$31*$B96,0)</f>
        <v>460</v>
      </c>
      <c r="E96" s="0" t="str">
        <f aca="false">"+"&amp;($D96-$D95)</f>
        <v>+5</v>
      </c>
    </row>
    <row r="97" customFormat="false" ht="12.8" hidden="false" customHeight="false" outlineLevel="0" collapsed="false">
      <c r="A97" s="0" t="n">
        <v>58</v>
      </c>
      <c r="B97" s="0" t="n">
        <v>5</v>
      </c>
      <c r="C97" s="7" t="n">
        <f aca="false">$A$31+$B$31*$A97+$C$31*$B97</f>
        <v>465.80096</v>
      </c>
      <c r="D97" s="0" t="n">
        <f aca="false">ROUNDDOWN($A$31+$B$31*$A97+$C$31*$B97,0)</f>
        <v>465</v>
      </c>
      <c r="E97" s="0" t="str">
        <f aca="false">"+"&amp;($D97-$D96)</f>
        <v>+5</v>
      </c>
    </row>
    <row r="98" customFormat="false" ht="12.8" hidden="false" customHeight="false" outlineLevel="0" collapsed="false">
      <c r="A98" s="0" t="n">
        <v>59</v>
      </c>
      <c r="B98" s="0" t="n">
        <v>5</v>
      </c>
      <c r="C98" s="7" t="n">
        <f aca="false">$A$31+$B$31*$A98+$C$31*$B98</f>
        <v>470.81408</v>
      </c>
      <c r="D98" s="0" t="n">
        <f aca="false">ROUNDDOWN($A$31+$B$31*$A98+$C$31*$B98,0)</f>
        <v>470</v>
      </c>
      <c r="E98" s="0" t="str">
        <f aca="false">"+"&amp;($D98-$D97)</f>
        <v>+5</v>
      </c>
    </row>
    <row r="99" customFormat="false" ht="12.8" hidden="false" customHeight="false" outlineLevel="0" collapsed="false">
      <c r="A99" s="0" t="n">
        <v>60</v>
      </c>
      <c r="B99" s="0" t="n">
        <v>5</v>
      </c>
      <c r="C99" s="7" t="n">
        <f aca="false">$A$31+$B$31*$A99+$C$31*$B99</f>
        <v>475.8272</v>
      </c>
      <c r="D99" s="0" t="n">
        <f aca="false">ROUNDDOWN($A$31+$B$31*$A99+$C$31*$B99,0)</f>
        <v>475</v>
      </c>
      <c r="E99" s="0" t="str">
        <f aca="false">"+"&amp;($D99-$D98)</f>
        <v>+5</v>
      </c>
    </row>
    <row r="105" customFormat="false" ht="12.8" hidden="false" customHeight="false" outlineLevel="0" collapsed="false">
      <c r="C105" s="0" t="n">
        <v>603</v>
      </c>
      <c r="D105" s="0" t="n">
        <v>95</v>
      </c>
      <c r="E105" s="0" t="n">
        <v>49</v>
      </c>
    </row>
    <row r="107" customFormat="false" ht="12.8" hidden="false" customHeight="false" outlineLevel="0" collapsed="false">
      <c r="C107" s="0" t="n">
        <f aca="false">1753-1339</f>
        <v>414</v>
      </c>
      <c r="D107" s="0" t="n">
        <f aca="false">177-143</f>
        <v>34</v>
      </c>
      <c r="E107" s="0" t="n">
        <f aca="false">143-109</f>
        <v>34</v>
      </c>
    </row>
    <row r="108" customFormat="false" ht="12.8" hidden="false" customHeight="false" outlineLevel="0" collapsed="false">
      <c r="C108" s="0" t="n">
        <f aca="false">2986-2572</f>
        <v>414</v>
      </c>
      <c r="D108" s="0" t="n">
        <f aca="false">266-232</f>
        <v>34</v>
      </c>
      <c r="E108" s="0" t="n">
        <f aca="false">244-210</f>
        <v>34</v>
      </c>
    </row>
    <row r="109" customFormat="false" ht="12.8" hidden="false" customHeight="false" outlineLevel="0" collapsed="false">
      <c r="C109" s="0" t="n">
        <f aca="false">4218-3804</f>
        <v>414</v>
      </c>
      <c r="D109" s="0" t="n">
        <f aca="false">354-320</f>
        <v>34</v>
      </c>
      <c r="E109" s="0" t="n">
        <f aca="false">343-310</f>
        <v>33</v>
      </c>
    </row>
    <row r="110" customFormat="false" ht="12.8" hidden="false" customHeight="false" outlineLevel="0" collapsed="false">
      <c r="C110" s="0" t="n">
        <f aca="false">5450-5036</f>
        <v>414</v>
      </c>
      <c r="D110" s="0" t="n">
        <f aca="false">441-408</f>
        <v>33</v>
      </c>
      <c r="E110" s="0" t="n">
        <f aca="false">444-410</f>
        <v>34</v>
      </c>
    </row>
    <row r="111" customFormat="false" ht="12.8" hidden="false" customHeight="false" outlineLevel="0" collapsed="false">
      <c r="C111" s="0" t="n">
        <f aca="false">6682-6269</f>
        <v>413</v>
      </c>
      <c r="D111" s="0" t="n">
        <f aca="false">529-495</f>
        <v>34</v>
      </c>
      <c r="E111" s="0" t="n">
        <f aca="false">545-511</f>
        <v>34</v>
      </c>
    </row>
    <row r="112" customFormat="false" ht="12.8" hidden="false" customHeight="false" outlineLevel="0" collapsed="false">
      <c r="C112" s="0" t="n">
        <f aca="false">AVERAGE(C107:C111)</f>
        <v>413.8</v>
      </c>
      <c r="D112" s="0" t="n">
        <f aca="false">AVERAGE(D107:D111)</f>
        <v>33.8</v>
      </c>
      <c r="E112" s="0" t="n">
        <f aca="false">AVERAGE(E107:E111)</f>
        <v>33.8</v>
      </c>
    </row>
    <row r="113" customFormat="false" ht="12.8" hidden="false" customHeight="false" outlineLevel="0" collapsed="false">
      <c r="C113" s="0" t="n">
        <f aca="false">C112/C105</f>
        <v>0.686235489220564</v>
      </c>
      <c r="D113" s="0" t="n">
        <f aca="false">D112/D105</f>
        <v>0.355789473684211</v>
      </c>
      <c r="E113" s="0" t="n">
        <f aca="false">E112/E105</f>
        <v>0.689795918367347</v>
      </c>
    </row>
    <row r="115" customFormat="false" ht="12.8" hidden="false" customHeight="false" outlineLevel="0" collapsed="false">
      <c r="C115" s="0" t="n">
        <v>7500</v>
      </c>
      <c r="D115" s="0" t="n">
        <v>583</v>
      </c>
      <c r="E115" s="0" t="n">
        <v>612</v>
      </c>
    </row>
    <row r="117" customFormat="false" ht="12.8" hidden="false" customHeight="false" outlineLevel="0" collapsed="false">
      <c r="C117" s="0" t="n">
        <f aca="false">1554*(100 - 51.4)</f>
        <v>75524.4</v>
      </c>
      <c r="D117" s="0" t="n">
        <f aca="false">(1554*1.788)*51.4</f>
        <v>142817.5728</v>
      </c>
      <c r="E117" s="0" t="n">
        <f aca="false">(C117+D117)/100</f>
        <v>2183.419728</v>
      </c>
    </row>
    <row r="120" customFormat="false" ht="12.8" hidden="false" customHeight="false" outlineLevel="0" collapsed="false">
      <c r="D120" s="0" t="n">
        <v>94.8</v>
      </c>
      <c r="E120" s="0" t="n">
        <v>51.4</v>
      </c>
    </row>
    <row r="121" customFormat="false" ht="12.8" hidden="false" customHeight="false" outlineLevel="0" collapsed="false">
      <c r="C121" s="0" t="n">
        <v>74565</v>
      </c>
      <c r="D121" s="0" t="n">
        <f aca="false">C121*(100 + D120) /100</f>
        <v>145252.62</v>
      </c>
      <c r="E121" s="0" t="n">
        <f aca="false">(C121*(100-E120) + D121 * E120) /100</f>
        <v>110898.43668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N1" colorId="64" zoomScale="90" zoomScaleNormal="90" zoomScalePageLayoutView="100" workbookViewId="0">
      <selection pane="topLeft" activeCell="H15" activeCellId="0" sqref="H15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0" width="4.21"/>
    <col collapsed="false" customWidth="true" hidden="false" outlineLevel="0" max="3" min="3" style="0" width="6.79"/>
    <col collapsed="false" customWidth="true" hidden="false" outlineLevel="0" max="4" min="4" style="0" width="9.7"/>
    <col collapsed="false" customWidth="true" hidden="false" outlineLevel="0" max="5" min="5" style="0" width="11.93"/>
    <col collapsed="false" customWidth="true" hidden="false" outlineLevel="0" max="6" min="6" style="0" width="7.47"/>
    <col collapsed="false" customWidth="true" hidden="false" outlineLevel="0" max="7" min="7" style="0" width="18.11"/>
    <col collapsed="false" customWidth="true" hidden="false" outlineLevel="0" max="8" min="8" style="0" width="5.41"/>
    <col collapsed="false" customWidth="true" hidden="false" outlineLevel="0" max="9" min="9" style="0" width="5.59"/>
    <col collapsed="false" customWidth="true" hidden="false" outlineLevel="0" max="10" min="10" style="0" width="5.93"/>
    <col collapsed="false" customWidth="true" hidden="false" outlineLevel="0" max="11" min="11" style="0" width="7.99"/>
    <col collapsed="false" customWidth="true" hidden="false" outlineLevel="0" max="13" min="12" style="0" width="11.59"/>
    <col collapsed="false" customWidth="true" hidden="false" outlineLevel="0" max="14" min="14" style="0" width="9.02"/>
    <col collapsed="false" customWidth="true" hidden="false" outlineLevel="0" max="15" min="15" style="0" width="12.1"/>
    <col collapsed="false" customWidth="true" hidden="false" outlineLevel="0" max="16" min="16" style="0" width="10.9"/>
    <col collapsed="false" customWidth="true" hidden="false" outlineLevel="0" max="17" min="17" style="0" width="11.59"/>
  </cols>
  <sheetData>
    <row r="1" customFormat="false" ht="12.8" hidden="false" customHeight="false" outlineLevel="0" collapsed="false">
      <c r="A1" s="1" t="s">
        <v>23</v>
      </c>
      <c r="B1" s="1" t="s">
        <v>24</v>
      </c>
      <c r="C1" s="1" t="s">
        <v>25</v>
      </c>
      <c r="D1" s="11" t="s">
        <v>26</v>
      </c>
      <c r="E1" s="11"/>
      <c r="F1" s="1" t="s">
        <v>27</v>
      </c>
      <c r="H1" s="1" t="s">
        <v>28</v>
      </c>
      <c r="R1" s="1" t="s">
        <v>29</v>
      </c>
    </row>
    <row r="2" customFormat="false" ht="12.8" hidden="false" customHeight="false" outlineLevel="0" collapsed="false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0</v>
      </c>
      <c r="J2" s="1" t="s">
        <v>35</v>
      </c>
      <c r="K2" s="1" t="s">
        <v>36</v>
      </c>
      <c r="L2" s="1" t="s">
        <v>37</v>
      </c>
      <c r="N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</row>
    <row r="3" customFormat="false" ht="12.8" hidden="false" customHeight="false" outlineLevel="0" collapsed="false">
      <c r="L3" s="1" t="s">
        <v>43</v>
      </c>
      <c r="M3" s="1" t="s">
        <v>44</v>
      </c>
      <c r="N3" s="1" t="s">
        <v>45</v>
      </c>
      <c r="O3" s="1" t="s">
        <v>46</v>
      </c>
    </row>
    <row r="4" customFormat="false" ht="12.8" hidden="false" customHeight="false" outlineLevel="0" collapsed="false">
      <c r="A4" s="0" t="n">
        <v>0</v>
      </c>
      <c r="B4" s="1" t="s">
        <v>47</v>
      </c>
      <c r="C4" s="1" t="s">
        <v>48</v>
      </c>
      <c r="D4" s="1" t="s">
        <v>49</v>
      </c>
      <c r="G4" s="0" t="s">
        <v>50</v>
      </c>
      <c r="H4" s="0" t="n">
        <v>603</v>
      </c>
      <c r="I4" s="0" t="n">
        <v>95</v>
      </c>
      <c r="J4" s="0" t="n">
        <v>49</v>
      </c>
      <c r="K4" s="0" t="n">
        <v>71</v>
      </c>
      <c r="L4" s="0" t="n">
        <v>5</v>
      </c>
      <c r="M4" s="0" t="n">
        <v>50</v>
      </c>
      <c r="N4" s="0" t="n">
        <v>93</v>
      </c>
      <c r="O4" s="0" t="n">
        <v>92</v>
      </c>
      <c r="P4" s="0" t="n">
        <v>0</v>
      </c>
      <c r="Q4" s="0" t="n">
        <v>1.2</v>
      </c>
    </row>
    <row r="5" customFormat="false" ht="12.8" hidden="false" customHeight="false" outlineLevel="0" collapsed="false">
      <c r="A5" s="0" t="n">
        <v>1</v>
      </c>
      <c r="B5" s="1" t="s">
        <v>51</v>
      </c>
      <c r="C5" s="1" t="s">
        <v>48</v>
      </c>
      <c r="D5" s="1" t="s">
        <v>52</v>
      </c>
      <c r="G5" s="0" t="s">
        <v>53</v>
      </c>
      <c r="H5" s="0" t="n">
        <v>555</v>
      </c>
      <c r="I5" s="0" t="n">
        <v>113</v>
      </c>
      <c r="J5" s="0" t="n">
        <v>49</v>
      </c>
      <c r="K5" s="0" t="n">
        <v>72</v>
      </c>
      <c r="L5" s="0" t="n">
        <v>5</v>
      </c>
      <c r="M5" s="0" t="n">
        <v>50</v>
      </c>
      <c r="N5" s="0" t="n">
        <v>93</v>
      </c>
      <c r="O5" s="0" t="n">
        <v>92</v>
      </c>
      <c r="P5" s="0" t="n">
        <v>0</v>
      </c>
      <c r="Q5" s="0" t="n">
        <v>1.2</v>
      </c>
    </row>
    <row r="6" customFormat="false" ht="12.8" hidden="false" customHeight="false" outlineLevel="0" collapsed="false">
      <c r="A6" s="0" t="n">
        <v>2</v>
      </c>
      <c r="B6" s="1" t="s">
        <v>54</v>
      </c>
      <c r="C6" s="1" t="s">
        <v>48</v>
      </c>
      <c r="D6" s="1" t="s">
        <v>55</v>
      </c>
      <c r="G6" s="0" t="s">
        <v>56</v>
      </c>
      <c r="H6" s="0" t="n">
        <v>655</v>
      </c>
      <c r="I6" s="0" t="n">
        <v>93</v>
      </c>
      <c r="J6" s="0" t="n">
        <v>50</v>
      </c>
      <c r="K6" s="0" t="n">
        <v>73</v>
      </c>
      <c r="L6" s="0" t="n">
        <v>5</v>
      </c>
      <c r="M6" s="0" t="n">
        <v>50</v>
      </c>
      <c r="N6" s="0" t="n">
        <v>93</v>
      </c>
      <c r="O6" s="0" t="n">
        <v>92</v>
      </c>
      <c r="P6" s="0" t="n">
        <v>0</v>
      </c>
      <c r="Q6" s="0" t="n">
        <v>1.2</v>
      </c>
    </row>
    <row r="7" customFormat="false" ht="12.8" hidden="false" customHeight="false" outlineLevel="0" collapsed="false">
      <c r="A7" s="0" t="n">
        <v>3</v>
      </c>
      <c r="B7" s="1" t="s">
        <v>51</v>
      </c>
      <c r="C7" s="1" t="s">
        <v>57</v>
      </c>
      <c r="D7" s="1" t="s">
        <v>52</v>
      </c>
      <c r="G7" s="0" t="s">
        <v>58</v>
      </c>
      <c r="H7" s="0" t="n">
        <v>608</v>
      </c>
      <c r="I7" s="0" t="n">
        <v>131</v>
      </c>
      <c r="J7" s="0" t="n">
        <v>47</v>
      </c>
      <c r="K7" s="0" t="n">
        <v>74</v>
      </c>
      <c r="L7" s="0" t="n">
        <v>5</v>
      </c>
      <c r="M7" s="0" t="n">
        <v>50</v>
      </c>
      <c r="N7" s="0" t="n">
        <v>93</v>
      </c>
      <c r="O7" s="0" t="n">
        <v>92</v>
      </c>
      <c r="P7" s="0" t="n">
        <v>0</v>
      </c>
      <c r="Q7" s="0" t="n">
        <v>1.2</v>
      </c>
    </row>
    <row r="8" customFormat="false" ht="12.8" hidden="false" customHeight="false" outlineLevel="0" collapsed="false">
      <c r="A8" s="0" t="n">
        <v>4</v>
      </c>
      <c r="B8" s="1" t="s">
        <v>51</v>
      </c>
      <c r="C8" s="1" t="s">
        <v>57</v>
      </c>
      <c r="D8" s="1" t="s">
        <v>59</v>
      </c>
      <c r="G8" s="0" t="s">
        <v>60</v>
      </c>
      <c r="H8" s="0" t="n">
        <v>617</v>
      </c>
      <c r="I8" s="0" t="n">
        <v>128</v>
      </c>
      <c r="J8" s="0" t="n">
        <v>49</v>
      </c>
      <c r="K8" s="0" t="n">
        <v>75</v>
      </c>
      <c r="L8" s="0" t="n">
        <v>5</v>
      </c>
      <c r="M8" s="0" t="n">
        <v>50</v>
      </c>
      <c r="N8" s="0" t="n">
        <v>93</v>
      </c>
      <c r="O8" s="0" t="n">
        <v>92</v>
      </c>
      <c r="P8" s="0" t="n">
        <v>0</v>
      </c>
      <c r="Q8" s="0" t="n">
        <v>1.2</v>
      </c>
    </row>
    <row r="9" customFormat="false" ht="12.8" hidden="false" customHeight="false" outlineLevel="0" collapsed="false">
      <c r="A9" s="0" t="n">
        <v>5</v>
      </c>
      <c r="B9" s="1" t="s">
        <v>51</v>
      </c>
      <c r="C9" s="1" t="s">
        <v>48</v>
      </c>
      <c r="D9" s="1" t="s">
        <v>52</v>
      </c>
      <c r="G9" s="0" t="s">
        <v>61</v>
      </c>
      <c r="H9" s="0" t="n">
        <v>561</v>
      </c>
      <c r="I9" s="0" t="n">
        <v>116</v>
      </c>
      <c r="J9" s="0" t="n">
        <v>49</v>
      </c>
      <c r="K9" s="0" t="n">
        <v>76</v>
      </c>
      <c r="L9" s="0" t="n">
        <v>5</v>
      </c>
      <c r="M9" s="0" t="n">
        <v>50</v>
      </c>
      <c r="N9" s="0" t="n">
        <v>93</v>
      </c>
      <c r="O9" s="0" t="n">
        <v>92</v>
      </c>
      <c r="P9" s="0" t="n">
        <v>0</v>
      </c>
      <c r="Q9" s="0" t="n">
        <v>1.2</v>
      </c>
    </row>
    <row r="10" customFormat="false" ht="12.8" hidden="false" customHeight="false" outlineLevel="0" collapsed="false">
      <c r="A10" s="0" t="n">
        <v>6</v>
      </c>
      <c r="B10" s="1" t="s">
        <v>51</v>
      </c>
      <c r="C10" s="1" t="s">
        <v>48</v>
      </c>
      <c r="D10" s="1" t="s">
        <v>49</v>
      </c>
      <c r="G10" s="0" t="s">
        <v>62</v>
      </c>
      <c r="H10" s="0" t="n">
        <v>580</v>
      </c>
      <c r="I10" s="0" t="n">
        <v>114</v>
      </c>
      <c r="J10" s="0" t="n">
        <v>50</v>
      </c>
      <c r="K10" s="0" t="n">
        <v>77</v>
      </c>
      <c r="L10" s="0" t="n">
        <v>5</v>
      </c>
      <c r="M10" s="0" t="n">
        <v>50</v>
      </c>
      <c r="N10" s="0" t="n">
        <v>93</v>
      </c>
      <c r="O10" s="0" t="n">
        <v>92</v>
      </c>
      <c r="P10" s="0" t="n">
        <v>0</v>
      </c>
      <c r="Q10" s="0" t="n">
        <v>1.2</v>
      </c>
    </row>
    <row r="11" customFormat="false" ht="12.8" hidden="false" customHeight="false" outlineLevel="0" collapsed="false">
      <c r="A11" s="0" t="n">
        <v>7</v>
      </c>
      <c r="B11" s="1" t="s">
        <v>63</v>
      </c>
      <c r="C11" s="1" t="s">
        <v>48</v>
      </c>
      <c r="D11" s="1" t="s">
        <v>59</v>
      </c>
      <c r="G11" s="0" t="s">
        <v>64</v>
      </c>
      <c r="H11" s="0" t="n">
        <v>690</v>
      </c>
      <c r="I11" s="0" t="n">
        <v>117</v>
      </c>
      <c r="J11" s="0" t="n">
        <v>58</v>
      </c>
      <c r="K11" s="0" t="n">
        <v>78</v>
      </c>
      <c r="L11" s="0" t="n">
        <v>5</v>
      </c>
      <c r="M11" s="0" t="n">
        <v>50</v>
      </c>
      <c r="N11" s="0" t="n">
        <v>93</v>
      </c>
      <c r="O11" s="0" t="n">
        <v>92</v>
      </c>
      <c r="P11" s="0" t="n">
        <v>0</v>
      </c>
      <c r="Q11" s="0" t="n">
        <v>1.2</v>
      </c>
    </row>
    <row r="12" customFormat="false" ht="12.8" hidden="false" customHeight="false" outlineLevel="0" collapsed="false">
      <c r="A12" s="0" t="n">
        <v>8</v>
      </c>
      <c r="B12" s="1" t="s">
        <v>47</v>
      </c>
      <c r="C12" s="1" t="s">
        <v>57</v>
      </c>
      <c r="D12" s="1" t="s">
        <v>59</v>
      </c>
      <c r="G12" s="0" t="s">
        <v>65</v>
      </c>
      <c r="H12" s="0" t="n">
        <v>653</v>
      </c>
      <c r="I12" s="0" t="n">
        <v>106</v>
      </c>
      <c r="J12" s="0" t="n">
        <v>48</v>
      </c>
      <c r="K12" s="0" t="n">
        <v>79</v>
      </c>
      <c r="L12" s="0" t="n">
        <v>5</v>
      </c>
      <c r="M12" s="0" t="n">
        <v>50</v>
      </c>
      <c r="N12" s="0" t="n">
        <v>93</v>
      </c>
      <c r="O12" s="0" t="n">
        <v>92</v>
      </c>
      <c r="P12" s="0" t="n">
        <v>0</v>
      </c>
      <c r="Q12" s="0" t="n">
        <v>1.2</v>
      </c>
    </row>
    <row r="13" customFormat="false" ht="12.8" hidden="false" customHeight="false" outlineLevel="0" collapsed="false">
      <c r="A13" s="0" t="n">
        <v>9</v>
      </c>
      <c r="B13" s="1" t="s">
        <v>38</v>
      </c>
      <c r="C13" s="1" t="s">
        <v>57</v>
      </c>
      <c r="D13" s="1" t="s">
        <v>49</v>
      </c>
      <c r="G13" s="0" t="s">
        <v>66</v>
      </c>
      <c r="H13" s="0" t="n">
        <v>602</v>
      </c>
      <c r="I13" s="0" t="n">
        <v>119</v>
      </c>
      <c r="J13" s="0" t="n">
        <v>48</v>
      </c>
      <c r="K13" s="0" t="n">
        <v>80</v>
      </c>
      <c r="L13" s="0" t="n">
        <v>5</v>
      </c>
      <c r="M13" s="0" t="n">
        <v>50</v>
      </c>
      <c r="N13" s="0" t="n">
        <v>93</v>
      </c>
      <c r="O13" s="0" t="n">
        <v>92</v>
      </c>
      <c r="P13" s="0" t="n">
        <v>0</v>
      </c>
      <c r="Q13" s="0" t="n">
        <v>1.2</v>
      </c>
    </row>
    <row r="14" customFormat="false" ht="12.8" hidden="false" customHeight="false" outlineLevel="0" collapsed="false">
      <c r="A14" s="0" t="n">
        <v>10</v>
      </c>
      <c r="B14" s="1" t="s">
        <v>47</v>
      </c>
      <c r="C14" s="1" t="s">
        <v>57</v>
      </c>
      <c r="D14" s="1" t="s">
        <v>67</v>
      </c>
      <c r="G14" s="0" t="s">
        <v>68</v>
      </c>
      <c r="H14" s="0" t="n">
        <v>677</v>
      </c>
      <c r="I14" s="0" t="n">
        <v>105</v>
      </c>
      <c r="J14" s="0" t="n">
        <v>49</v>
      </c>
      <c r="K14" s="0" t="n">
        <v>81</v>
      </c>
      <c r="L14" s="0" t="n">
        <v>5</v>
      </c>
      <c r="M14" s="0" t="n">
        <v>50</v>
      </c>
      <c r="N14" s="0" t="n">
        <v>93</v>
      </c>
      <c r="O14" s="0" t="n">
        <v>92</v>
      </c>
      <c r="P14" s="0" t="n">
        <v>0</v>
      </c>
      <c r="Q14" s="0" t="n">
        <v>1.2</v>
      </c>
    </row>
    <row r="15" customFormat="false" ht="12.8" hidden="false" customHeight="false" outlineLevel="0" collapsed="false">
      <c r="A15" s="0" t="n">
        <v>11</v>
      </c>
      <c r="B15" s="1" t="s">
        <v>51</v>
      </c>
      <c r="C15" s="1" t="s">
        <v>57</v>
      </c>
      <c r="D15" s="1" t="s">
        <v>67</v>
      </c>
      <c r="G15" s="0" t="s">
        <v>69</v>
      </c>
      <c r="H15" s="0" t="n">
        <v>617</v>
      </c>
      <c r="I15" s="0" t="n">
        <v>135</v>
      </c>
      <c r="J15" s="0" t="n">
        <v>49</v>
      </c>
      <c r="K15" s="0" t="n">
        <v>82</v>
      </c>
      <c r="L15" s="0" t="n">
        <v>5</v>
      </c>
      <c r="M15" s="0" t="n">
        <v>50</v>
      </c>
      <c r="N15" s="0" t="n">
        <v>93</v>
      </c>
      <c r="O15" s="0" t="n">
        <v>92</v>
      </c>
      <c r="P15" s="0" t="n">
        <v>0</v>
      </c>
      <c r="Q15" s="0" t="n">
        <v>1.2</v>
      </c>
    </row>
    <row r="16" customFormat="false" ht="12.8" hidden="false" customHeight="false" outlineLevel="0" collapsed="false">
      <c r="A16" s="0" t="n">
        <v>12</v>
      </c>
      <c r="B16" s="1" t="s">
        <v>54</v>
      </c>
      <c r="C16" s="1" t="s">
        <v>57</v>
      </c>
      <c r="D16" s="1" t="s">
        <v>49</v>
      </c>
      <c r="G16" s="0" t="s">
        <v>70</v>
      </c>
      <c r="H16" s="0" t="n">
        <v>692</v>
      </c>
      <c r="I16" s="0" t="n">
        <v>103</v>
      </c>
      <c r="J16" s="0" t="n">
        <v>48</v>
      </c>
      <c r="K16" s="0" t="n">
        <v>83</v>
      </c>
      <c r="L16" s="0" t="n">
        <v>5</v>
      </c>
      <c r="M16" s="0" t="n">
        <v>50</v>
      </c>
      <c r="N16" s="0" t="n">
        <v>93</v>
      </c>
      <c r="O16" s="0" t="n">
        <v>92</v>
      </c>
      <c r="P16" s="0" t="n">
        <v>0</v>
      </c>
      <c r="Q16" s="0" t="n">
        <v>1.2</v>
      </c>
      <c r="R16" s="1" t="s">
        <v>71</v>
      </c>
      <c r="S16" s="1" t="s">
        <v>72</v>
      </c>
    </row>
    <row r="17" customFormat="false" ht="12.8" hidden="false" customHeight="false" outlineLevel="0" collapsed="false">
      <c r="A17" s="0" t="n">
        <v>13</v>
      </c>
      <c r="B17" s="1" t="s">
        <v>51</v>
      </c>
      <c r="C17" s="1" t="s">
        <v>57</v>
      </c>
      <c r="D17" s="1" t="s">
        <v>55</v>
      </c>
      <c r="G17" s="0" t="s">
        <v>73</v>
      </c>
      <c r="H17" s="0" t="n">
        <v>602</v>
      </c>
      <c r="I17" s="0" t="n">
        <v>132</v>
      </c>
      <c r="J17" s="0" t="n">
        <v>48</v>
      </c>
      <c r="K17" s="0" t="n">
        <v>84</v>
      </c>
      <c r="L17" s="0" t="n">
        <v>5</v>
      </c>
      <c r="M17" s="0" t="n">
        <v>50</v>
      </c>
      <c r="N17" s="0" t="n">
        <v>93</v>
      </c>
      <c r="O17" s="0" t="n">
        <v>92</v>
      </c>
      <c r="P17" s="0" t="n">
        <v>0</v>
      </c>
      <c r="Q17" s="0" t="n">
        <v>1.2</v>
      </c>
    </row>
    <row r="18" customFormat="false" ht="12.8" hidden="false" customHeight="false" outlineLevel="0" collapsed="false">
      <c r="A18" s="0" t="n">
        <v>14</v>
      </c>
      <c r="B18" s="1" t="s">
        <v>54</v>
      </c>
      <c r="C18" s="1" t="s">
        <v>48</v>
      </c>
      <c r="D18" s="1" t="s">
        <v>67</v>
      </c>
      <c r="G18" s="0" t="s">
        <v>74</v>
      </c>
      <c r="H18" s="0" t="n">
        <v>645</v>
      </c>
      <c r="I18" s="0" t="n">
        <v>96</v>
      </c>
      <c r="J18" s="0" t="n">
        <v>48</v>
      </c>
      <c r="K18" s="0" t="n">
        <v>85</v>
      </c>
      <c r="L18" s="0" t="n">
        <v>5</v>
      </c>
      <c r="M18" s="0" t="n">
        <v>50</v>
      </c>
      <c r="N18" s="0" t="n">
        <v>93</v>
      </c>
      <c r="O18" s="0" t="n">
        <v>92</v>
      </c>
      <c r="P18" s="0" t="n">
        <v>0</v>
      </c>
      <c r="Q18" s="0" t="n">
        <v>1.2</v>
      </c>
    </row>
    <row r="19" customFormat="false" ht="12.8" hidden="false" customHeight="false" outlineLevel="0" collapsed="false">
      <c r="A19" s="0" t="n">
        <v>15</v>
      </c>
      <c r="B19" s="1" t="s">
        <v>54</v>
      </c>
      <c r="C19" s="1" t="s">
        <v>48</v>
      </c>
      <c r="D19" s="1" t="s">
        <v>59</v>
      </c>
      <c r="G19" s="0" t="s">
        <v>75</v>
      </c>
      <c r="H19" s="0" t="n">
        <v>645</v>
      </c>
      <c r="I19" s="0" t="n">
        <v>95</v>
      </c>
      <c r="J19" s="0" t="n">
        <v>49</v>
      </c>
      <c r="K19" s="0" t="n">
        <v>86</v>
      </c>
      <c r="L19" s="0" t="n">
        <v>5</v>
      </c>
      <c r="M19" s="0" t="n">
        <v>50</v>
      </c>
      <c r="N19" s="0" t="n">
        <v>93</v>
      </c>
      <c r="O19" s="0" t="n">
        <v>92</v>
      </c>
      <c r="P19" s="0" t="n">
        <v>0</v>
      </c>
      <c r="Q19" s="0" t="n">
        <v>1.2</v>
      </c>
    </row>
    <row r="20" customFormat="false" ht="12.8" hidden="false" customHeight="false" outlineLevel="0" collapsed="false">
      <c r="A20" s="0" t="n">
        <v>16</v>
      </c>
      <c r="B20" s="1" t="s">
        <v>38</v>
      </c>
      <c r="C20" s="1" t="s">
        <v>48</v>
      </c>
      <c r="D20" s="1" t="s">
        <v>52</v>
      </c>
      <c r="G20" s="0" t="s">
        <v>76</v>
      </c>
      <c r="H20" s="0" t="n">
        <v>561</v>
      </c>
      <c r="I20" s="0" t="n">
        <v>109</v>
      </c>
      <c r="J20" s="0" t="n">
        <v>49</v>
      </c>
      <c r="K20" s="0" t="n">
        <v>87</v>
      </c>
      <c r="L20" s="0" t="n">
        <v>5</v>
      </c>
      <c r="M20" s="0" t="n">
        <v>50</v>
      </c>
      <c r="N20" s="0" t="n">
        <v>93</v>
      </c>
      <c r="O20" s="0" t="n">
        <v>92</v>
      </c>
      <c r="P20" s="0" t="n">
        <v>0</v>
      </c>
      <c r="Q20" s="0" t="n">
        <v>1.2</v>
      </c>
    </row>
    <row r="21" customFormat="false" ht="12.8" hidden="false" customHeight="false" outlineLevel="0" collapsed="false">
      <c r="A21" s="0" t="n">
        <v>17</v>
      </c>
      <c r="B21" s="1" t="s">
        <v>47</v>
      </c>
      <c r="C21" s="1" t="s">
        <v>57</v>
      </c>
      <c r="D21" s="1" t="s">
        <v>49</v>
      </c>
      <c r="G21" s="0" t="s">
        <v>77</v>
      </c>
      <c r="H21" s="0" t="n">
        <v>663</v>
      </c>
      <c r="I21" s="0" t="n">
        <v>109</v>
      </c>
      <c r="J21" s="0" t="n">
        <v>49</v>
      </c>
      <c r="K21" s="0" t="n">
        <v>88</v>
      </c>
      <c r="L21" s="0" t="n">
        <v>5</v>
      </c>
      <c r="M21" s="0" t="n">
        <v>50</v>
      </c>
      <c r="N21" s="0" t="n">
        <v>93</v>
      </c>
      <c r="O21" s="0" t="n">
        <v>92</v>
      </c>
      <c r="P21" s="0" t="n">
        <v>0</v>
      </c>
      <c r="Q21" s="0" t="n">
        <v>1.2</v>
      </c>
    </row>
    <row r="22" customFormat="false" ht="12.8" hidden="false" customHeight="false" outlineLevel="0" collapsed="false">
      <c r="A22" s="0" t="n">
        <v>18</v>
      </c>
      <c r="B22" s="1" t="s">
        <v>38</v>
      </c>
      <c r="C22" s="1" t="s">
        <v>57</v>
      </c>
      <c r="D22" s="1" t="s">
        <v>52</v>
      </c>
      <c r="G22" s="0" t="s">
        <v>78</v>
      </c>
      <c r="H22" s="0" t="n">
        <v>626</v>
      </c>
      <c r="I22" s="0" t="n">
        <v>127</v>
      </c>
      <c r="J22" s="0" t="n">
        <v>49</v>
      </c>
      <c r="K22" s="0" t="n">
        <v>89</v>
      </c>
      <c r="L22" s="0" t="n">
        <v>5</v>
      </c>
      <c r="M22" s="0" t="n">
        <v>50</v>
      </c>
      <c r="N22" s="0" t="n">
        <v>93</v>
      </c>
      <c r="O22" s="0" t="n">
        <v>92</v>
      </c>
      <c r="P22" s="0" t="n">
        <v>0</v>
      </c>
      <c r="Q22" s="0" t="n">
        <v>1.2</v>
      </c>
    </row>
    <row r="23" customFormat="false" ht="12.8" hidden="false" customHeight="false" outlineLevel="0" collapsed="false">
      <c r="A23" s="0" t="n">
        <v>19</v>
      </c>
      <c r="B23" s="1" t="s">
        <v>63</v>
      </c>
      <c r="C23" s="1" t="s">
        <v>48</v>
      </c>
      <c r="D23" s="1" t="s">
        <v>49</v>
      </c>
      <c r="G23" s="0" t="s">
        <v>79</v>
      </c>
      <c r="H23" s="0" t="n">
        <v>699</v>
      </c>
      <c r="I23" s="0" t="n">
        <v>93</v>
      </c>
      <c r="J23" s="0" t="n">
        <v>60</v>
      </c>
      <c r="K23" s="0" t="n">
        <v>90</v>
      </c>
      <c r="L23" s="0" t="n">
        <v>5</v>
      </c>
      <c r="M23" s="0" t="n">
        <v>50</v>
      </c>
      <c r="N23" s="0" t="n">
        <v>93</v>
      </c>
      <c r="O23" s="0" t="n">
        <v>92</v>
      </c>
      <c r="P23" s="0" t="n">
        <v>0</v>
      </c>
      <c r="Q23" s="0" t="n">
        <v>1.2</v>
      </c>
    </row>
    <row r="24" customFormat="false" ht="12.8" hidden="false" customHeight="false" outlineLevel="0" collapsed="false">
      <c r="A24" s="0" t="n">
        <v>20</v>
      </c>
      <c r="B24" s="1" t="s">
        <v>63</v>
      </c>
      <c r="C24" s="1" t="s">
        <v>57</v>
      </c>
      <c r="D24" s="1" t="s">
        <v>52</v>
      </c>
      <c r="G24" s="0" t="s">
        <v>80</v>
      </c>
      <c r="H24" s="0" t="n">
        <v>766</v>
      </c>
      <c r="I24" s="0" t="n">
        <v>101</v>
      </c>
      <c r="J24" s="0" t="n">
        <v>61</v>
      </c>
      <c r="K24" s="0" t="n">
        <v>91</v>
      </c>
      <c r="L24" s="0" t="n">
        <v>5</v>
      </c>
      <c r="M24" s="0" t="n">
        <v>50</v>
      </c>
      <c r="N24" s="0" t="n">
        <v>93</v>
      </c>
      <c r="O24" s="0" t="n">
        <v>92</v>
      </c>
      <c r="P24" s="0" t="n">
        <v>0</v>
      </c>
      <c r="Q24" s="0" t="n">
        <v>1.2</v>
      </c>
    </row>
    <row r="25" customFormat="false" ht="12.8" hidden="false" customHeight="false" outlineLevel="0" collapsed="false">
      <c r="A25" s="0" t="n">
        <v>21</v>
      </c>
      <c r="B25" s="1" t="s">
        <v>38</v>
      </c>
      <c r="C25" s="1" t="s">
        <v>57</v>
      </c>
      <c r="D25" s="1" t="s">
        <v>59</v>
      </c>
      <c r="G25" s="0" t="s">
        <v>81</v>
      </c>
      <c r="H25" s="0" t="n">
        <v>592</v>
      </c>
      <c r="I25" s="0" t="n">
        <v>124</v>
      </c>
      <c r="J25" s="0" t="n">
        <v>48</v>
      </c>
      <c r="K25" s="0" t="n">
        <v>92</v>
      </c>
      <c r="L25" s="0" t="n">
        <v>5</v>
      </c>
      <c r="M25" s="0" t="n">
        <v>50</v>
      </c>
      <c r="N25" s="0" t="n">
        <v>93</v>
      </c>
      <c r="O25" s="0" t="n">
        <v>92</v>
      </c>
      <c r="P25" s="0" t="n">
        <v>0</v>
      </c>
      <c r="Q25" s="0" t="n">
        <v>1.2</v>
      </c>
    </row>
    <row r="26" customFormat="false" ht="12.8" hidden="false" customHeight="false" outlineLevel="0" collapsed="false">
      <c r="A26" s="0" t="n">
        <v>22</v>
      </c>
      <c r="B26" s="1" t="s">
        <v>38</v>
      </c>
      <c r="C26" s="1" t="s">
        <v>57</v>
      </c>
      <c r="D26" s="1" t="s">
        <v>49</v>
      </c>
      <c r="G26" s="0" t="s">
        <v>82</v>
      </c>
      <c r="H26" s="0" t="n">
        <v>626</v>
      </c>
      <c r="I26" s="0" t="n">
        <v>126</v>
      </c>
      <c r="J26" s="0" t="n">
        <v>49</v>
      </c>
      <c r="K26" s="0" t="n">
        <v>93</v>
      </c>
      <c r="L26" s="0" t="n">
        <v>5</v>
      </c>
      <c r="M26" s="0" t="n">
        <v>50</v>
      </c>
      <c r="N26" s="0" t="n">
        <v>93</v>
      </c>
      <c r="O26" s="0" t="n">
        <v>92</v>
      </c>
      <c r="P26" s="0" t="n">
        <v>0</v>
      </c>
      <c r="Q26" s="0" t="n">
        <v>1.2</v>
      </c>
    </row>
    <row r="27" customFormat="false" ht="12.8" hidden="false" customHeight="false" outlineLevel="0" collapsed="false">
      <c r="A27" s="0" t="n">
        <v>23</v>
      </c>
      <c r="B27" s="1" t="s">
        <v>47</v>
      </c>
      <c r="C27" s="1" t="s">
        <v>57</v>
      </c>
      <c r="D27" s="1" t="s">
        <v>59</v>
      </c>
      <c r="G27" s="0" t="s">
        <v>83</v>
      </c>
      <c r="H27" s="0" t="n">
        <v>677</v>
      </c>
      <c r="I27" s="0" t="n">
        <v>109</v>
      </c>
      <c r="J27" s="0" t="n">
        <v>49</v>
      </c>
      <c r="K27" s="0" t="n">
        <v>94</v>
      </c>
      <c r="L27" s="0" t="n">
        <v>5</v>
      </c>
      <c r="M27" s="0" t="n">
        <v>50</v>
      </c>
      <c r="N27" s="0" t="n">
        <v>93</v>
      </c>
      <c r="O27" s="0" t="n">
        <v>92</v>
      </c>
      <c r="P27" s="0" t="n">
        <v>0</v>
      </c>
      <c r="Q27" s="0" t="n">
        <v>1.2</v>
      </c>
    </row>
    <row r="28" customFormat="false" ht="12.8" hidden="false" customHeight="false" outlineLevel="0" collapsed="false">
      <c r="A28" s="0" t="n">
        <v>24</v>
      </c>
      <c r="B28" s="1" t="s">
        <v>38</v>
      </c>
      <c r="C28" s="1" t="s">
        <v>57</v>
      </c>
      <c r="D28" s="1" t="s">
        <v>67</v>
      </c>
      <c r="E28" s="1" t="s">
        <v>84</v>
      </c>
      <c r="G28" s="0" t="s">
        <v>85</v>
      </c>
      <c r="H28" s="0" t="n">
        <v>617</v>
      </c>
      <c r="I28" s="0" t="n">
        <v>127</v>
      </c>
      <c r="J28" s="0" t="n">
        <v>49</v>
      </c>
      <c r="K28" s="0" t="n">
        <v>95</v>
      </c>
      <c r="L28" s="0" t="n">
        <v>5</v>
      </c>
      <c r="M28" s="0" t="n">
        <v>50</v>
      </c>
      <c r="N28" s="0" t="n">
        <v>93</v>
      </c>
      <c r="O28" s="0" t="n">
        <v>92</v>
      </c>
      <c r="P28" s="0" t="n">
        <v>0</v>
      </c>
      <c r="Q28" s="0" t="n">
        <v>1.2</v>
      </c>
    </row>
    <row r="29" customFormat="false" ht="12.8" hidden="false" customHeight="false" outlineLevel="0" collapsed="false">
      <c r="A29" s="0" t="n">
        <v>25</v>
      </c>
      <c r="B29" s="1" t="s">
        <v>51</v>
      </c>
      <c r="C29" s="1" t="s">
        <v>57</v>
      </c>
      <c r="D29" s="1" t="s">
        <v>49</v>
      </c>
      <c r="G29" s="0" t="s">
        <v>86</v>
      </c>
      <c r="H29" s="0" t="n">
        <v>595</v>
      </c>
      <c r="I29" s="0" t="n">
        <v>132</v>
      </c>
      <c r="J29" s="0" t="n">
        <v>48</v>
      </c>
      <c r="K29" s="0" t="n">
        <v>96</v>
      </c>
      <c r="L29" s="0" t="n">
        <v>5</v>
      </c>
      <c r="M29" s="0" t="n">
        <v>50</v>
      </c>
      <c r="N29" s="0" t="n">
        <v>93</v>
      </c>
      <c r="O29" s="0" t="n">
        <v>92</v>
      </c>
      <c r="P29" s="0" t="n">
        <v>0</v>
      </c>
      <c r="Q29" s="0" t="n">
        <v>1.2</v>
      </c>
    </row>
    <row r="30" customFormat="false" ht="12.8" hidden="false" customHeight="false" outlineLevel="0" collapsed="false">
      <c r="A30" s="0" t="n">
        <v>26</v>
      </c>
      <c r="B30" s="1" t="s">
        <v>54</v>
      </c>
      <c r="C30" s="1" t="s">
        <v>57</v>
      </c>
      <c r="D30" s="1" t="s">
        <v>55</v>
      </c>
      <c r="G30" s="0" t="s">
        <v>87</v>
      </c>
      <c r="H30" s="0" t="n">
        <v>692</v>
      </c>
      <c r="I30" s="0" t="n">
        <v>103</v>
      </c>
      <c r="J30" s="0" t="n">
        <v>48</v>
      </c>
      <c r="K30" s="0" t="n">
        <v>97</v>
      </c>
      <c r="L30" s="0" t="n">
        <v>5</v>
      </c>
      <c r="M30" s="0" t="n">
        <v>50</v>
      </c>
      <c r="N30" s="0" t="n">
        <v>93</v>
      </c>
      <c r="O30" s="0" t="n">
        <v>92</v>
      </c>
      <c r="P30" s="0" t="n">
        <v>0</v>
      </c>
      <c r="Q30" s="0" t="n">
        <v>1.2</v>
      </c>
    </row>
    <row r="31" customFormat="false" ht="12.8" hidden="false" customHeight="false" outlineLevel="0" collapsed="false">
      <c r="A31" s="0" t="n">
        <v>27</v>
      </c>
      <c r="B31" s="1" t="s">
        <v>51</v>
      </c>
      <c r="C31" s="1" t="s">
        <v>57</v>
      </c>
      <c r="D31" s="1" t="s">
        <v>59</v>
      </c>
      <c r="G31" s="0" t="s">
        <v>88</v>
      </c>
      <c r="H31" s="0" t="n">
        <v>626</v>
      </c>
      <c r="I31" s="0" t="n">
        <v>134</v>
      </c>
      <c r="J31" s="0" t="n">
        <v>49</v>
      </c>
      <c r="K31" s="0" t="n">
        <v>98</v>
      </c>
      <c r="L31" s="0" t="n">
        <v>5</v>
      </c>
      <c r="M31" s="0" t="n">
        <v>50</v>
      </c>
      <c r="N31" s="0" t="n">
        <v>93</v>
      </c>
      <c r="O31" s="0" t="n">
        <v>92</v>
      </c>
      <c r="P31" s="0" t="n">
        <v>0</v>
      </c>
      <c r="Q31" s="0" t="n">
        <v>1.2</v>
      </c>
    </row>
  </sheetData>
  <mergeCells count="1">
    <mergeCell ref="D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3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Y33" activeCellId="0" sqref="Y33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0" width="4.21"/>
    <col collapsed="false" customWidth="true" hidden="false" outlineLevel="0" max="3" min="3" style="0" width="6.79"/>
    <col collapsed="false" customWidth="true" hidden="false" outlineLevel="0" max="4" min="4" style="0" width="9.7"/>
    <col collapsed="false" customWidth="true" hidden="false" outlineLevel="0" max="5" min="5" style="0" width="11.93"/>
    <col collapsed="false" customWidth="true" hidden="false" outlineLevel="0" max="6" min="6" style="0" width="7.47"/>
    <col collapsed="false" customWidth="true" hidden="false" outlineLevel="0" max="7" min="7" style="0" width="18.11"/>
    <col collapsed="false" customWidth="true" hidden="false" outlineLevel="0" max="8" min="8" style="0" width="5.41"/>
    <col collapsed="false" customWidth="true" hidden="false" outlineLevel="0" max="9" min="9" style="0" width="5.59"/>
    <col collapsed="false" customWidth="true" hidden="false" outlineLevel="0" max="10" min="10" style="0" width="5.93"/>
    <col collapsed="false" customWidth="true" hidden="false" outlineLevel="0" max="11" min="11" style="0" width="7.99"/>
    <col collapsed="false" customWidth="true" hidden="false" outlineLevel="0" max="12" min="12" style="0" width="6.62"/>
    <col collapsed="false" customWidth="true" hidden="false" outlineLevel="0" max="13" min="13" style="0" width="6.27"/>
    <col collapsed="false" customWidth="true" hidden="false" outlineLevel="0" max="14" min="14" style="0" width="9.02"/>
    <col collapsed="false" customWidth="true" hidden="false" outlineLevel="0" max="15" min="15" style="0" width="12.1"/>
    <col collapsed="false" customWidth="true" hidden="false" outlineLevel="0" max="16" min="16" style="0" width="10.9"/>
    <col collapsed="false" customWidth="true" hidden="false" outlineLevel="0" max="17" min="17" style="0" width="11.59"/>
    <col collapsed="false" customWidth="true" hidden="false" outlineLevel="0" max="18" min="18" style="0" width="8.16"/>
    <col collapsed="false" customWidth="true" hidden="false" outlineLevel="0" max="19" min="19" style="0" width="5.93"/>
    <col collapsed="false" customWidth="true" hidden="false" outlineLevel="0" max="20" min="20" style="0" width="6.62"/>
    <col collapsed="false" customWidth="true" hidden="false" outlineLevel="0" max="21" min="21" style="0" width="4.21"/>
  </cols>
  <sheetData>
    <row r="1" customFormat="false" ht="12.8" hidden="false" customHeight="false" outlineLevel="0" collapsed="false">
      <c r="A1" s="1" t="s">
        <v>23</v>
      </c>
      <c r="B1" s="1" t="s">
        <v>24</v>
      </c>
      <c r="C1" s="1" t="s">
        <v>25</v>
      </c>
      <c r="D1" s="11" t="s">
        <v>26</v>
      </c>
      <c r="E1" s="11"/>
      <c r="F1" s="1" t="s">
        <v>27</v>
      </c>
      <c r="H1" s="1" t="s">
        <v>28</v>
      </c>
      <c r="R1" s="1" t="s">
        <v>29</v>
      </c>
      <c r="S1" s="1"/>
      <c r="T1" s="1"/>
      <c r="U1" s="1"/>
    </row>
    <row r="2" customFormat="false" ht="12.8" hidden="false" customHeight="false" outlineLevel="0" collapsed="false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0</v>
      </c>
      <c r="J2" s="1" t="s">
        <v>35</v>
      </c>
      <c r="K2" s="1" t="s">
        <v>36</v>
      </c>
      <c r="L2" s="1" t="s">
        <v>37</v>
      </c>
      <c r="N2" s="1" t="s">
        <v>38</v>
      </c>
      <c r="P2" s="1" t="s">
        <v>39</v>
      </c>
      <c r="Q2" s="1" t="s">
        <v>40</v>
      </c>
      <c r="R2" s="1" t="s">
        <v>41</v>
      </c>
      <c r="T2" s="1" t="s">
        <v>42</v>
      </c>
      <c r="V2" s="1" t="s">
        <v>2</v>
      </c>
    </row>
    <row r="3" customFormat="false" ht="12.8" hidden="false" customHeight="false" outlineLevel="0" collapsed="false">
      <c r="L3" s="1" t="s">
        <v>43</v>
      </c>
      <c r="M3" s="1" t="s">
        <v>44</v>
      </c>
      <c r="N3" s="1" t="s">
        <v>45</v>
      </c>
      <c r="O3" s="1" t="s">
        <v>46</v>
      </c>
    </row>
    <row r="4" customFormat="false" ht="12.8" hidden="false" customHeight="false" outlineLevel="0" collapsed="false">
      <c r="A4" s="0" t="n">
        <v>0</v>
      </c>
      <c r="B4" s="1" t="s">
        <v>47</v>
      </c>
      <c r="C4" s="1" t="s">
        <v>48</v>
      </c>
      <c r="D4" s="1" t="s">
        <v>49</v>
      </c>
      <c r="G4" s="0" t="s">
        <v>50</v>
      </c>
      <c r="H4" s="0" t="n">
        <v>7500</v>
      </c>
      <c r="I4" s="0" t="n">
        <v>583</v>
      </c>
      <c r="J4" s="0" t="n">
        <v>612</v>
      </c>
      <c r="K4" s="0" t="n">
        <v>118</v>
      </c>
      <c r="L4" s="0" t="n">
        <v>5</v>
      </c>
      <c r="M4" s="0" t="n">
        <v>50</v>
      </c>
      <c r="N4" s="0" t="n">
        <v>94</v>
      </c>
      <c r="O4" s="0" t="n">
        <v>93</v>
      </c>
      <c r="P4" s="0" t="n">
        <v>0</v>
      </c>
      <c r="Q4" s="0" t="n">
        <v>1.2</v>
      </c>
      <c r="R4" s="1" t="s">
        <v>89</v>
      </c>
      <c r="S4" s="0" t="n">
        <v>6</v>
      </c>
      <c r="T4" s="1" t="s">
        <v>72</v>
      </c>
      <c r="U4" s="0" t="n">
        <v>25</v>
      </c>
      <c r="V4" s="0" t="n">
        <v>0</v>
      </c>
    </row>
    <row r="5" customFormat="false" ht="12.8" hidden="false" customHeight="false" outlineLevel="0" collapsed="false">
      <c r="A5" s="0" t="n">
        <v>1</v>
      </c>
      <c r="B5" s="1" t="s">
        <v>51</v>
      </c>
      <c r="C5" s="1" t="s">
        <v>48</v>
      </c>
      <c r="D5" s="1" t="s">
        <v>52</v>
      </c>
      <c r="G5" s="0" t="s">
        <v>53</v>
      </c>
      <c r="H5" s="0" t="n">
        <v>6907</v>
      </c>
      <c r="I5" s="0" t="n">
        <v>712</v>
      </c>
      <c r="J5" s="0" t="n">
        <v>606</v>
      </c>
      <c r="K5" s="0" t="n">
        <v>91</v>
      </c>
      <c r="L5" s="0" t="n">
        <v>5</v>
      </c>
      <c r="M5" s="0" t="n">
        <v>50</v>
      </c>
      <c r="N5" s="0" t="n">
        <v>92</v>
      </c>
      <c r="O5" s="0" t="n">
        <v>91</v>
      </c>
      <c r="P5" s="0" t="n">
        <v>0</v>
      </c>
      <c r="Q5" s="0" t="n">
        <v>1.2</v>
      </c>
      <c r="R5" s="1" t="s">
        <v>90</v>
      </c>
      <c r="S5" s="0" t="n">
        <v>4.8</v>
      </c>
      <c r="T5" s="1" t="s">
        <v>72</v>
      </c>
      <c r="U5" s="0" t="n">
        <v>25</v>
      </c>
      <c r="V5" s="0" t="n">
        <v>28</v>
      </c>
    </row>
    <row r="6" customFormat="false" ht="12.8" hidden="false" customHeight="false" outlineLevel="0" collapsed="false">
      <c r="A6" s="0" t="n">
        <v>2</v>
      </c>
      <c r="B6" s="1" t="s">
        <v>54</v>
      </c>
      <c r="C6" s="1" t="s">
        <v>48</v>
      </c>
      <c r="D6" s="1" t="s">
        <v>55</v>
      </c>
      <c r="G6" s="0" t="s">
        <v>56</v>
      </c>
      <c r="H6" s="0" t="n">
        <v>8145</v>
      </c>
      <c r="I6" s="0" t="n">
        <v>574</v>
      </c>
      <c r="J6" s="0" t="n">
        <v>622</v>
      </c>
      <c r="K6" s="0" t="n">
        <v>80</v>
      </c>
      <c r="L6" s="0" t="n">
        <v>5</v>
      </c>
      <c r="M6" s="0" t="n">
        <v>50</v>
      </c>
      <c r="N6" s="0" t="n">
        <v>90</v>
      </c>
      <c r="O6" s="0" t="n">
        <v>93</v>
      </c>
      <c r="P6" s="0" t="n">
        <v>0</v>
      </c>
      <c r="Q6" s="0" t="n">
        <v>1.2</v>
      </c>
      <c r="R6" s="1" t="s">
        <v>91</v>
      </c>
      <c r="S6" s="0" t="n">
        <v>0.12</v>
      </c>
      <c r="T6" s="1" t="s">
        <v>72</v>
      </c>
      <c r="U6" s="0" t="n">
        <v>25</v>
      </c>
      <c r="V6" s="0" t="n">
        <v>26</v>
      </c>
    </row>
    <row r="7" customFormat="false" ht="12.8" hidden="false" customHeight="false" outlineLevel="0" collapsed="false">
      <c r="A7" s="0" t="n">
        <v>3</v>
      </c>
      <c r="B7" s="1" t="s">
        <v>51</v>
      </c>
      <c r="C7" s="1" t="s">
        <v>57</v>
      </c>
      <c r="D7" s="1" t="s">
        <v>52</v>
      </c>
      <c r="G7" s="0" t="s">
        <v>58</v>
      </c>
      <c r="H7" s="0" t="n">
        <v>7560</v>
      </c>
      <c r="I7" s="0" t="n">
        <v>835</v>
      </c>
      <c r="J7" s="0" t="n">
        <v>587</v>
      </c>
      <c r="K7" s="0" t="n">
        <v>92</v>
      </c>
      <c r="L7" s="0" t="n">
        <v>5</v>
      </c>
      <c r="M7" s="0" t="n">
        <v>50</v>
      </c>
      <c r="N7" s="0" t="n">
        <v>97</v>
      </c>
      <c r="O7" s="0" t="n">
        <v>96</v>
      </c>
      <c r="P7" s="0" t="n">
        <v>0</v>
      </c>
      <c r="Q7" s="0" t="n">
        <v>1.2</v>
      </c>
      <c r="R7" s="1" t="s">
        <v>90</v>
      </c>
      <c r="S7" s="0" t="n">
        <v>4.8</v>
      </c>
      <c r="T7" s="1" t="s">
        <v>72</v>
      </c>
      <c r="U7" s="0" t="n">
        <v>25</v>
      </c>
      <c r="V7" s="0" t="n">
        <v>35</v>
      </c>
    </row>
    <row r="8" customFormat="false" ht="12.8" hidden="false" customHeight="false" outlineLevel="0" collapsed="false">
      <c r="A8" s="0" t="n">
        <v>4</v>
      </c>
      <c r="B8" s="1" t="s">
        <v>51</v>
      </c>
      <c r="C8" s="1" t="s">
        <v>57</v>
      </c>
      <c r="D8" s="1" t="s">
        <v>59</v>
      </c>
      <c r="G8" s="0" t="s">
        <v>60</v>
      </c>
      <c r="H8" s="0" t="n">
        <v>7673</v>
      </c>
      <c r="I8" s="0" t="n">
        <v>813</v>
      </c>
      <c r="J8" s="0" t="n">
        <v>612</v>
      </c>
      <c r="K8" s="0" t="n">
        <v>93</v>
      </c>
      <c r="L8" s="0" t="n">
        <v>5</v>
      </c>
      <c r="M8" s="0" t="n">
        <v>50</v>
      </c>
      <c r="N8" s="0" t="n">
        <v>94</v>
      </c>
      <c r="O8" s="0" t="n">
        <v>93</v>
      </c>
      <c r="P8" s="0" t="n">
        <v>0</v>
      </c>
      <c r="Q8" s="0" t="n">
        <v>1.2</v>
      </c>
      <c r="R8" s="1" t="s">
        <v>90</v>
      </c>
      <c r="S8" s="0" t="n">
        <v>4.8</v>
      </c>
      <c r="T8" s="1" t="s">
        <v>72</v>
      </c>
      <c r="U8" s="0" t="n">
        <v>25</v>
      </c>
      <c r="V8" s="0" t="n">
        <v>36</v>
      </c>
    </row>
    <row r="9" customFormat="false" ht="12.8" hidden="false" customHeight="false" outlineLevel="0" collapsed="false">
      <c r="A9" s="0" t="n">
        <v>5</v>
      </c>
      <c r="B9" s="1" t="s">
        <v>51</v>
      </c>
      <c r="C9" s="1" t="s">
        <v>48</v>
      </c>
      <c r="D9" s="1" t="s">
        <v>52</v>
      </c>
      <c r="G9" s="0" t="s">
        <v>61</v>
      </c>
      <c r="H9" s="0" t="n">
        <v>6976</v>
      </c>
      <c r="I9" s="0" t="n">
        <v>732</v>
      </c>
      <c r="J9" s="0" t="n">
        <v>604</v>
      </c>
      <c r="K9" s="0" t="n">
        <v>93</v>
      </c>
      <c r="L9" s="0" t="n">
        <v>5</v>
      </c>
      <c r="M9" s="0" t="n">
        <v>50</v>
      </c>
      <c r="N9" s="0" t="n">
        <v>93</v>
      </c>
      <c r="O9" s="0" t="n">
        <v>96</v>
      </c>
      <c r="P9" s="0" t="n">
        <v>0</v>
      </c>
      <c r="Q9" s="0" t="n">
        <v>1.2</v>
      </c>
      <c r="R9" s="1" t="s">
        <v>92</v>
      </c>
      <c r="S9" s="0" t="n">
        <v>9.6</v>
      </c>
      <c r="T9" s="1" t="s">
        <v>72</v>
      </c>
      <c r="U9" s="0" t="n">
        <v>25</v>
      </c>
      <c r="V9" s="0" t="n">
        <v>27</v>
      </c>
    </row>
    <row r="10" customFormat="false" ht="12.8" hidden="false" customHeight="false" outlineLevel="0" collapsed="false">
      <c r="A10" s="0" t="n">
        <v>6</v>
      </c>
      <c r="B10" s="1" t="s">
        <v>51</v>
      </c>
      <c r="C10" s="1" t="s">
        <v>48</v>
      </c>
      <c r="D10" s="1" t="s">
        <v>49</v>
      </c>
      <c r="G10" s="0" t="s">
        <v>62</v>
      </c>
      <c r="H10" s="0" t="n">
        <v>7219</v>
      </c>
      <c r="I10" s="0" t="n">
        <v>716</v>
      </c>
      <c r="J10" s="0" t="n">
        <v>622</v>
      </c>
      <c r="K10" s="0" t="n">
        <v>95</v>
      </c>
      <c r="L10" s="0" t="n">
        <v>5</v>
      </c>
      <c r="M10" s="0" t="n">
        <v>50</v>
      </c>
      <c r="N10" s="0" t="n">
        <v>86</v>
      </c>
      <c r="O10" s="0" t="n">
        <v>90</v>
      </c>
      <c r="P10" s="0" t="n">
        <v>0</v>
      </c>
      <c r="Q10" s="0" t="n">
        <v>1.2</v>
      </c>
      <c r="R10" s="1" t="s">
        <v>90</v>
      </c>
      <c r="S10" s="0" t="n">
        <v>4.8</v>
      </c>
      <c r="T10" s="1" t="s">
        <v>72</v>
      </c>
      <c r="U10" s="0" t="n">
        <v>25</v>
      </c>
      <c r="V10" s="0" t="n">
        <v>29</v>
      </c>
    </row>
    <row r="11" customFormat="false" ht="12.8" hidden="false" customHeight="false" outlineLevel="0" collapsed="false">
      <c r="A11" s="0" t="n">
        <v>7</v>
      </c>
      <c r="B11" s="1" t="s">
        <v>63</v>
      </c>
      <c r="C11" s="1" t="s">
        <v>48</v>
      </c>
      <c r="D11" s="1" t="s">
        <v>59</v>
      </c>
      <c r="G11" s="0" t="s">
        <v>64</v>
      </c>
      <c r="H11" s="0" t="n">
        <v>8577</v>
      </c>
      <c r="I11" s="0" t="n">
        <v>867</v>
      </c>
      <c r="J11" s="0" t="n">
        <v>724</v>
      </c>
      <c r="K11" s="0" t="n">
        <v>95</v>
      </c>
      <c r="L11" s="0" t="n">
        <v>5</v>
      </c>
      <c r="M11" s="0" t="n">
        <v>50</v>
      </c>
      <c r="N11" s="0" t="n">
        <v>86</v>
      </c>
      <c r="O11" s="0" t="n">
        <v>90</v>
      </c>
      <c r="P11" s="0" t="n">
        <v>0</v>
      </c>
      <c r="Q11" s="0" t="n">
        <v>1.2</v>
      </c>
      <c r="R11" s="1" t="s">
        <v>91</v>
      </c>
      <c r="S11" s="0" t="n">
        <v>0.12</v>
      </c>
      <c r="T11" s="1" t="s">
        <v>72</v>
      </c>
      <c r="U11" s="0" t="n">
        <v>25</v>
      </c>
      <c r="V11" s="0" t="n">
        <v>30</v>
      </c>
    </row>
    <row r="12" customFormat="false" ht="12.8" hidden="false" customHeight="false" outlineLevel="0" collapsed="false">
      <c r="A12" s="0" t="n">
        <v>8</v>
      </c>
      <c r="B12" s="1" t="s">
        <v>47</v>
      </c>
      <c r="C12" s="1" t="s">
        <v>57</v>
      </c>
      <c r="D12" s="1" t="s">
        <v>59</v>
      </c>
      <c r="G12" s="0" t="s">
        <v>65</v>
      </c>
      <c r="H12" s="0" t="n">
        <v>8127</v>
      </c>
      <c r="I12" s="0" t="n">
        <v>660</v>
      </c>
      <c r="J12" s="0" t="n">
        <v>594</v>
      </c>
      <c r="K12" s="0" t="n">
        <v>116</v>
      </c>
      <c r="L12" s="0" t="n">
        <v>5</v>
      </c>
      <c r="M12" s="0" t="n">
        <v>50</v>
      </c>
      <c r="N12" s="0" t="n">
        <v>97</v>
      </c>
      <c r="O12" s="0" t="n">
        <v>96</v>
      </c>
      <c r="P12" s="0" t="n">
        <v>0</v>
      </c>
      <c r="Q12" s="0" t="n">
        <v>1.2</v>
      </c>
      <c r="R12" s="1" t="s">
        <v>89</v>
      </c>
      <c r="S12" s="0" t="n">
        <v>6</v>
      </c>
      <c r="T12" s="1" t="s">
        <v>72</v>
      </c>
      <c r="U12" s="0" t="n">
        <v>25</v>
      </c>
      <c r="V12" s="0" t="n">
        <v>37</v>
      </c>
    </row>
    <row r="13" customFormat="false" ht="12.8" hidden="false" customHeight="false" outlineLevel="0" collapsed="false">
      <c r="A13" s="0" t="n">
        <v>9</v>
      </c>
      <c r="B13" s="1" t="s">
        <v>38</v>
      </c>
      <c r="C13" s="1" t="s">
        <v>57</v>
      </c>
      <c r="D13" s="1" t="s">
        <v>49</v>
      </c>
      <c r="G13" s="0" t="s">
        <v>66</v>
      </c>
      <c r="H13" s="0" t="n">
        <v>7482</v>
      </c>
      <c r="I13" s="0" t="n">
        <v>750</v>
      </c>
      <c r="J13" s="0" t="n">
        <v>600</v>
      </c>
      <c r="K13" s="0" t="n">
        <v>83</v>
      </c>
      <c r="L13" s="0" t="n">
        <v>5</v>
      </c>
      <c r="M13" s="0" t="n">
        <v>50</v>
      </c>
      <c r="N13" s="0" t="n">
        <v>115</v>
      </c>
      <c r="O13" s="0" t="n">
        <v>116</v>
      </c>
      <c r="P13" s="0" t="n">
        <v>0</v>
      </c>
      <c r="Q13" s="0" t="n">
        <v>1.2</v>
      </c>
      <c r="R13" s="1" t="s">
        <v>93</v>
      </c>
      <c r="S13" s="0" t="n">
        <v>12</v>
      </c>
      <c r="T13" s="1" t="s">
        <v>72</v>
      </c>
      <c r="U13" s="0" t="n">
        <v>25</v>
      </c>
      <c r="V13" s="0" t="n">
        <v>39</v>
      </c>
    </row>
    <row r="14" customFormat="false" ht="12.8" hidden="false" customHeight="false" outlineLevel="0" collapsed="false">
      <c r="A14" s="0" t="n">
        <v>10</v>
      </c>
      <c r="B14" s="1" t="s">
        <v>47</v>
      </c>
      <c r="C14" s="1" t="s">
        <v>57</v>
      </c>
      <c r="D14" s="1" t="s">
        <v>67</v>
      </c>
      <c r="G14" s="0" t="s">
        <v>68</v>
      </c>
      <c r="H14" s="0" t="n">
        <v>8416</v>
      </c>
      <c r="I14" s="0" t="n">
        <v>653</v>
      </c>
      <c r="J14" s="0" t="n">
        <v>606</v>
      </c>
      <c r="K14" s="0" t="n">
        <f aca="false">137-18</f>
        <v>119</v>
      </c>
      <c r="L14" s="0" t="n">
        <v>5</v>
      </c>
      <c r="M14" s="0" t="n">
        <v>50</v>
      </c>
      <c r="N14" s="0" t="n">
        <v>91</v>
      </c>
      <c r="O14" s="0" t="n">
        <v>90</v>
      </c>
      <c r="P14" s="0" t="n">
        <v>0</v>
      </c>
      <c r="Q14" s="0" t="n">
        <v>1.2</v>
      </c>
      <c r="R14" s="1" t="s">
        <v>89</v>
      </c>
      <c r="S14" s="0" t="n">
        <v>6</v>
      </c>
      <c r="T14" s="1" t="s">
        <v>72</v>
      </c>
      <c r="U14" s="0" t="n">
        <v>25</v>
      </c>
      <c r="V14" s="0" t="n">
        <v>38</v>
      </c>
    </row>
    <row r="15" customFormat="false" ht="12.8" hidden="false" customHeight="false" outlineLevel="0" collapsed="false">
      <c r="A15" s="0" t="n">
        <v>11</v>
      </c>
      <c r="B15" s="1" t="s">
        <v>51</v>
      </c>
      <c r="C15" s="1" t="s">
        <v>57</v>
      </c>
      <c r="D15" s="1" t="s">
        <v>67</v>
      </c>
      <c r="G15" s="0" t="s">
        <v>69</v>
      </c>
      <c r="H15" s="0" t="n">
        <v>7673</v>
      </c>
      <c r="I15" s="0" t="n">
        <v>863</v>
      </c>
      <c r="J15" s="0" t="n">
        <v>606</v>
      </c>
      <c r="K15" s="0" t="n">
        <v>93</v>
      </c>
      <c r="L15" s="0" t="n">
        <v>5</v>
      </c>
      <c r="M15" s="0" t="n">
        <v>50</v>
      </c>
      <c r="N15" s="0" t="n">
        <v>94</v>
      </c>
      <c r="O15" s="0" t="n">
        <v>93</v>
      </c>
      <c r="P15" s="0" t="n">
        <v>0</v>
      </c>
      <c r="Q15" s="0" t="n">
        <v>1.2</v>
      </c>
      <c r="R15" s="1" t="s">
        <v>90</v>
      </c>
      <c r="S15" s="0" t="n">
        <v>4.8</v>
      </c>
      <c r="T15" s="1" t="s">
        <v>72</v>
      </c>
      <c r="U15" s="0" t="n">
        <v>25</v>
      </c>
      <c r="V15" s="0" t="n">
        <v>40</v>
      </c>
    </row>
    <row r="16" customFormat="false" ht="12.8" hidden="false" customHeight="false" outlineLevel="0" collapsed="false">
      <c r="A16" s="0" t="n">
        <v>12</v>
      </c>
      <c r="B16" s="1" t="s">
        <v>54</v>
      </c>
      <c r="C16" s="1" t="s">
        <v>57</v>
      </c>
      <c r="D16" s="1" t="s">
        <v>49</v>
      </c>
      <c r="G16" s="0" t="s">
        <v>70</v>
      </c>
      <c r="H16" s="0" t="n">
        <v>8609</v>
      </c>
      <c r="I16" s="0" t="n">
        <v>642</v>
      </c>
      <c r="J16" s="0" t="n">
        <v>600</v>
      </c>
      <c r="K16" s="0" t="n">
        <v>83</v>
      </c>
      <c r="L16" s="0" t="n">
        <v>5</v>
      </c>
      <c r="M16" s="0" t="n">
        <v>50</v>
      </c>
      <c r="N16" s="0" t="n">
        <v>93</v>
      </c>
      <c r="O16" s="0" t="n">
        <v>92</v>
      </c>
      <c r="P16" s="0" t="n">
        <v>0</v>
      </c>
      <c r="Q16" s="0" t="n">
        <v>1.2</v>
      </c>
      <c r="R16" s="1" t="s">
        <v>94</v>
      </c>
      <c r="S16" s="0" t="n">
        <v>4.8</v>
      </c>
      <c r="T16" s="1" t="s">
        <v>72</v>
      </c>
      <c r="U16" s="0" t="n">
        <v>25</v>
      </c>
      <c r="V16" s="0" t="n">
        <v>41</v>
      </c>
    </row>
    <row r="17" customFormat="false" ht="12.8" hidden="false" customHeight="false" outlineLevel="0" collapsed="false">
      <c r="A17" s="0" t="n">
        <v>13</v>
      </c>
      <c r="B17" s="1" t="s">
        <v>51</v>
      </c>
      <c r="C17" s="1" t="s">
        <v>57</v>
      </c>
      <c r="D17" s="1" t="s">
        <v>55</v>
      </c>
      <c r="G17" s="0" t="s">
        <v>73</v>
      </c>
      <c r="H17" s="0" t="n">
        <v>7482</v>
      </c>
      <c r="I17" s="0" t="n">
        <v>844</v>
      </c>
      <c r="J17" s="0" t="n">
        <v>600</v>
      </c>
      <c r="K17" s="0" t="n">
        <v>90</v>
      </c>
      <c r="L17" s="0" t="n">
        <v>5</v>
      </c>
      <c r="M17" s="0" t="n">
        <v>50</v>
      </c>
      <c r="N17" s="0" t="n">
        <v>93</v>
      </c>
      <c r="O17" s="0" t="n">
        <v>92</v>
      </c>
      <c r="P17" s="0" t="n">
        <v>0</v>
      </c>
      <c r="Q17" s="0" t="n">
        <v>1.2</v>
      </c>
      <c r="R17" s="1" t="s">
        <v>92</v>
      </c>
      <c r="S17" s="0" t="n">
        <v>9.6</v>
      </c>
      <c r="T17" s="1" t="s">
        <v>72</v>
      </c>
      <c r="U17" s="0" t="n">
        <v>25</v>
      </c>
      <c r="V17" s="0" t="n">
        <v>42</v>
      </c>
    </row>
    <row r="18" customFormat="false" ht="12.8" hidden="false" customHeight="false" outlineLevel="0" collapsed="false">
      <c r="A18" s="0" t="n">
        <v>14</v>
      </c>
      <c r="B18" s="1" t="s">
        <v>54</v>
      </c>
      <c r="C18" s="1" t="s">
        <v>48</v>
      </c>
      <c r="D18" s="1" t="s">
        <v>67</v>
      </c>
      <c r="G18" s="0" t="s">
        <v>74</v>
      </c>
      <c r="H18" s="0" t="n">
        <v>8025</v>
      </c>
      <c r="I18" s="0" t="n">
        <v>590</v>
      </c>
      <c r="J18" s="0" t="n">
        <v>597</v>
      </c>
      <c r="K18" s="0" t="n">
        <v>86</v>
      </c>
      <c r="L18" s="0" t="n">
        <v>5</v>
      </c>
      <c r="M18" s="0" t="n">
        <v>50</v>
      </c>
      <c r="N18" s="0" t="n">
        <v>93</v>
      </c>
      <c r="O18" s="0" t="n">
        <v>96</v>
      </c>
      <c r="P18" s="0" t="n">
        <v>0</v>
      </c>
      <c r="Q18" s="0" t="n">
        <v>1.2</v>
      </c>
      <c r="R18" s="1" t="s">
        <v>91</v>
      </c>
      <c r="S18" s="0" t="n">
        <v>0.12</v>
      </c>
      <c r="T18" s="1" t="s">
        <v>72</v>
      </c>
      <c r="U18" s="0" t="n">
        <v>25</v>
      </c>
      <c r="V18" s="0" t="n">
        <v>31</v>
      </c>
    </row>
    <row r="19" customFormat="false" ht="12.8" hidden="false" customHeight="false" outlineLevel="0" collapsed="false">
      <c r="A19" s="0" t="n">
        <v>15</v>
      </c>
      <c r="B19" s="1" t="s">
        <v>54</v>
      </c>
      <c r="C19" s="1" t="s">
        <v>48</v>
      </c>
      <c r="D19" s="1" t="s">
        <v>59</v>
      </c>
      <c r="G19" s="0" t="s">
        <v>75</v>
      </c>
      <c r="H19" s="0" t="n">
        <v>8025</v>
      </c>
      <c r="I19" s="0" t="n">
        <v>583</v>
      </c>
      <c r="J19" s="0" t="n">
        <v>612</v>
      </c>
      <c r="K19" s="0" t="n">
        <v>86</v>
      </c>
      <c r="L19" s="0" t="n">
        <v>5</v>
      </c>
      <c r="M19" s="0" t="n">
        <v>50</v>
      </c>
      <c r="N19" s="0" t="n">
        <v>94</v>
      </c>
      <c r="O19" s="0" t="n">
        <v>93</v>
      </c>
      <c r="P19" s="0" t="n">
        <v>0</v>
      </c>
      <c r="Q19" s="0" t="n">
        <v>1.2</v>
      </c>
      <c r="R19" s="1" t="s">
        <v>91</v>
      </c>
      <c r="S19" s="0" t="n">
        <v>0.12</v>
      </c>
      <c r="T19" s="1" t="s">
        <v>72</v>
      </c>
      <c r="U19" s="0" t="n">
        <v>25</v>
      </c>
      <c r="V19" s="0" t="n">
        <f aca="false">'w-Engines'!A45</f>
        <v>43</v>
      </c>
    </row>
    <row r="20" customFormat="false" ht="12.8" hidden="false" customHeight="false" outlineLevel="0" collapsed="false">
      <c r="A20" s="0" t="n">
        <v>16</v>
      </c>
      <c r="B20" s="1" t="s">
        <v>38</v>
      </c>
      <c r="C20" s="1" t="s">
        <v>48</v>
      </c>
      <c r="D20" s="1" t="s">
        <v>52</v>
      </c>
      <c r="G20" s="0" t="s">
        <v>76</v>
      </c>
      <c r="H20" s="0" t="n">
        <v>6976</v>
      </c>
      <c r="I20" s="0" t="n">
        <v>683</v>
      </c>
      <c r="J20" s="0" t="n">
        <v>612</v>
      </c>
      <c r="K20" s="0" t="n">
        <v>86</v>
      </c>
      <c r="L20" s="0" t="n">
        <v>5</v>
      </c>
      <c r="M20" s="0" t="n">
        <v>50</v>
      </c>
      <c r="N20" s="0" t="n">
        <v>116</v>
      </c>
      <c r="O20" s="0" t="n">
        <v>118</v>
      </c>
      <c r="P20" s="0" t="n">
        <v>0</v>
      </c>
      <c r="Q20" s="0" t="n">
        <v>1.2</v>
      </c>
      <c r="R20" s="1" t="s">
        <v>91</v>
      </c>
      <c r="S20" s="0" t="n">
        <v>0.12</v>
      </c>
      <c r="T20" s="1" t="s">
        <v>72</v>
      </c>
      <c r="U20" s="0" t="n">
        <v>25</v>
      </c>
      <c r="V20" s="0" t="n">
        <f aca="false">'w-Engines'!A46</f>
        <v>44</v>
      </c>
    </row>
    <row r="21" customFormat="false" ht="12.8" hidden="false" customHeight="false" outlineLevel="0" collapsed="false">
      <c r="A21" s="0" t="n">
        <v>17</v>
      </c>
      <c r="B21" s="1" t="s">
        <v>47</v>
      </c>
      <c r="C21" s="1" t="s">
        <v>57</v>
      </c>
      <c r="D21" s="1" t="s">
        <v>49</v>
      </c>
      <c r="G21" s="0" t="s">
        <v>77</v>
      </c>
      <c r="H21" s="0" t="n">
        <v>8250</v>
      </c>
      <c r="I21" s="0" t="n">
        <v>683</v>
      </c>
      <c r="J21" s="0" t="n">
        <v>612</v>
      </c>
      <c r="K21" s="0" t="n">
        <v>118</v>
      </c>
      <c r="L21" s="0" t="n">
        <v>5</v>
      </c>
      <c r="M21" s="0" t="n">
        <v>50</v>
      </c>
      <c r="N21" s="0" t="n">
        <v>94</v>
      </c>
      <c r="O21" s="0" t="n">
        <v>93</v>
      </c>
      <c r="P21" s="0" t="n">
        <v>0</v>
      </c>
      <c r="Q21" s="0" t="n">
        <v>1.2</v>
      </c>
      <c r="R21" s="1" t="s">
        <v>89</v>
      </c>
      <c r="S21" s="0" t="n">
        <v>6</v>
      </c>
      <c r="T21" s="1" t="s">
        <v>72</v>
      </c>
      <c r="U21" s="0" t="n">
        <v>25</v>
      </c>
      <c r="V21" s="0" t="n">
        <f aca="false">'w-Engines'!A48</f>
        <v>46</v>
      </c>
    </row>
    <row r="22" customFormat="false" ht="12.8" hidden="false" customHeight="false" outlineLevel="0" collapsed="false">
      <c r="A22" s="0" t="n">
        <v>18</v>
      </c>
      <c r="B22" s="1" t="s">
        <v>38</v>
      </c>
      <c r="C22" s="1" t="s">
        <v>57</v>
      </c>
      <c r="D22" s="1" t="s">
        <v>52</v>
      </c>
      <c r="G22" s="0" t="s">
        <v>78</v>
      </c>
      <c r="H22" s="0" t="n">
        <v>7788</v>
      </c>
      <c r="I22" s="0" t="n">
        <v>805</v>
      </c>
      <c r="J22" s="0" t="n">
        <v>606</v>
      </c>
      <c r="K22" s="0" t="n">
        <v>89</v>
      </c>
      <c r="L22" s="0" t="n">
        <v>5</v>
      </c>
      <c r="M22" s="0" t="n">
        <v>50</v>
      </c>
      <c r="N22" s="0" t="n">
        <v>112</v>
      </c>
      <c r="O22" s="0" t="n">
        <v>114</v>
      </c>
      <c r="P22" s="0" t="n">
        <v>0</v>
      </c>
      <c r="Q22" s="0" t="n">
        <v>1.2</v>
      </c>
      <c r="R22" s="1" t="s">
        <v>93</v>
      </c>
      <c r="S22" s="0" t="n">
        <v>12</v>
      </c>
      <c r="T22" s="1" t="s">
        <v>72</v>
      </c>
      <c r="U22" s="0" t="n">
        <v>25</v>
      </c>
      <c r="V22" s="0" t="n">
        <f aca="false">'w-Engines'!A49</f>
        <v>47</v>
      </c>
    </row>
    <row r="23" customFormat="false" ht="12.8" hidden="false" customHeight="false" outlineLevel="0" collapsed="false">
      <c r="A23" s="0" t="n">
        <v>19</v>
      </c>
      <c r="B23" s="1" t="s">
        <v>63</v>
      </c>
      <c r="C23" s="1" t="s">
        <v>48</v>
      </c>
      <c r="D23" s="1" t="s">
        <v>49</v>
      </c>
      <c r="G23" s="0" t="s">
        <v>79</v>
      </c>
      <c r="H23" s="0" t="n">
        <v>8701</v>
      </c>
      <c r="I23" s="0" t="n">
        <v>568</v>
      </c>
      <c r="J23" s="0" t="n">
        <v>746</v>
      </c>
      <c r="K23" s="0" t="n">
        <v>94</v>
      </c>
      <c r="L23" s="0" t="n">
        <v>5</v>
      </c>
      <c r="M23" s="0" t="n">
        <v>50</v>
      </c>
      <c r="N23" s="0" t="n">
        <v>86</v>
      </c>
      <c r="O23" s="0" t="n">
        <v>90</v>
      </c>
      <c r="P23" s="0" t="n">
        <v>0</v>
      </c>
      <c r="Q23" s="0" t="n">
        <v>1.2</v>
      </c>
      <c r="R23" s="1" t="s">
        <v>91</v>
      </c>
      <c r="S23" s="0" t="n">
        <v>0.12</v>
      </c>
      <c r="T23" s="1" t="s">
        <v>72</v>
      </c>
      <c r="U23" s="0" t="n">
        <v>25</v>
      </c>
      <c r="V23" s="0" t="n">
        <f aca="false">'w-Engines'!A50</f>
        <v>48</v>
      </c>
    </row>
    <row r="24" customFormat="false" ht="12.8" hidden="false" customHeight="false" outlineLevel="0" collapsed="false">
      <c r="A24" s="0" t="n">
        <v>20</v>
      </c>
      <c r="B24" s="1" t="s">
        <v>63</v>
      </c>
      <c r="C24" s="1" t="s">
        <v>57</v>
      </c>
      <c r="D24" s="1" t="s">
        <v>52</v>
      </c>
      <c r="G24" s="0" t="s">
        <v>80</v>
      </c>
      <c r="H24" s="0" t="n">
        <v>9526</v>
      </c>
      <c r="I24" s="0" t="n">
        <v>636</v>
      </c>
      <c r="J24" s="0" t="n">
        <v>753</v>
      </c>
      <c r="K24" s="0" t="n">
        <v>105</v>
      </c>
      <c r="L24" s="0" t="n">
        <v>5</v>
      </c>
      <c r="M24" s="0" t="n">
        <v>50</v>
      </c>
      <c r="N24" s="0" t="n">
        <v>87</v>
      </c>
      <c r="O24" s="0" t="n">
        <v>90</v>
      </c>
      <c r="P24" s="0" t="n">
        <v>0</v>
      </c>
      <c r="Q24" s="0" t="n">
        <v>1.2</v>
      </c>
      <c r="R24" s="1" t="s">
        <v>89</v>
      </c>
      <c r="S24" s="0" t="n">
        <v>6</v>
      </c>
      <c r="T24" s="1" t="s">
        <v>72</v>
      </c>
      <c r="U24" s="0" t="n">
        <v>25</v>
      </c>
      <c r="V24" s="0" t="n">
        <f aca="false">'w-Engines'!A51</f>
        <v>49</v>
      </c>
    </row>
    <row r="25" customFormat="false" ht="12.8" hidden="false" customHeight="false" outlineLevel="0" collapsed="false">
      <c r="A25" s="0" t="n">
        <v>21</v>
      </c>
      <c r="B25" s="1" t="s">
        <v>38</v>
      </c>
      <c r="C25" s="1" t="s">
        <v>57</v>
      </c>
      <c r="D25" s="1" t="s">
        <v>59</v>
      </c>
      <c r="G25" s="0" t="s">
        <v>81</v>
      </c>
      <c r="H25" s="0" t="n">
        <v>7368</v>
      </c>
      <c r="I25" s="0" t="n">
        <v>788</v>
      </c>
      <c r="J25" s="0" t="n">
        <v>600</v>
      </c>
      <c r="K25" s="0" t="n">
        <v>83</v>
      </c>
      <c r="L25" s="0" t="n">
        <v>5</v>
      </c>
      <c r="M25" s="0" t="n">
        <v>50</v>
      </c>
      <c r="N25" s="0" t="n">
        <v>118</v>
      </c>
      <c r="O25" s="0" t="n">
        <v>120</v>
      </c>
      <c r="P25" s="0" t="n">
        <v>0</v>
      </c>
      <c r="Q25" s="0" t="n">
        <v>1.2</v>
      </c>
      <c r="R25" s="1" t="s">
        <v>91</v>
      </c>
      <c r="S25" s="0" t="n">
        <v>0.12</v>
      </c>
      <c r="T25" s="1" t="s">
        <v>72</v>
      </c>
      <c r="U25" s="0" t="n">
        <v>25</v>
      </c>
      <c r="V25" s="0" t="n">
        <f aca="false">'w-Engines'!A52</f>
        <v>50</v>
      </c>
    </row>
    <row r="26" customFormat="false" ht="12.8" hidden="false" customHeight="false" outlineLevel="0" collapsed="false">
      <c r="A26" s="0" t="n">
        <v>22</v>
      </c>
      <c r="B26" s="1" t="s">
        <v>38</v>
      </c>
      <c r="C26" s="1" t="s">
        <v>57</v>
      </c>
      <c r="D26" s="1" t="s">
        <v>49</v>
      </c>
      <c r="G26" s="0" t="s">
        <v>82</v>
      </c>
      <c r="H26" s="0" t="n">
        <v>7788</v>
      </c>
      <c r="I26" s="0" t="n">
        <v>797</v>
      </c>
      <c r="J26" s="0" t="n">
        <v>612</v>
      </c>
      <c r="K26" s="0" t="n">
        <v>86</v>
      </c>
      <c r="L26" s="0" t="n">
        <v>5</v>
      </c>
      <c r="M26" s="0" t="n">
        <v>50</v>
      </c>
      <c r="N26" s="0" t="n">
        <v>112</v>
      </c>
      <c r="O26" s="0" t="n">
        <v>114</v>
      </c>
      <c r="P26" s="0" t="n">
        <v>0</v>
      </c>
      <c r="Q26" s="0" t="n">
        <v>1.2</v>
      </c>
      <c r="R26" s="1" t="s">
        <v>93</v>
      </c>
      <c r="S26" s="0" t="n">
        <v>12</v>
      </c>
      <c r="T26" s="1" t="s">
        <v>72</v>
      </c>
      <c r="U26" s="0" t="n">
        <v>25</v>
      </c>
      <c r="V26" s="0" t="n">
        <f aca="false">'w-Engines'!A53</f>
        <v>51</v>
      </c>
    </row>
    <row r="27" customFormat="false" ht="12.8" hidden="false" customHeight="false" outlineLevel="0" collapsed="false">
      <c r="A27" s="0" t="n">
        <v>23</v>
      </c>
      <c r="B27" s="1" t="s">
        <v>47</v>
      </c>
      <c r="C27" s="1" t="s">
        <v>57</v>
      </c>
      <c r="D27" s="1" t="s">
        <v>59</v>
      </c>
      <c r="G27" s="0" t="s">
        <v>83</v>
      </c>
      <c r="H27" s="0" t="n">
        <v>8253</v>
      </c>
      <c r="I27" s="0" t="n">
        <v>722</v>
      </c>
      <c r="J27" s="0" t="n">
        <v>612</v>
      </c>
      <c r="K27" s="0" t="n">
        <v>119</v>
      </c>
      <c r="L27" s="0" t="n">
        <v>5</v>
      </c>
      <c r="M27" s="0" t="n">
        <v>50</v>
      </c>
      <c r="N27" s="0" t="n">
        <v>91</v>
      </c>
      <c r="O27" s="0" t="n">
        <v>90</v>
      </c>
      <c r="P27" s="0" t="n">
        <v>0</v>
      </c>
      <c r="Q27" s="0" t="n">
        <v>1.2</v>
      </c>
      <c r="R27" s="1" t="s">
        <v>89</v>
      </c>
      <c r="S27" s="0" t="n">
        <v>6</v>
      </c>
      <c r="T27" s="1" t="s">
        <v>72</v>
      </c>
      <c r="U27" s="0" t="n">
        <v>25</v>
      </c>
      <c r="V27" s="0" t="n">
        <f aca="false">'w-Engines'!A54</f>
        <v>52</v>
      </c>
    </row>
    <row r="28" customFormat="false" ht="12.8" hidden="false" customHeight="false" outlineLevel="0" collapsed="false">
      <c r="A28" s="0" t="n">
        <v>24</v>
      </c>
      <c r="B28" s="1" t="s">
        <v>38</v>
      </c>
      <c r="C28" s="1" t="s">
        <v>57</v>
      </c>
      <c r="D28" s="1" t="s">
        <v>67</v>
      </c>
      <c r="E28" s="1" t="s">
        <v>84</v>
      </c>
      <c r="G28" s="0" t="s">
        <v>85</v>
      </c>
      <c r="H28" s="0" t="n">
        <v>7673</v>
      </c>
      <c r="I28" s="0" t="n">
        <v>805</v>
      </c>
      <c r="J28" s="0" t="n">
        <v>606</v>
      </c>
      <c r="K28" s="0" t="n">
        <v>86</v>
      </c>
      <c r="L28" s="0" t="n">
        <v>5</v>
      </c>
      <c r="M28" s="0" t="n">
        <v>50</v>
      </c>
      <c r="N28" s="0" t="n">
        <v>116</v>
      </c>
      <c r="O28" s="0" t="n">
        <v>148</v>
      </c>
      <c r="P28" s="0" t="n">
        <v>0</v>
      </c>
      <c r="Q28" s="0" t="n">
        <v>1.2</v>
      </c>
      <c r="R28" s="1" t="s">
        <v>95</v>
      </c>
      <c r="S28" s="0" t="n">
        <v>30</v>
      </c>
      <c r="T28" s="1" t="s">
        <v>72</v>
      </c>
      <c r="U28" s="0" t="n">
        <v>25</v>
      </c>
      <c r="V28" s="0" t="n">
        <f aca="false">'w-Engines'!A56</f>
        <v>54</v>
      </c>
    </row>
    <row r="29" customFormat="false" ht="12.8" hidden="false" customHeight="false" outlineLevel="0" collapsed="false">
      <c r="A29" s="0" t="n">
        <v>25</v>
      </c>
      <c r="B29" s="1" t="s">
        <v>51</v>
      </c>
      <c r="C29" s="1" t="s">
        <v>57</v>
      </c>
      <c r="D29" s="1" t="s">
        <v>49</v>
      </c>
      <c r="G29" s="0" t="s">
        <v>86</v>
      </c>
      <c r="H29" s="0" t="n">
        <v>7405</v>
      </c>
      <c r="I29" s="0" t="n">
        <v>840</v>
      </c>
      <c r="J29" s="0" t="n">
        <v>600</v>
      </c>
      <c r="K29" s="0" t="n">
        <v>90</v>
      </c>
      <c r="L29" s="0" t="n">
        <v>5</v>
      </c>
      <c r="M29" s="0" t="n">
        <v>50</v>
      </c>
      <c r="N29" s="0" t="n">
        <v>80</v>
      </c>
      <c r="O29" s="0" t="n">
        <v>95</v>
      </c>
      <c r="P29" s="0" t="n">
        <v>0</v>
      </c>
      <c r="Q29" s="0" t="n">
        <v>1.2</v>
      </c>
      <c r="R29" s="1" t="s">
        <v>90</v>
      </c>
      <c r="S29" s="0" t="n">
        <v>4.8</v>
      </c>
      <c r="T29" s="1" t="s">
        <v>72</v>
      </c>
      <c r="U29" s="0" t="n">
        <v>25</v>
      </c>
      <c r="V29" s="0" t="n">
        <f aca="false">'w-Engines'!A57</f>
        <v>55</v>
      </c>
    </row>
    <row r="30" customFormat="false" ht="12.8" hidden="false" customHeight="false" outlineLevel="0" collapsed="false">
      <c r="A30" s="0" t="n">
        <v>26</v>
      </c>
      <c r="B30" s="1" t="s">
        <v>54</v>
      </c>
      <c r="C30" s="1" t="s">
        <v>57</v>
      </c>
      <c r="D30" s="1" t="s">
        <v>55</v>
      </c>
      <c r="G30" s="0" t="s">
        <v>87</v>
      </c>
      <c r="H30" s="0" t="n">
        <v>8609</v>
      </c>
      <c r="I30" s="0" t="n">
        <v>640</v>
      </c>
      <c r="J30" s="0" t="n">
        <v>600</v>
      </c>
      <c r="K30" s="0" t="n">
        <v>83</v>
      </c>
      <c r="L30" s="0" t="n">
        <v>5</v>
      </c>
      <c r="M30" s="0" t="n">
        <v>50</v>
      </c>
      <c r="N30" s="0" t="n">
        <v>93</v>
      </c>
      <c r="O30" s="0" t="n">
        <v>92</v>
      </c>
      <c r="P30" s="0" t="n">
        <v>0</v>
      </c>
      <c r="Q30" s="0" t="n">
        <v>1.2</v>
      </c>
      <c r="R30" s="1" t="s">
        <v>91</v>
      </c>
      <c r="S30" s="0" t="n">
        <v>0.12</v>
      </c>
      <c r="T30" s="1" t="s">
        <v>72</v>
      </c>
      <c r="U30" s="0" t="n">
        <v>25</v>
      </c>
      <c r="V30" s="0" t="n">
        <f aca="false">'w-Engines'!A58</f>
        <v>56</v>
      </c>
    </row>
    <row r="31" customFormat="false" ht="12.8" hidden="false" customHeight="false" outlineLevel="0" collapsed="false">
      <c r="A31" s="0" t="n">
        <v>27</v>
      </c>
      <c r="B31" s="1" t="s">
        <v>51</v>
      </c>
      <c r="C31" s="1" t="s">
        <v>57</v>
      </c>
      <c r="D31" s="1" t="s">
        <v>59</v>
      </c>
      <c r="G31" s="0" t="s">
        <v>88</v>
      </c>
      <c r="H31" s="0" t="n">
        <v>7788</v>
      </c>
      <c r="I31" s="0" t="n">
        <v>854</v>
      </c>
      <c r="J31" s="0" t="n">
        <v>612</v>
      </c>
      <c r="K31" s="0" t="n">
        <v>93</v>
      </c>
      <c r="L31" s="0" t="n">
        <v>5</v>
      </c>
      <c r="M31" s="0" t="n">
        <v>50</v>
      </c>
      <c r="N31" s="0" t="n">
        <v>92</v>
      </c>
      <c r="O31" s="0" t="n">
        <v>90</v>
      </c>
      <c r="P31" s="0" t="n">
        <v>0</v>
      </c>
      <c r="Q31" s="0" t="n">
        <v>1.2</v>
      </c>
      <c r="R31" s="1" t="s">
        <v>90</v>
      </c>
      <c r="S31" s="0" t="n">
        <v>4.8</v>
      </c>
      <c r="T31" s="1" t="s">
        <v>72</v>
      </c>
      <c r="U31" s="0" t="n">
        <v>25</v>
      </c>
      <c r="V31" s="0" t="n">
        <f aca="false">'w-Engines'!A59</f>
        <v>57</v>
      </c>
    </row>
    <row r="32" customFormat="false" ht="12.8" hidden="false" customHeight="false" outlineLevel="0" collapsed="false">
      <c r="A32" s="0" t="n">
        <v>28</v>
      </c>
      <c r="B32" s="1" t="s">
        <v>51</v>
      </c>
      <c r="C32" s="1" t="s">
        <v>57</v>
      </c>
      <c r="D32" s="1" t="s">
        <v>49</v>
      </c>
      <c r="F32" s="1" t="s">
        <v>96</v>
      </c>
      <c r="G32" s="1" t="s">
        <v>97</v>
      </c>
      <c r="H32" s="0" t="n">
        <v>7673</v>
      </c>
      <c r="I32" s="0" t="n">
        <v>854</v>
      </c>
      <c r="J32" s="0" t="n">
        <v>612</v>
      </c>
      <c r="K32" s="0" t="n">
        <v>93</v>
      </c>
      <c r="L32" s="0" t="n">
        <v>5</v>
      </c>
      <c r="M32" s="0" t="n">
        <v>50</v>
      </c>
      <c r="N32" s="0" t="n">
        <v>94</v>
      </c>
      <c r="O32" s="0" t="n">
        <v>93</v>
      </c>
      <c r="P32" s="0" t="n">
        <v>0</v>
      </c>
      <c r="Q32" s="0" t="n">
        <v>1.2</v>
      </c>
      <c r="R32" s="1" t="s">
        <v>90</v>
      </c>
      <c r="S32" s="0" t="n">
        <v>4.8</v>
      </c>
      <c r="T32" s="1" t="s">
        <v>72</v>
      </c>
      <c r="U32" s="0" t="n">
        <v>25</v>
      </c>
      <c r="V32" s="0" t="n">
        <v>58</v>
      </c>
    </row>
    <row r="33" customFormat="false" ht="12.8" hidden="false" customHeight="false" outlineLevel="0" collapsed="false">
      <c r="A33" s="0" t="n">
        <v>29</v>
      </c>
      <c r="B33" s="1" t="s">
        <v>47</v>
      </c>
      <c r="C33" s="1" t="s">
        <v>48</v>
      </c>
      <c r="D33" s="1" t="s">
        <v>52</v>
      </c>
      <c r="F33" s="1" t="s">
        <v>98</v>
      </c>
      <c r="G33" s="0" t="s">
        <v>99</v>
      </c>
      <c r="H33" s="0" t="n">
        <v>7612</v>
      </c>
      <c r="I33" s="0" t="n">
        <v>590</v>
      </c>
      <c r="J33" s="0" t="n">
        <v>606</v>
      </c>
      <c r="K33" s="0" t="n">
        <v>118</v>
      </c>
      <c r="L33" s="0" t="n">
        <v>5</v>
      </c>
      <c r="M33" s="0" t="n">
        <v>50</v>
      </c>
      <c r="N33" s="0" t="n">
        <v>92</v>
      </c>
      <c r="O33" s="0" t="n">
        <v>90</v>
      </c>
      <c r="P33" s="0" t="n">
        <v>0</v>
      </c>
      <c r="Q33" s="0" t="n">
        <v>1.2</v>
      </c>
      <c r="R33" s="1" t="s">
        <v>89</v>
      </c>
      <c r="S33" s="0" t="n">
        <v>6</v>
      </c>
      <c r="T33" s="1" t="s">
        <v>72</v>
      </c>
      <c r="U33" s="0" t="n">
        <v>25</v>
      </c>
      <c r="V33" s="0" t="n">
        <v>59</v>
      </c>
    </row>
  </sheetData>
  <mergeCells count="2">
    <mergeCell ref="D1:E1"/>
    <mergeCell ref="R1:U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8" activeCellId="0" sqref="H18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2" min="2" style="0" width="6.61"/>
    <col collapsed="false" customWidth="true" hidden="false" outlineLevel="0" max="3" min="3" style="0" width="5.59"/>
    <col collapsed="false" customWidth="true" hidden="false" outlineLevel="0" max="4" min="4" style="0" width="5.93"/>
    <col collapsed="false" customWidth="true" hidden="false" outlineLevel="0" max="5" min="5" style="0" width="7.99"/>
    <col collapsed="false" customWidth="true" hidden="false" outlineLevel="0" max="6" min="6" style="0" width="8.84"/>
    <col collapsed="false" customWidth="true" hidden="false" outlineLevel="0" max="7" min="7" style="0" width="9.19"/>
    <col collapsed="false" customWidth="true" hidden="false" outlineLevel="0" max="8" min="8" style="0" width="7.99"/>
    <col collapsed="false" customWidth="true" hidden="false" outlineLevel="0" max="10" min="9" style="0" width="11.59"/>
    <col collapsed="false" customWidth="true" hidden="false" outlineLevel="0" max="11" min="11" style="0" width="13.82"/>
    <col collapsed="false" customWidth="true" hidden="false" outlineLevel="0" max="12" min="12" style="0" width="16.91"/>
  </cols>
  <sheetData>
    <row r="1" customFormat="false" ht="12.8" hidden="false" customHeight="false" outlineLevel="0" collapsed="false">
      <c r="A1" s="1" t="s">
        <v>100</v>
      </c>
      <c r="B1" s="1" t="s">
        <v>34</v>
      </c>
      <c r="C1" s="1" t="s">
        <v>0</v>
      </c>
      <c r="D1" s="1" t="s">
        <v>35</v>
      </c>
      <c r="E1" s="1" t="s">
        <v>101</v>
      </c>
      <c r="F1" s="1" t="s">
        <v>102</v>
      </c>
      <c r="G1" s="1" t="s">
        <v>103</v>
      </c>
      <c r="H1" s="1" t="s">
        <v>36</v>
      </c>
      <c r="I1" s="1" t="s">
        <v>21</v>
      </c>
      <c r="J1" s="1" t="s">
        <v>22</v>
      </c>
      <c r="K1" s="1" t="s">
        <v>104</v>
      </c>
      <c r="L1" s="1" t="s">
        <v>105</v>
      </c>
      <c r="M1" s="1" t="s">
        <v>39</v>
      </c>
      <c r="N1" s="1" t="s">
        <v>40</v>
      </c>
    </row>
    <row r="2" customFormat="false" ht="12.8" hidden="false" customHeight="false" outlineLevel="0" collapsed="false">
      <c r="A2" s="0" t="n">
        <v>1</v>
      </c>
      <c r="B2" s="0" t="n">
        <v>692</v>
      </c>
      <c r="C2" s="0" t="n">
        <v>103</v>
      </c>
      <c r="D2" s="0" t="n">
        <v>48</v>
      </c>
      <c r="H2" s="0" t="n">
        <v>83</v>
      </c>
      <c r="I2" s="0" t="n">
        <v>5</v>
      </c>
      <c r="J2" s="0" t="n">
        <v>50</v>
      </c>
      <c r="K2" s="0" t="n">
        <v>93</v>
      </c>
      <c r="L2" s="0" t="n">
        <v>92</v>
      </c>
      <c r="M2" s="0" t="n">
        <v>0</v>
      </c>
      <c r="N2" s="0" t="n">
        <v>1.2</v>
      </c>
    </row>
    <row r="3" customFormat="false" ht="12.8" hidden="false" customHeight="false" outlineLevel="0" collapsed="false">
      <c r="A3" s="0" t="n">
        <v>2</v>
      </c>
      <c r="B3" s="0" t="n">
        <v>785</v>
      </c>
      <c r="C3" s="0" t="n">
        <v>109</v>
      </c>
      <c r="D3" s="0" t="n">
        <v>54</v>
      </c>
      <c r="E3" s="0" t="n">
        <f aca="false">B3-B2</f>
        <v>93</v>
      </c>
      <c r="F3" s="0" t="n">
        <f aca="false">C3-C2</f>
        <v>6</v>
      </c>
      <c r="G3" s="0" t="n">
        <f aca="false">D3-D2</f>
        <v>6</v>
      </c>
    </row>
    <row r="4" customFormat="false" ht="12.8" hidden="false" customHeight="false" outlineLevel="0" collapsed="false">
      <c r="A4" s="0" t="n">
        <v>3</v>
      </c>
      <c r="B4" s="0" t="n">
        <v>879</v>
      </c>
      <c r="C4" s="0" t="n">
        <v>115</v>
      </c>
      <c r="D4" s="0" t="n">
        <v>61</v>
      </c>
      <c r="E4" s="0" t="n">
        <f aca="false">B4-B3</f>
        <v>94</v>
      </c>
      <c r="F4" s="0" t="n">
        <f aca="false">C4-C3</f>
        <v>6</v>
      </c>
      <c r="G4" s="0" t="n">
        <f aca="false">D4-D3</f>
        <v>7</v>
      </c>
    </row>
    <row r="5" customFormat="false" ht="12.8" hidden="false" customHeight="false" outlineLevel="0" collapsed="false">
      <c r="A5" s="0" t="n">
        <v>4</v>
      </c>
      <c r="B5" s="0" t="n">
        <v>973</v>
      </c>
      <c r="C5" s="0" t="n">
        <v>121</v>
      </c>
      <c r="D5" s="0" t="n">
        <v>67</v>
      </c>
      <c r="E5" s="0" t="n">
        <f aca="false">B5-B4</f>
        <v>94</v>
      </c>
      <c r="F5" s="0" t="n">
        <f aca="false">C5-C4</f>
        <v>6</v>
      </c>
      <c r="G5" s="0" t="n">
        <f aca="false">D5-D4</f>
        <v>6</v>
      </c>
    </row>
    <row r="6" customFormat="false" ht="12.8" hidden="false" customHeight="false" outlineLevel="0" collapsed="false">
      <c r="A6" s="0" t="n">
        <v>5</v>
      </c>
      <c r="B6" s="0" t="n">
        <v>1067</v>
      </c>
      <c r="C6" s="0" t="n">
        <v>127</v>
      </c>
      <c r="D6" s="0" t="n">
        <v>74</v>
      </c>
      <c r="E6" s="0" t="n">
        <f aca="false">B6-B5</f>
        <v>94</v>
      </c>
      <c r="F6" s="0" t="n">
        <f aca="false">C6-C5</f>
        <v>6</v>
      </c>
      <c r="G6" s="0" t="n">
        <f aca="false">D6-D5</f>
        <v>7</v>
      </c>
    </row>
    <row r="7" customFormat="false" ht="12.8" hidden="false" customHeight="false" outlineLevel="0" collapsed="false">
      <c r="A7" s="0" t="n">
        <v>6</v>
      </c>
      <c r="B7" s="0" t="n">
        <v>1161</v>
      </c>
      <c r="C7" s="0" t="n">
        <v>133</v>
      </c>
      <c r="D7" s="0" t="n">
        <v>80</v>
      </c>
      <c r="E7" s="0" t="n">
        <f aca="false">B7-B6</f>
        <v>94</v>
      </c>
      <c r="F7" s="0" t="n">
        <f aca="false">C7-C6</f>
        <v>6</v>
      </c>
      <c r="G7" s="0" t="n">
        <f aca="false">D7-D6</f>
        <v>6</v>
      </c>
    </row>
    <row r="8" customFormat="false" ht="12.8" hidden="false" customHeight="false" outlineLevel="0" collapsed="false">
      <c r="A8" s="0" t="n">
        <v>7</v>
      </c>
      <c r="B8" s="0" t="n">
        <v>1255</v>
      </c>
      <c r="C8" s="0" t="n">
        <v>139</v>
      </c>
      <c r="D8" s="0" t="n">
        <v>87</v>
      </c>
      <c r="E8" s="0" t="n">
        <f aca="false">B8-B7</f>
        <v>94</v>
      </c>
      <c r="F8" s="0" t="n">
        <f aca="false">C8-C7</f>
        <v>6</v>
      </c>
      <c r="G8" s="0" t="n">
        <f aca="false">D8-D7</f>
        <v>7</v>
      </c>
    </row>
    <row r="9" customFormat="false" ht="12.8" hidden="false" customHeight="false" outlineLevel="0" collapsed="false">
      <c r="A9" s="0" t="n">
        <v>8</v>
      </c>
      <c r="B9" s="0" t="n">
        <v>1349</v>
      </c>
      <c r="C9" s="0" t="n">
        <v>145</v>
      </c>
      <c r="D9" s="0" t="n">
        <v>93</v>
      </c>
      <c r="E9" s="0" t="n">
        <f aca="false">B9-B8</f>
        <v>94</v>
      </c>
      <c r="F9" s="0" t="n">
        <f aca="false">C9-C8</f>
        <v>6</v>
      </c>
      <c r="G9" s="0" t="n">
        <f aca="false">D9-D8</f>
        <v>6</v>
      </c>
    </row>
    <row r="10" customFormat="false" ht="12.8" hidden="false" customHeight="false" outlineLevel="0" collapsed="false">
      <c r="A10" s="0" t="n">
        <v>9</v>
      </c>
      <c r="B10" s="0" t="n">
        <v>1443</v>
      </c>
      <c r="C10" s="0" t="n">
        <v>151</v>
      </c>
      <c r="D10" s="0" t="n">
        <v>100</v>
      </c>
      <c r="E10" s="0" t="n">
        <f aca="false">B10-B9</f>
        <v>94</v>
      </c>
      <c r="F10" s="0" t="n">
        <f aca="false">C10-C9</f>
        <v>6</v>
      </c>
      <c r="G10" s="0" t="n">
        <f aca="false">D10-D9</f>
        <v>7</v>
      </c>
    </row>
    <row r="11" customFormat="false" ht="12.8" hidden="false" customHeight="false" outlineLevel="0" collapsed="false">
      <c r="A11" s="0" t="n">
        <v>10</v>
      </c>
      <c r="B11" s="0" t="n">
        <v>1537</v>
      </c>
      <c r="C11" s="0" t="n">
        <v>157</v>
      </c>
      <c r="D11" s="0" t="n">
        <v>106</v>
      </c>
      <c r="E11" s="0" t="n">
        <f aca="false">B11-B10</f>
        <v>94</v>
      </c>
      <c r="F11" s="0" t="n">
        <f aca="false">C11-C10</f>
        <v>6</v>
      </c>
      <c r="G11" s="0" t="n">
        <f aca="false">D11-D10</f>
        <v>6</v>
      </c>
    </row>
    <row r="12" customFormat="false" ht="12.8" hidden="false" customHeight="false" outlineLevel="0" collapsed="false">
      <c r="A12" s="0" t="n">
        <v>10</v>
      </c>
      <c r="B12" s="0" t="n">
        <v>2012</v>
      </c>
      <c r="C12" s="0" t="n">
        <v>194</v>
      </c>
      <c r="D12" s="0" t="n">
        <v>139</v>
      </c>
      <c r="E12" s="0" t="n">
        <f aca="false">B12-B11</f>
        <v>475</v>
      </c>
      <c r="F12" s="0" t="n">
        <f aca="false">C12-C11</f>
        <v>37</v>
      </c>
      <c r="G12" s="0" t="n">
        <f aca="false">D12-D11</f>
        <v>33</v>
      </c>
      <c r="H12" s="0" t="n">
        <v>83</v>
      </c>
      <c r="I12" s="0" t="n">
        <v>5</v>
      </c>
      <c r="J12" s="0" t="n">
        <v>50</v>
      </c>
      <c r="K12" s="0" t="n">
        <v>93</v>
      </c>
      <c r="L12" s="0" t="n">
        <v>92</v>
      </c>
      <c r="M12" s="0" t="n">
        <v>0</v>
      </c>
      <c r="N12" s="0" t="n">
        <v>1.2</v>
      </c>
    </row>
    <row r="13" customFormat="false" ht="12.8" hidden="false" customHeight="false" outlineLevel="0" collapsed="false">
      <c r="A13" s="0" t="n">
        <v>11</v>
      </c>
      <c r="B13" s="0" t="n">
        <v>2106</v>
      </c>
      <c r="C13" s="0" t="n">
        <v>200</v>
      </c>
      <c r="D13" s="0" t="n">
        <v>146</v>
      </c>
      <c r="E13" s="0" t="n">
        <f aca="false">B13-B12</f>
        <v>94</v>
      </c>
      <c r="F13" s="0" t="n">
        <f aca="false">C13-C12</f>
        <v>6</v>
      </c>
      <c r="G13" s="0" t="n">
        <f aca="false">D13-D12</f>
        <v>7</v>
      </c>
    </row>
    <row r="14" customFormat="false" ht="12.8" hidden="false" customHeight="false" outlineLevel="0" collapsed="false">
      <c r="A14" s="0" t="n">
        <v>12</v>
      </c>
      <c r="B14" s="0" t="n">
        <v>2200</v>
      </c>
      <c r="C14" s="0" t="n">
        <v>206</v>
      </c>
      <c r="D14" s="0" t="n">
        <v>153</v>
      </c>
      <c r="E14" s="0" t="n">
        <f aca="false">B14-B13</f>
        <v>94</v>
      </c>
      <c r="F14" s="0" t="n">
        <f aca="false">C14-C13</f>
        <v>6</v>
      </c>
      <c r="G14" s="0" t="n">
        <f aca="false">D14-D13</f>
        <v>7</v>
      </c>
    </row>
    <row r="15" customFormat="false" ht="12.8" hidden="false" customHeight="false" outlineLevel="0" collapsed="false">
      <c r="A15" s="0" t="n">
        <v>13</v>
      </c>
      <c r="B15" s="0" t="n">
        <v>2294</v>
      </c>
      <c r="C15" s="0" t="n">
        <v>212</v>
      </c>
      <c r="D15" s="0" t="n">
        <v>159</v>
      </c>
      <c r="E15" s="0" t="n">
        <f aca="false">B15-B14</f>
        <v>94</v>
      </c>
      <c r="F15" s="0" t="n">
        <f aca="false">C15-C14</f>
        <v>6</v>
      </c>
      <c r="G15" s="0" t="n">
        <f aca="false">D15-D14</f>
        <v>6</v>
      </c>
    </row>
    <row r="16" customFormat="false" ht="12.8" hidden="false" customHeight="false" outlineLevel="0" collapsed="false">
      <c r="A16" s="0" t="n">
        <v>14</v>
      </c>
      <c r="B16" s="0" t="n">
        <v>2388</v>
      </c>
      <c r="C16" s="0" t="n">
        <v>218</v>
      </c>
      <c r="D16" s="0" t="n">
        <v>166</v>
      </c>
      <c r="E16" s="0" t="n">
        <f aca="false">B16-B15</f>
        <v>94</v>
      </c>
      <c r="F16" s="0" t="n">
        <f aca="false">C16-C15</f>
        <v>6</v>
      </c>
      <c r="G16" s="0" t="n">
        <f aca="false">D16-D15</f>
        <v>7</v>
      </c>
    </row>
    <row r="17" customFormat="false" ht="12.8" hidden="false" customHeight="false" outlineLevel="0" collapsed="false">
      <c r="A17" s="0" t="n">
        <v>15</v>
      </c>
      <c r="B17" s="0" t="n">
        <v>2482</v>
      </c>
      <c r="C17" s="0" t="n">
        <v>224</v>
      </c>
      <c r="D17" s="0" t="n">
        <v>172</v>
      </c>
      <c r="E17" s="0" t="n">
        <f aca="false">B17-B16</f>
        <v>94</v>
      </c>
      <c r="F17" s="0" t="n">
        <f aca="false">C17-C16</f>
        <v>6</v>
      </c>
      <c r="G17" s="0" t="n">
        <f aca="false">D17-D16</f>
        <v>6</v>
      </c>
    </row>
    <row r="18" customFormat="false" ht="12.8" hidden="false" customHeight="false" outlineLevel="0" collapsed="false">
      <c r="A18" s="0" t="n">
        <v>16</v>
      </c>
      <c r="B18" s="0" t="n">
        <v>2576</v>
      </c>
      <c r="C18" s="0" t="n">
        <v>230</v>
      </c>
      <c r="D18" s="0" t="n">
        <v>179</v>
      </c>
      <c r="E18" s="0" t="n">
        <f aca="false">B18-B17</f>
        <v>94</v>
      </c>
      <c r="F18" s="0" t="n">
        <f aca="false">C18-C17</f>
        <v>6</v>
      </c>
      <c r="G18" s="0" t="n">
        <f aca="false">D18-D17</f>
        <v>7</v>
      </c>
    </row>
    <row r="19" customFormat="false" ht="12.8" hidden="false" customHeight="false" outlineLevel="0" collapsed="false">
      <c r="A19" s="0" t="n">
        <v>17</v>
      </c>
      <c r="B19" s="0" t="n">
        <v>2669</v>
      </c>
      <c r="C19" s="0" t="n">
        <v>236</v>
      </c>
      <c r="D19" s="0" t="n">
        <v>185</v>
      </c>
      <c r="E19" s="0" t="n">
        <f aca="false">B19-B18</f>
        <v>93</v>
      </c>
      <c r="F19" s="0" t="n">
        <f aca="false">C19-C18</f>
        <v>6</v>
      </c>
      <c r="G19" s="0" t="n">
        <f aca="false">D19-D18</f>
        <v>6</v>
      </c>
    </row>
    <row r="20" customFormat="false" ht="12.8" hidden="false" customHeight="false" outlineLevel="0" collapsed="false">
      <c r="A20" s="0" t="n">
        <v>18</v>
      </c>
      <c r="B20" s="0" t="n">
        <v>2763</v>
      </c>
      <c r="C20" s="0" t="n">
        <v>242</v>
      </c>
      <c r="D20" s="0" t="n">
        <v>192</v>
      </c>
      <c r="E20" s="0" t="n">
        <f aca="false">B20-B19</f>
        <v>94</v>
      </c>
      <c r="F20" s="0" t="n">
        <f aca="false">C20-C19</f>
        <v>6</v>
      </c>
      <c r="G20" s="0" t="n">
        <f aca="false">D20-D19</f>
        <v>7</v>
      </c>
    </row>
    <row r="21" customFormat="false" ht="12.8" hidden="false" customHeight="false" outlineLevel="0" collapsed="false">
      <c r="A21" s="0" t="n">
        <v>19</v>
      </c>
      <c r="B21" s="0" t="n">
        <v>2857</v>
      </c>
      <c r="C21" s="0" t="n">
        <v>248</v>
      </c>
      <c r="D21" s="0" t="n">
        <v>198</v>
      </c>
      <c r="E21" s="0" t="n">
        <f aca="false">B21-B20</f>
        <v>94</v>
      </c>
      <c r="F21" s="0" t="n">
        <f aca="false">C21-C20</f>
        <v>6</v>
      </c>
      <c r="G21" s="0" t="n">
        <f aca="false">D21-D20</f>
        <v>6</v>
      </c>
    </row>
    <row r="22" customFormat="false" ht="12.8" hidden="false" customHeight="false" outlineLevel="0" collapsed="false">
      <c r="A22" s="0" t="n">
        <v>20</v>
      </c>
      <c r="B22" s="0" t="n">
        <v>2951</v>
      </c>
      <c r="C22" s="0" t="n">
        <v>254</v>
      </c>
      <c r="D22" s="0" t="n">
        <v>205</v>
      </c>
      <c r="E22" s="0" t="n">
        <f aca="false">B22-B21</f>
        <v>94</v>
      </c>
      <c r="F22" s="0" t="n">
        <f aca="false">C22-C21</f>
        <v>6</v>
      </c>
      <c r="G22" s="0" t="n">
        <f aca="false">D22-D21</f>
        <v>7</v>
      </c>
    </row>
    <row r="23" customFormat="false" ht="12.8" hidden="false" customHeight="false" outlineLevel="0" collapsed="false">
      <c r="A23" s="0" t="n">
        <v>20</v>
      </c>
      <c r="B23" s="0" t="n">
        <v>3426</v>
      </c>
      <c r="C23" s="0" t="n">
        <v>291</v>
      </c>
      <c r="D23" s="0" t="n">
        <v>238</v>
      </c>
      <c r="E23" s="0" t="n">
        <f aca="false">B23-B22</f>
        <v>475</v>
      </c>
      <c r="F23" s="0" t="n">
        <f aca="false">C23-C22</f>
        <v>37</v>
      </c>
      <c r="G23" s="0" t="n">
        <f aca="false">D23-D22</f>
        <v>33</v>
      </c>
    </row>
    <row r="24" customFormat="false" ht="12.8" hidden="false" customHeight="false" outlineLevel="0" collapsed="false">
      <c r="A24" s="0" t="n">
        <v>21</v>
      </c>
      <c r="B24" s="0" t="n">
        <v>3520</v>
      </c>
      <c r="C24" s="0" t="n">
        <v>297</v>
      </c>
      <c r="D24" s="0" t="n">
        <v>245</v>
      </c>
      <c r="E24" s="0" t="n">
        <f aca="false">B24-B23</f>
        <v>94</v>
      </c>
      <c r="F24" s="0" t="n">
        <f aca="false">C24-C23</f>
        <v>6</v>
      </c>
      <c r="G24" s="0" t="n">
        <f aca="false">D24-D23</f>
        <v>7</v>
      </c>
    </row>
    <row r="25" customFormat="false" ht="12.8" hidden="false" customHeight="false" outlineLevel="0" collapsed="false">
      <c r="A25" s="0" t="n">
        <v>22</v>
      </c>
      <c r="B25" s="0" t="n">
        <v>3614</v>
      </c>
      <c r="C25" s="0" t="n">
        <v>303</v>
      </c>
      <c r="D25" s="0" t="n">
        <v>251</v>
      </c>
      <c r="E25" s="0" t="n">
        <f aca="false">B25-B24</f>
        <v>94</v>
      </c>
      <c r="F25" s="0" t="n">
        <f aca="false">C25-C24</f>
        <v>6</v>
      </c>
      <c r="G25" s="0" t="n">
        <f aca="false">D25-D24</f>
        <v>6</v>
      </c>
    </row>
    <row r="26" customFormat="false" ht="12.8" hidden="false" customHeight="false" outlineLevel="0" collapsed="false">
      <c r="A26" s="0" t="n">
        <v>23</v>
      </c>
      <c r="B26" s="0" t="n">
        <v>3708</v>
      </c>
      <c r="C26" s="0" t="n">
        <v>309</v>
      </c>
      <c r="D26" s="0" t="n">
        <v>258</v>
      </c>
      <c r="E26" s="0" t="n">
        <f aca="false">B26-B25</f>
        <v>94</v>
      </c>
      <c r="F26" s="0" t="n">
        <f aca="false">C26-C25</f>
        <v>6</v>
      </c>
      <c r="G26" s="0" t="n">
        <f aca="false">D26-D25</f>
        <v>7</v>
      </c>
    </row>
    <row r="27" customFormat="false" ht="12.8" hidden="false" customHeight="false" outlineLevel="0" collapsed="false">
      <c r="A27" s="0" t="n">
        <v>24</v>
      </c>
      <c r="B27" s="0" t="n">
        <v>3802</v>
      </c>
      <c r="C27" s="0" t="n">
        <v>315</v>
      </c>
      <c r="D27" s="0" t="n">
        <v>264</v>
      </c>
      <c r="E27" s="0" t="n">
        <f aca="false">B27-B26</f>
        <v>94</v>
      </c>
      <c r="F27" s="0" t="n">
        <f aca="false">C27-C26</f>
        <v>6</v>
      </c>
      <c r="G27" s="0" t="n">
        <f aca="false">D27-D26</f>
        <v>6</v>
      </c>
    </row>
    <row r="28" customFormat="false" ht="12.8" hidden="false" customHeight="false" outlineLevel="0" collapsed="false">
      <c r="A28" s="0" t="n">
        <v>25</v>
      </c>
      <c r="B28" s="0" t="n">
        <v>3896</v>
      </c>
      <c r="C28" s="0" t="n">
        <v>321</v>
      </c>
      <c r="D28" s="0" t="n">
        <v>271</v>
      </c>
      <c r="E28" s="0" t="n">
        <f aca="false">B28-B27</f>
        <v>94</v>
      </c>
      <c r="F28" s="0" t="n">
        <f aca="false">C28-C27</f>
        <v>6</v>
      </c>
      <c r="G28" s="0" t="n">
        <f aca="false">D28-D27</f>
        <v>7</v>
      </c>
    </row>
    <row r="29" customFormat="false" ht="12.8" hidden="false" customHeight="false" outlineLevel="0" collapsed="false">
      <c r="A29" s="0" t="n">
        <v>26</v>
      </c>
      <c r="B29" s="0" t="n">
        <v>3990</v>
      </c>
      <c r="C29" s="0" t="n">
        <v>327</v>
      </c>
      <c r="D29" s="0" t="n">
        <v>277</v>
      </c>
      <c r="E29" s="0" t="n">
        <f aca="false">B29-B28</f>
        <v>94</v>
      </c>
      <c r="F29" s="0" t="n">
        <f aca="false">C29-C28</f>
        <v>6</v>
      </c>
      <c r="G29" s="0" t="n">
        <f aca="false">D29-D28</f>
        <v>6</v>
      </c>
    </row>
    <row r="30" customFormat="false" ht="12.8" hidden="false" customHeight="false" outlineLevel="0" collapsed="false">
      <c r="A30" s="0" t="n">
        <v>27</v>
      </c>
      <c r="B30" s="0" t="n">
        <v>4084</v>
      </c>
      <c r="C30" s="0" t="n">
        <v>333</v>
      </c>
      <c r="D30" s="0" t="n">
        <v>284</v>
      </c>
      <c r="E30" s="0" t="n">
        <f aca="false">B30-B29</f>
        <v>94</v>
      </c>
      <c r="F30" s="0" t="n">
        <f aca="false">C30-C29</f>
        <v>6</v>
      </c>
      <c r="G30" s="0" t="n">
        <f aca="false">D30-D29</f>
        <v>7</v>
      </c>
    </row>
    <row r="31" customFormat="false" ht="12.8" hidden="false" customHeight="false" outlineLevel="0" collapsed="false">
      <c r="A31" s="0" t="n">
        <v>28</v>
      </c>
      <c r="B31" s="0" t="n">
        <v>4178</v>
      </c>
      <c r="C31" s="0" t="n">
        <v>339</v>
      </c>
      <c r="D31" s="0" t="n">
        <v>290</v>
      </c>
      <c r="E31" s="0" t="n">
        <f aca="false">B31-B30</f>
        <v>94</v>
      </c>
      <c r="F31" s="0" t="n">
        <f aca="false">C31-C30</f>
        <v>6</v>
      </c>
      <c r="G31" s="0" t="n">
        <f aca="false">D31-D30</f>
        <v>6</v>
      </c>
    </row>
    <row r="32" customFormat="false" ht="12.8" hidden="false" customHeight="false" outlineLevel="0" collapsed="false">
      <c r="A32" s="0" t="n">
        <v>29</v>
      </c>
      <c r="B32" s="0" t="n">
        <v>4272</v>
      </c>
      <c r="C32" s="0" t="n">
        <v>345</v>
      </c>
      <c r="D32" s="0" t="n">
        <v>297</v>
      </c>
      <c r="E32" s="0" t="n">
        <f aca="false">B32-B31</f>
        <v>94</v>
      </c>
      <c r="F32" s="0" t="n">
        <f aca="false">C32-C31</f>
        <v>6</v>
      </c>
      <c r="G32" s="0" t="n">
        <f aca="false">D32-D31</f>
        <v>7</v>
      </c>
    </row>
    <row r="33" customFormat="false" ht="12.8" hidden="false" customHeight="false" outlineLevel="0" collapsed="false">
      <c r="A33" s="0" t="n">
        <v>30</v>
      </c>
      <c r="B33" s="0" t="n">
        <v>4366</v>
      </c>
      <c r="C33" s="0" t="n">
        <v>351</v>
      </c>
      <c r="D33" s="0" t="n">
        <v>304</v>
      </c>
      <c r="E33" s="0" t="n">
        <f aca="false">B33-B32</f>
        <v>94</v>
      </c>
      <c r="F33" s="0" t="n">
        <f aca="false">C33-C32</f>
        <v>6</v>
      </c>
      <c r="G33" s="0" t="n">
        <f aca="false">D33-D32</f>
        <v>7</v>
      </c>
    </row>
    <row r="34" customFormat="false" ht="12.8" hidden="false" customHeight="false" outlineLevel="0" collapsed="false">
      <c r="A34" s="0" t="n">
        <v>30</v>
      </c>
      <c r="B34" s="0" t="n">
        <v>4841</v>
      </c>
      <c r="C34" s="0" t="n">
        <v>388</v>
      </c>
      <c r="D34" s="0" t="n">
        <v>337</v>
      </c>
      <c r="E34" s="0" t="n">
        <f aca="false">B34-B33</f>
        <v>475</v>
      </c>
      <c r="F34" s="0" t="n">
        <f aca="false">C34-C33</f>
        <v>37</v>
      </c>
      <c r="G34" s="0" t="n">
        <f aca="false">D34-D33</f>
        <v>33</v>
      </c>
    </row>
    <row r="35" customFormat="false" ht="12.8" hidden="false" customHeight="false" outlineLevel="0" collapsed="false">
      <c r="A35" s="0" t="n">
        <v>31</v>
      </c>
      <c r="E35" s="0" t="n">
        <f aca="false">B35-B34</f>
        <v>-4841</v>
      </c>
      <c r="F35" s="0" t="n">
        <f aca="false">C35-C34</f>
        <v>-388</v>
      </c>
      <c r="G35" s="0" t="n">
        <f aca="false">D35-D34</f>
        <v>-337</v>
      </c>
    </row>
    <row r="36" customFormat="false" ht="12.8" hidden="false" customHeight="false" outlineLevel="0" collapsed="false">
      <c r="A36" s="0" t="n">
        <v>32</v>
      </c>
      <c r="E36" s="0" t="n">
        <f aca="false">B36-B35</f>
        <v>0</v>
      </c>
      <c r="F36" s="0" t="n">
        <f aca="false">C36-C35</f>
        <v>0</v>
      </c>
      <c r="G36" s="0" t="n">
        <f aca="false">D36-D35</f>
        <v>0</v>
      </c>
    </row>
    <row r="37" customFormat="false" ht="12.8" hidden="false" customHeight="false" outlineLevel="0" collapsed="false">
      <c r="A37" s="0" t="n">
        <v>33</v>
      </c>
      <c r="E37" s="0" t="n">
        <f aca="false">B37-B36</f>
        <v>0</v>
      </c>
      <c r="F37" s="0" t="n">
        <f aca="false">C37-C36</f>
        <v>0</v>
      </c>
      <c r="G37" s="0" t="n">
        <f aca="false">D37-D36</f>
        <v>0</v>
      </c>
    </row>
    <row r="38" customFormat="false" ht="12.8" hidden="false" customHeight="false" outlineLevel="0" collapsed="false">
      <c r="A38" s="0" t="n">
        <v>34</v>
      </c>
      <c r="E38" s="0" t="n">
        <f aca="false">B38-B37</f>
        <v>0</v>
      </c>
      <c r="F38" s="0" t="n">
        <f aca="false">C38-C37</f>
        <v>0</v>
      </c>
      <c r="G38" s="0" t="n">
        <f aca="false">D38-D37</f>
        <v>0</v>
      </c>
    </row>
    <row r="39" customFormat="false" ht="12.8" hidden="false" customHeight="false" outlineLevel="0" collapsed="false">
      <c r="A39" s="0" t="n">
        <v>35</v>
      </c>
      <c r="E39" s="0" t="n">
        <f aca="false">B39-B38</f>
        <v>0</v>
      </c>
      <c r="F39" s="0" t="n">
        <f aca="false">C39-C38</f>
        <v>0</v>
      </c>
      <c r="G39" s="0" t="n">
        <f aca="false">D39-D38</f>
        <v>0</v>
      </c>
    </row>
    <row r="40" customFormat="false" ht="12.8" hidden="false" customHeight="false" outlineLevel="0" collapsed="false">
      <c r="A40" s="0" t="n">
        <v>36</v>
      </c>
      <c r="E40" s="0" t="n">
        <f aca="false">B40-B39</f>
        <v>0</v>
      </c>
      <c r="F40" s="0" t="n">
        <f aca="false">C40-C39</f>
        <v>0</v>
      </c>
      <c r="G40" s="0" t="n">
        <f aca="false">D40-D39</f>
        <v>0</v>
      </c>
    </row>
    <row r="41" customFormat="false" ht="12.8" hidden="false" customHeight="false" outlineLevel="0" collapsed="false">
      <c r="A41" s="0" t="n">
        <v>37</v>
      </c>
      <c r="E41" s="0" t="n">
        <f aca="false">B41-B40</f>
        <v>0</v>
      </c>
      <c r="F41" s="0" t="n">
        <f aca="false">C41-C40</f>
        <v>0</v>
      </c>
      <c r="G41" s="0" t="n">
        <f aca="false">D41-D40</f>
        <v>0</v>
      </c>
    </row>
    <row r="42" customFormat="false" ht="12.8" hidden="false" customHeight="false" outlineLevel="0" collapsed="false">
      <c r="A42" s="0" t="n">
        <v>38</v>
      </c>
      <c r="E42" s="0" t="n">
        <f aca="false">B42-B41</f>
        <v>0</v>
      </c>
      <c r="F42" s="0" t="n">
        <f aca="false">C42-C41</f>
        <v>0</v>
      </c>
      <c r="G42" s="0" t="n">
        <f aca="false">D42-D41</f>
        <v>0</v>
      </c>
    </row>
    <row r="43" customFormat="false" ht="12.8" hidden="false" customHeight="false" outlineLevel="0" collapsed="false">
      <c r="A43" s="0" t="n">
        <v>39</v>
      </c>
      <c r="E43" s="0" t="n">
        <f aca="false">B43-B42</f>
        <v>0</v>
      </c>
      <c r="F43" s="0" t="n">
        <f aca="false">C43-C42</f>
        <v>0</v>
      </c>
      <c r="G43" s="0" t="n">
        <f aca="false">D43-D42</f>
        <v>0</v>
      </c>
    </row>
    <row r="44" customFormat="false" ht="12.8" hidden="false" customHeight="false" outlineLevel="0" collapsed="false">
      <c r="A44" s="0" t="n">
        <v>40</v>
      </c>
      <c r="E44" s="0" t="n">
        <f aca="false">B44-B43</f>
        <v>0</v>
      </c>
      <c r="F44" s="0" t="n">
        <f aca="false">C44-C43</f>
        <v>0</v>
      </c>
      <c r="G44" s="0" t="n">
        <f aca="false">D44-D43</f>
        <v>0</v>
      </c>
    </row>
    <row r="45" customFormat="false" ht="12.8" hidden="false" customHeight="false" outlineLevel="0" collapsed="false">
      <c r="A45" s="0" t="n">
        <v>40</v>
      </c>
      <c r="E45" s="0" t="n">
        <f aca="false">B45-B44</f>
        <v>0</v>
      </c>
      <c r="F45" s="0" t="n">
        <f aca="false">C45-C44</f>
        <v>0</v>
      </c>
      <c r="G45" s="0" t="n">
        <f aca="false">D45-D44</f>
        <v>0</v>
      </c>
    </row>
    <row r="46" customFormat="false" ht="12.8" hidden="false" customHeight="false" outlineLevel="0" collapsed="false">
      <c r="A46" s="0" t="n">
        <v>41</v>
      </c>
      <c r="E46" s="0" t="n">
        <f aca="false">B46-B45</f>
        <v>0</v>
      </c>
      <c r="F46" s="0" t="n">
        <f aca="false">C46-C45</f>
        <v>0</v>
      </c>
      <c r="G46" s="0" t="n">
        <f aca="false">D46-D45</f>
        <v>0</v>
      </c>
    </row>
    <row r="47" customFormat="false" ht="12.8" hidden="false" customHeight="false" outlineLevel="0" collapsed="false">
      <c r="A47" s="0" t="n">
        <v>42</v>
      </c>
      <c r="E47" s="0" t="n">
        <f aca="false">B47-B46</f>
        <v>0</v>
      </c>
      <c r="F47" s="0" t="n">
        <f aca="false">C47-C46</f>
        <v>0</v>
      </c>
      <c r="G47" s="0" t="n">
        <f aca="false">D47-D46</f>
        <v>0</v>
      </c>
    </row>
    <row r="48" customFormat="false" ht="12.8" hidden="false" customHeight="false" outlineLevel="0" collapsed="false">
      <c r="A48" s="0" t="n">
        <v>43</v>
      </c>
      <c r="E48" s="0" t="n">
        <f aca="false">B48-B47</f>
        <v>0</v>
      </c>
      <c r="F48" s="0" t="n">
        <f aca="false">C48-C47</f>
        <v>0</v>
      </c>
      <c r="G48" s="0" t="n">
        <f aca="false">D48-D47</f>
        <v>0</v>
      </c>
    </row>
    <row r="49" customFormat="false" ht="12.8" hidden="false" customHeight="false" outlineLevel="0" collapsed="false">
      <c r="A49" s="0" t="n">
        <v>44</v>
      </c>
      <c r="E49" s="0" t="n">
        <f aca="false">B49-B48</f>
        <v>0</v>
      </c>
      <c r="F49" s="0" t="n">
        <f aca="false">C49-C48</f>
        <v>0</v>
      </c>
      <c r="G49" s="0" t="n">
        <f aca="false">D49-D48</f>
        <v>0</v>
      </c>
    </row>
    <row r="50" customFormat="false" ht="12.8" hidden="false" customHeight="false" outlineLevel="0" collapsed="false">
      <c r="A50" s="0" t="n">
        <v>45</v>
      </c>
      <c r="E50" s="0" t="n">
        <f aca="false">B50-B49</f>
        <v>0</v>
      </c>
      <c r="F50" s="0" t="n">
        <f aca="false">C50-C49</f>
        <v>0</v>
      </c>
      <c r="G50" s="0" t="n">
        <f aca="false">D50-D49</f>
        <v>0</v>
      </c>
    </row>
    <row r="51" customFormat="false" ht="12.8" hidden="false" customHeight="false" outlineLevel="0" collapsed="false">
      <c r="A51" s="0" t="n">
        <v>46</v>
      </c>
      <c r="E51" s="0" t="n">
        <f aca="false">B51-B50</f>
        <v>0</v>
      </c>
      <c r="F51" s="0" t="n">
        <f aca="false">C51-C50</f>
        <v>0</v>
      </c>
      <c r="G51" s="0" t="n">
        <f aca="false">D51-D50</f>
        <v>0</v>
      </c>
    </row>
    <row r="52" customFormat="false" ht="12.8" hidden="false" customHeight="false" outlineLevel="0" collapsed="false">
      <c r="A52" s="0" t="n">
        <v>47</v>
      </c>
      <c r="E52" s="0" t="n">
        <f aca="false">B52-B51</f>
        <v>0</v>
      </c>
      <c r="F52" s="0" t="n">
        <f aca="false">C52-C51</f>
        <v>0</v>
      </c>
      <c r="G52" s="0" t="n">
        <f aca="false">D52-D51</f>
        <v>0</v>
      </c>
    </row>
    <row r="53" customFormat="false" ht="12.8" hidden="false" customHeight="false" outlineLevel="0" collapsed="false">
      <c r="A53" s="0" t="n">
        <v>48</v>
      </c>
      <c r="E53" s="0" t="n">
        <f aca="false">B53-B52</f>
        <v>0</v>
      </c>
      <c r="F53" s="0" t="n">
        <f aca="false">C53-C52</f>
        <v>0</v>
      </c>
      <c r="G53" s="0" t="n">
        <f aca="false">D53-D52</f>
        <v>0</v>
      </c>
    </row>
    <row r="54" customFormat="false" ht="12.8" hidden="false" customHeight="false" outlineLevel="0" collapsed="false">
      <c r="A54" s="0" t="n">
        <v>49</v>
      </c>
      <c r="E54" s="0" t="n">
        <f aca="false">B54-B53</f>
        <v>0</v>
      </c>
      <c r="F54" s="0" t="n">
        <f aca="false">C54-C53</f>
        <v>0</v>
      </c>
      <c r="G54" s="0" t="n">
        <f aca="false">D54-D53</f>
        <v>0</v>
      </c>
    </row>
    <row r="55" customFormat="false" ht="12.8" hidden="false" customHeight="false" outlineLevel="0" collapsed="false">
      <c r="A55" s="0" t="n">
        <v>50</v>
      </c>
      <c r="E55" s="0" t="n">
        <f aca="false">B55-B54</f>
        <v>0</v>
      </c>
      <c r="F55" s="0" t="n">
        <f aca="false">C55-C54</f>
        <v>0</v>
      </c>
      <c r="G55" s="0" t="n">
        <f aca="false">D55-D54</f>
        <v>0</v>
      </c>
    </row>
    <row r="56" customFormat="false" ht="12.8" hidden="false" customHeight="false" outlineLevel="0" collapsed="false">
      <c r="A56" s="0" t="n">
        <v>50</v>
      </c>
      <c r="E56" s="0" t="n">
        <f aca="false">B56-B55</f>
        <v>0</v>
      </c>
      <c r="F56" s="0" t="n">
        <f aca="false">C56-C55</f>
        <v>0</v>
      </c>
      <c r="G56" s="0" t="n">
        <f aca="false">D56-D55</f>
        <v>0</v>
      </c>
    </row>
    <row r="57" customFormat="false" ht="12.8" hidden="false" customHeight="false" outlineLevel="0" collapsed="false">
      <c r="A57" s="0" t="n">
        <v>51</v>
      </c>
      <c r="E57" s="0" t="n">
        <f aca="false">B57-B56</f>
        <v>0</v>
      </c>
      <c r="F57" s="0" t="n">
        <f aca="false">C57-C56</f>
        <v>0</v>
      </c>
      <c r="G57" s="0" t="n">
        <f aca="false">D57-D56</f>
        <v>0</v>
      </c>
    </row>
    <row r="58" customFormat="false" ht="12.8" hidden="false" customHeight="false" outlineLevel="0" collapsed="false">
      <c r="A58" s="0" t="n">
        <v>52</v>
      </c>
      <c r="E58" s="0" t="n">
        <f aca="false">B58-B57</f>
        <v>0</v>
      </c>
      <c r="F58" s="0" t="n">
        <f aca="false">C58-C57</f>
        <v>0</v>
      </c>
      <c r="G58" s="0" t="n">
        <f aca="false">D58-D57</f>
        <v>0</v>
      </c>
    </row>
    <row r="59" customFormat="false" ht="12.8" hidden="false" customHeight="false" outlineLevel="0" collapsed="false">
      <c r="A59" s="0" t="n">
        <v>53</v>
      </c>
      <c r="E59" s="0" t="n">
        <f aca="false">B59-B58</f>
        <v>0</v>
      </c>
      <c r="F59" s="0" t="n">
        <f aca="false">C59-C58</f>
        <v>0</v>
      </c>
      <c r="G59" s="0" t="n">
        <f aca="false">D59-D58</f>
        <v>0</v>
      </c>
    </row>
    <row r="60" customFormat="false" ht="12.8" hidden="false" customHeight="false" outlineLevel="0" collapsed="false">
      <c r="A60" s="0" t="n">
        <v>54</v>
      </c>
      <c r="E60" s="0" t="n">
        <f aca="false">B60-B59</f>
        <v>0</v>
      </c>
      <c r="F60" s="0" t="n">
        <f aca="false">C60-C59</f>
        <v>0</v>
      </c>
      <c r="G60" s="0" t="n">
        <f aca="false">D60-D59</f>
        <v>0</v>
      </c>
    </row>
    <row r="61" customFormat="false" ht="12.8" hidden="false" customHeight="false" outlineLevel="0" collapsed="false">
      <c r="A61" s="0" t="n">
        <v>55</v>
      </c>
      <c r="E61" s="0" t="n">
        <f aca="false">B61-B60</f>
        <v>0</v>
      </c>
      <c r="F61" s="0" t="n">
        <f aca="false">C61-C60</f>
        <v>0</v>
      </c>
      <c r="G61" s="0" t="n">
        <f aca="false">D61-D60</f>
        <v>0</v>
      </c>
    </row>
    <row r="62" customFormat="false" ht="12.8" hidden="false" customHeight="false" outlineLevel="0" collapsed="false">
      <c r="A62" s="0" t="n">
        <v>56</v>
      </c>
      <c r="E62" s="0" t="n">
        <f aca="false">B62-B61</f>
        <v>0</v>
      </c>
      <c r="F62" s="0" t="n">
        <f aca="false">C62-C61</f>
        <v>0</v>
      </c>
      <c r="G62" s="0" t="n">
        <f aca="false">D62-D61</f>
        <v>0</v>
      </c>
    </row>
    <row r="63" customFormat="false" ht="12.8" hidden="false" customHeight="false" outlineLevel="0" collapsed="false">
      <c r="A63" s="0" t="n">
        <v>57</v>
      </c>
      <c r="E63" s="0" t="n">
        <f aca="false">B63-B62</f>
        <v>0</v>
      </c>
      <c r="F63" s="0" t="n">
        <f aca="false">C63-C62</f>
        <v>0</v>
      </c>
      <c r="G63" s="0" t="n">
        <f aca="false">D63-D62</f>
        <v>0</v>
      </c>
    </row>
    <row r="64" customFormat="false" ht="12.8" hidden="false" customHeight="false" outlineLevel="0" collapsed="false">
      <c r="A64" s="0" t="n">
        <v>58</v>
      </c>
      <c r="E64" s="0" t="n">
        <f aca="false">B64-B63</f>
        <v>0</v>
      </c>
      <c r="F64" s="0" t="n">
        <f aca="false">C64-C63</f>
        <v>0</v>
      </c>
      <c r="G64" s="0" t="n">
        <f aca="false">D64-D63</f>
        <v>0</v>
      </c>
    </row>
    <row r="65" customFormat="false" ht="12.8" hidden="false" customHeight="false" outlineLevel="0" collapsed="false">
      <c r="A65" s="0" t="n">
        <v>59</v>
      </c>
      <c r="E65" s="0" t="n">
        <f aca="false">B65-B64</f>
        <v>0</v>
      </c>
      <c r="F65" s="0" t="n">
        <f aca="false">C65-C64</f>
        <v>0</v>
      </c>
      <c r="G65" s="0" t="n">
        <f aca="false">D65-D64</f>
        <v>0</v>
      </c>
    </row>
    <row r="66" customFormat="false" ht="12.8" hidden="false" customHeight="false" outlineLevel="0" collapsed="false">
      <c r="A66" s="0" t="n">
        <v>60</v>
      </c>
      <c r="E66" s="0" t="n">
        <f aca="false">B66-B65</f>
        <v>0</v>
      </c>
      <c r="F66" s="0" t="n">
        <f aca="false">C66-C65</f>
        <v>0</v>
      </c>
      <c r="G66" s="0" t="n">
        <f aca="false">D66-D65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54"/>
  <sheetViews>
    <sheetView showFormulas="false" showGridLines="true" showRowColHeaders="true" showZeros="true" rightToLeft="false" tabSelected="true" showOutlineSymbols="true" defaultGridColor="true" view="normal" topLeftCell="A121" colorId="64" zoomScale="90" zoomScaleNormal="90" zoomScalePageLayoutView="100" workbookViewId="0">
      <selection pane="topLeft" activeCell="E148" activeCellId="0" sqref="E148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2" min="1" style="0" width="8.5"/>
    <col collapsed="false" customWidth="true" hidden="false" outlineLevel="0" max="3" min="3" style="0" width="9.53"/>
    <col collapsed="false" customWidth="true" hidden="false" outlineLevel="0" max="4" min="4" style="0" width="11.93"/>
    <col collapsed="false" customWidth="true" hidden="false" outlineLevel="0" max="5" min="5" style="0" width="4.38"/>
    <col collapsed="false" customWidth="true" hidden="false" outlineLevel="0" max="6" min="6" style="0" width="15.95"/>
    <col collapsed="false" customWidth="true" hidden="false" outlineLevel="0" max="9" min="8" style="0" width="9.53"/>
    <col collapsed="false" customWidth="true" hidden="false" outlineLevel="0" max="10" min="10" style="0" width="8.33"/>
    <col collapsed="false" customWidth="true" hidden="false" outlineLevel="0" max="11" min="11" style="0" width="9.36"/>
    <col collapsed="false" customWidth="true" hidden="false" outlineLevel="0" max="12" min="12" style="0" width="8.5"/>
    <col collapsed="false" customWidth="true" hidden="false" outlineLevel="0" max="14" min="13" style="0" width="9.53"/>
    <col collapsed="false" customWidth="true" hidden="false" outlineLevel="0" max="15" min="15" style="0" width="7.13"/>
    <col collapsed="false" customWidth="true" hidden="false" outlineLevel="0" max="16" min="16" style="0" width="9.36"/>
    <col collapsed="false" customWidth="true" hidden="false" outlineLevel="0" max="17" min="17" style="0" width="8.5"/>
    <col collapsed="false" customWidth="true" hidden="false" outlineLevel="0" max="19" min="18" style="0" width="9.53"/>
    <col collapsed="false" customWidth="true" hidden="false" outlineLevel="0" max="20" min="20" style="0" width="8.33"/>
    <col collapsed="false" customWidth="true" hidden="false" outlineLevel="0" max="21" min="21" style="0" width="9.36"/>
    <col collapsed="false" customWidth="true" hidden="false" outlineLevel="0" max="22" min="22" style="0" width="8.5"/>
    <col collapsed="false" customWidth="true" hidden="false" outlineLevel="0" max="24" min="23" style="0" width="9.53"/>
    <col collapsed="false" customWidth="true" hidden="false" outlineLevel="0" max="25" min="25" style="0" width="6.61"/>
    <col collapsed="false" customWidth="true" hidden="false" outlineLevel="0" max="26" min="26" style="0" width="9.36"/>
    <col collapsed="false" customWidth="true" hidden="false" outlineLevel="0" max="27" min="27" style="0" width="8.5"/>
    <col collapsed="false" customWidth="true" hidden="false" outlineLevel="0" max="29" min="28" style="0" width="9.53"/>
    <col collapsed="false" customWidth="true" hidden="false" outlineLevel="0" max="30" min="30" style="0" width="6.61"/>
    <col collapsed="false" customWidth="true" hidden="false" outlineLevel="0" max="31" min="31" style="0" width="9.36"/>
    <col collapsed="false" customWidth="true" hidden="false" outlineLevel="0" max="32" min="32" style="0" width="8.5"/>
    <col collapsed="false" customWidth="true" hidden="false" outlineLevel="0" max="34" min="33" style="0" width="9.53"/>
    <col collapsed="false" customWidth="true" hidden="false" outlineLevel="0" max="35" min="35" style="0" width="6.61"/>
    <col collapsed="false" customWidth="true" hidden="false" outlineLevel="0" max="36" min="36" style="0" width="9.36"/>
    <col collapsed="false" customWidth="true" hidden="false" outlineLevel="0" max="37" min="37" style="0" width="8.5"/>
  </cols>
  <sheetData>
    <row r="1" customFormat="false" ht="12.8" hidden="false" customHeight="false" outlineLevel="0" collapsed="false">
      <c r="C1" s="1" t="s">
        <v>106</v>
      </c>
      <c r="D1" s="1"/>
      <c r="E1" s="11" t="s">
        <v>27</v>
      </c>
      <c r="F1" s="11"/>
      <c r="H1" s="11" t="s">
        <v>107</v>
      </c>
      <c r="I1" s="11"/>
      <c r="J1" s="11"/>
      <c r="K1" s="11"/>
      <c r="L1" s="11"/>
      <c r="M1" s="11" t="s">
        <v>108</v>
      </c>
      <c r="N1" s="11"/>
      <c r="O1" s="11"/>
      <c r="P1" s="11"/>
      <c r="Q1" s="11"/>
      <c r="R1" s="11" t="s">
        <v>109</v>
      </c>
      <c r="S1" s="11"/>
      <c r="T1" s="11"/>
      <c r="U1" s="11"/>
      <c r="V1" s="11"/>
      <c r="W1" s="11" t="s">
        <v>110</v>
      </c>
      <c r="X1" s="11"/>
      <c r="Y1" s="11"/>
      <c r="Z1" s="11"/>
      <c r="AA1" s="11"/>
      <c r="AB1" s="11" t="s">
        <v>111</v>
      </c>
      <c r="AC1" s="11"/>
      <c r="AD1" s="11"/>
      <c r="AE1" s="11"/>
      <c r="AF1" s="11"/>
      <c r="AG1" s="11" t="s">
        <v>112</v>
      </c>
      <c r="AH1" s="11"/>
      <c r="AI1" s="11"/>
      <c r="AJ1" s="11"/>
      <c r="AK1" s="11"/>
    </row>
    <row r="2" customFormat="false" ht="12.8" hidden="false" customHeight="false" outlineLevel="0" collapsed="false">
      <c r="A2" s="1" t="s">
        <v>113</v>
      </c>
      <c r="B2" s="1" t="s">
        <v>114</v>
      </c>
      <c r="C2" s="1" t="s">
        <v>30</v>
      </c>
      <c r="D2" s="1" t="s">
        <v>31</v>
      </c>
      <c r="E2" s="1" t="s">
        <v>115</v>
      </c>
      <c r="F2" s="1" t="s">
        <v>116</v>
      </c>
      <c r="G2" s="1" t="s">
        <v>117</v>
      </c>
      <c r="H2" s="1" t="s">
        <v>118</v>
      </c>
      <c r="I2" s="1" t="s">
        <v>26</v>
      </c>
      <c r="J2" s="1" t="s">
        <v>119</v>
      </c>
      <c r="K2" s="1" t="s">
        <v>120</v>
      </c>
      <c r="L2" s="1" t="s">
        <v>121</v>
      </c>
      <c r="M2" s="1" t="s">
        <v>118</v>
      </c>
      <c r="N2" s="1" t="s">
        <v>26</v>
      </c>
      <c r="O2" s="1" t="s">
        <v>119</v>
      </c>
      <c r="P2" s="1" t="s">
        <v>120</v>
      </c>
      <c r="Q2" s="1" t="s">
        <v>121</v>
      </c>
      <c r="R2" s="1" t="s">
        <v>118</v>
      </c>
      <c r="S2" s="1" t="s">
        <v>26</v>
      </c>
      <c r="T2" s="1" t="s">
        <v>119</v>
      </c>
      <c r="U2" s="1" t="s">
        <v>120</v>
      </c>
      <c r="V2" s="1" t="s">
        <v>121</v>
      </c>
      <c r="W2" s="1" t="s">
        <v>118</v>
      </c>
      <c r="X2" s="1" t="s">
        <v>26</v>
      </c>
      <c r="Y2" s="1" t="s">
        <v>119</v>
      </c>
      <c r="Z2" s="1" t="s">
        <v>120</v>
      </c>
      <c r="AA2" s="1" t="s">
        <v>121</v>
      </c>
      <c r="AB2" s="1" t="s">
        <v>26</v>
      </c>
      <c r="AC2" s="1" t="s">
        <v>122</v>
      </c>
      <c r="AD2" s="1" t="s">
        <v>119</v>
      </c>
      <c r="AE2" s="1" t="s">
        <v>120</v>
      </c>
      <c r="AF2" s="1" t="s">
        <v>121</v>
      </c>
      <c r="AG2" s="1" t="s">
        <v>26</v>
      </c>
      <c r="AH2" s="1" t="s">
        <v>122</v>
      </c>
      <c r="AI2" s="1" t="s">
        <v>119</v>
      </c>
      <c r="AJ2" s="1" t="s">
        <v>120</v>
      </c>
      <c r="AK2" s="1" t="s">
        <v>121</v>
      </c>
    </row>
    <row r="3" customFormat="false" ht="12.8" hidden="false" customHeight="false" outlineLevel="0" collapsed="false">
      <c r="A3" s="0" t="n">
        <f aca="false">ROW(A3)-3</f>
        <v>0</v>
      </c>
      <c r="B3" s="0" t="n">
        <v>0</v>
      </c>
      <c r="C3" s="1" t="s">
        <v>123</v>
      </c>
      <c r="D3" s="1" t="s">
        <v>124</v>
      </c>
      <c r="F3" s="0" t="s">
        <v>125</v>
      </c>
      <c r="G3" s="12" t="b">
        <v>1</v>
      </c>
      <c r="H3" s="1" t="s">
        <v>126</v>
      </c>
      <c r="I3" s="1" t="s">
        <v>52</v>
      </c>
      <c r="J3" s="0" t="n">
        <v>31.2</v>
      </c>
      <c r="K3" s="0" t="n">
        <v>1</v>
      </c>
      <c r="L3" s="0" t="n">
        <f aca="false">34.1-J3</f>
        <v>2.9</v>
      </c>
      <c r="M3" s="1" t="s">
        <v>126</v>
      </c>
      <c r="N3" s="1" t="s">
        <v>52</v>
      </c>
      <c r="O3" s="0" t="n">
        <v>33.7</v>
      </c>
      <c r="P3" s="0" t="n">
        <v>1</v>
      </c>
      <c r="Q3" s="0" t="n">
        <f aca="false">36.8-O3</f>
        <v>3.09999999999999</v>
      </c>
      <c r="R3" s="1" t="s">
        <v>126</v>
      </c>
      <c r="S3" s="1" t="s">
        <v>52</v>
      </c>
      <c r="T3" s="0" t="n">
        <v>113.6</v>
      </c>
      <c r="U3" s="0" t="n">
        <v>1</v>
      </c>
      <c r="V3" s="0" t="n">
        <f aca="false">124-T3</f>
        <v>10.4</v>
      </c>
      <c r="W3" s="1" t="s">
        <v>126</v>
      </c>
      <c r="X3" s="1" t="s">
        <v>49</v>
      </c>
      <c r="Y3" s="0" t="n">
        <v>239.1</v>
      </c>
      <c r="Z3" s="0" t="n">
        <v>1</v>
      </c>
      <c r="AA3" s="0" t="n">
        <f aca="false">260.9-Y3</f>
        <v>21.8</v>
      </c>
    </row>
    <row r="4" customFormat="false" ht="12.8" hidden="false" customHeight="false" outlineLevel="0" collapsed="false">
      <c r="A4" s="0" t="n">
        <f aca="false">ROW(A4)-3</f>
        <v>1</v>
      </c>
      <c r="B4" s="0" t="n">
        <v>0</v>
      </c>
      <c r="C4" s="1" t="s">
        <v>123</v>
      </c>
      <c r="D4" s="1" t="s">
        <v>127</v>
      </c>
      <c r="F4" s="0" t="s">
        <v>128</v>
      </c>
      <c r="G4" s="12" t="b">
        <v>1</v>
      </c>
      <c r="H4" s="1" t="s">
        <v>126</v>
      </c>
      <c r="I4" s="1" t="s">
        <v>52</v>
      </c>
      <c r="J4" s="0" t="n">
        <v>31.2</v>
      </c>
      <c r="K4" s="0" t="n">
        <v>1</v>
      </c>
      <c r="L4" s="0" t="n">
        <f aca="false">34.1-J4</f>
        <v>2.9</v>
      </c>
      <c r="M4" s="1" t="s">
        <v>126</v>
      </c>
      <c r="N4" s="1" t="s">
        <v>52</v>
      </c>
      <c r="O4" s="0" t="n">
        <v>33.7</v>
      </c>
      <c r="P4" s="0" t="n">
        <v>1</v>
      </c>
      <c r="Q4" s="0" t="n">
        <f aca="false">36.8-O4</f>
        <v>3.09999999999999</v>
      </c>
      <c r="R4" s="1" t="s">
        <v>126</v>
      </c>
      <c r="S4" s="1" t="s">
        <v>52</v>
      </c>
      <c r="T4" s="0" t="n">
        <v>113.6</v>
      </c>
      <c r="U4" s="0" t="n">
        <v>1</v>
      </c>
      <c r="V4" s="0" t="n">
        <f aca="false">124-T4</f>
        <v>10.4</v>
      </c>
      <c r="W4" s="1" t="s">
        <v>129</v>
      </c>
      <c r="X4" s="1" t="s">
        <v>49</v>
      </c>
      <c r="Y4" s="0" t="n">
        <v>328.6</v>
      </c>
      <c r="Z4" s="0" t="n">
        <v>1</v>
      </c>
      <c r="AA4" s="0" t="n">
        <f aca="false">358.5-Y4</f>
        <v>29.9</v>
      </c>
    </row>
    <row r="5" customFormat="false" ht="12.8" hidden="false" customHeight="false" outlineLevel="0" collapsed="false">
      <c r="A5" s="0" t="n">
        <f aca="false">ROW(A5)-3</f>
        <v>2</v>
      </c>
      <c r="B5" s="0" t="n">
        <v>0</v>
      </c>
      <c r="C5" s="1" t="s">
        <v>130</v>
      </c>
      <c r="D5" s="1" t="s">
        <v>131</v>
      </c>
      <c r="F5" s="0" t="s">
        <v>132</v>
      </c>
      <c r="G5" s="12" t="b">
        <v>0</v>
      </c>
      <c r="H5" s="1" t="s">
        <v>126</v>
      </c>
      <c r="I5" s="1" t="s">
        <v>52</v>
      </c>
      <c r="J5" s="0" t="n">
        <v>56.7</v>
      </c>
      <c r="K5" s="0" t="n">
        <v>1</v>
      </c>
      <c r="L5" s="0" t="n">
        <f aca="false">61.9-J5</f>
        <v>5.2</v>
      </c>
    </row>
    <row r="6" customFormat="false" ht="12.8" hidden="false" customHeight="false" outlineLevel="0" collapsed="false">
      <c r="A6" s="0" t="n">
        <f aca="false">ROW(A6)-3</f>
        <v>3</v>
      </c>
      <c r="B6" s="0" t="n">
        <v>0</v>
      </c>
      <c r="C6" s="1" t="s">
        <v>130</v>
      </c>
      <c r="D6" s="1" t="s">
        <v>133</v>
      </c>
      <c r="F6" s="0" t="s">
        <v>134</v>
      </c>
      <c r="G6" s="12" t="b">
        <v>0</v>
      </c>
      <c r="H6" s="1" t="s">
        <v>126</v>
      </c>
      <c r="I6" s="1" t="s">
        <v>49</v>
      </c>
      <c r="J6" s="0" t="n">
        <v>180.2</v>
      </c>
      <c r="K6" s="0" t="n">
        <v>1</v>
      </c>
      <c r="L6" s="0" t="n">
        <f aca="false">196.6-J6</f>
        <v>16.4</v>
      </c>
    </row>
    <row r="7" customFormat="false" ht="12.8" hidden="false" customHeight="false" outlineLevel="0" collapsed="false">
      <c r="A7" s="0" t="n">
        <f aca="false">ROW(A7)-3</f>
        <v>4</v>
      </c>
      <c r="B7" s="0" t="n">
        <v>0</v>
      </c>
      <c r="C7" s="1" t="s">
        <v>135</v>
      </c>
      <c r="D7" s="1" t="s">
        <v>136</v>
      </c>
      <c r="F7" s="0" t="s">
        <v>137</v>
      </c>
      <c r="G7" s="12" t="b">
        <v>0</v>
      </c>
      <c r="H7" s="1" t="s">
        <v>126</v>
      </c>
      <c r="I7" s="1" t="s">
        <v>49</v>
      </c>
      <c r="J7" s="0" t="n">
        <v>61.7</v>
      </c>
      <c r="K7" s="0" t="n">
        <v>1</v>
      </c>
      <c r="L7" s="0" t="n">
        <f aca="false">67.4-J7</f>
        <v>5.7</v>
      </c>
    </row>
    <row r="8" customFormat="false" ht="12.8" hidden="false" customHeight="false" outlineLevel="0" collapsed="false">
      <c r="A8" s="0" t="n">
        <f aca="false">ROW(A8)-3</f>
        <v>5</v>
      </c>
      <c r="B8" s="0" t="n">
        <v>0</v>
      </c>
      <c r="C8" s="1" t="s">
        <v>135</v>
      </c>
      <c r="D8" s="1" t="s">
        <v>138</v>
      </c>
      <c r="F8" s="0" t="s">
        <v>139</v>
      </c>
      <c r="G8" s="12" t="b">
        <v>0</v>
      </c>
      <c r="H8" s="1" t="s">
        <v>126</v>
      </c>
      <c r="I8" s="1" t="s">
        <v>49</v>
      </c>
      <c r="J8" s="0" t="n">
        <v>335.2</v>
      </c>
      <c r="K8" s="0" t="n">
        <v>1</v>
      </c>
      <c r="L8" s="0" t="n">
        <f aca="false">365.7-J8</f>
        <v>30.5</v>
      </c>
    </row>
    <row r="9" customFormat="false" ht="12.8" hidden="false" customHeight="false" outlineLevel="0" collapsed="false">
      <c r="A9" s="0" t="n">
        <f aca="false">ROW(A9)-3</f>
        <v>6</v>
      </c>
      <c r="B9" s="0" t="n">
        <v>0</v>
      </c>
      <c r="C9" s="1" t="s">
        <v>140</v>
      </c>
      <c r="D9" s="1" t="s">
        <v>124</v>
      </c>
      <c r="F9" s="0" t="s">
        <v>141</v>
      </c>
      <c r="G9" s="12" t="b">
        <v>0</v>
      </c>
      <c r="H9" s="1" t="s">
        <v>126</v>
      </c>
      <c r="I9" s="1" t="s">
        <v>49</v>
      </c>
      <c r="J9" s="0" t="n">
        <v>93.4</v>
      </c>
      <c r="K9" s="0" t="n">
        <v>1</v>
      </c>
      <c r="L9" s="0" t="n">
        <f aca="false">101.9-J9</f>
        <v>8.5</v>
      </c>
    </row>
    <row r="10" customFormat="false" ht="12.8" hidden="false" customHeight="false" outlineLevel="0" collapsed="false">
      <c r="A10" s="0" t="n">
        <f aca="false">ROW(A10)-3</f>
        <v>7</v>
      </c>
      <c r="B10" s="0" t="n">
        <v>0</v>
      </c>
      <c r="C10" s="1" t="s">
        <v>140</v>
      </c>
      <c r="D10" s="1" t="s">
        <v>142</v>
      </c>
      <c r="F10" s="0" t="s">
        <v>143</v>
      </c>
      <c r="G10" s="12" t="b">
        <v>0</v>
      </c>
      <c r="H10" s="1" t="s">
        <v>126</v>
      </c>
      <c r="I10" s="1" t="s">
        <v>49</v>
      </c>
      <c r="J10" s="0" t="n">
        <v>583</v>
      </c>
      <c r="K10" s="0" t="n">
        <v>1</v>
      </c>
      <c r="L10" s="0" t="n">
        <f aca="false">636-J10</f>
        <v>53</v>
      </c>
    </row>
    <row r="11" customFormat="false" ht="12.8" hidden="false" customHeight="false" outlineLevel="0" collapsed="false">
      <c r="A11" s="0" t="n">
        <f aca="false">ROW(A11)-3</f>
        <v>8</v>
      </c>
      <c r="B11" s="0" t="n">
        <v>0</v>
      </c>
      <c r="C11" s="1" t="s">
        <v>144</v>
      </c>
      <c r="D11" s="1" t="s">
        <v>144</v>
      </c>
      <c r="F11" s="0" t="s">
        <v>145</v>
      </c>
      <c r="G11" s="12" t="b">
        <v>0</v>
      </c>
      <c r="H11" s="1" t="s">
        <v>126</v>
      </c>
      <c r="I11" s="1" t="s">
        <v>49</v>
      </c>
      <c r="J11" s="0" t="n">
        <v>542.4</v>
      </c>
      <c r="K11" s="0" t="n">
        <v>1</v>
      </c>
      <c r="L11" s="0" t="n">
        <f aca="false">591.8-J11</f>
        <v>49.4</v>
      </c>
    </row>
    <row r="12" customFormat="false" ht="12.8" hidden="false" customHeight="false" outlineLevel="0" collapsed="false">
      <c r="A12" s="0" t="n">
        <f aca="false">ROW(A12)-3</f>
        <v>9</v>
      </c>
      <c r="B12" s="0" t="n">
        <v>0</v>
      </c>
      <c r="C12" s="1" t="s">
        <v>144</v>
      </c>
      <c r="D12" s="1" t="s">
        <v>146</v>
      </c>
      <c r="F12" s="0" t="s">
        <v>147</v>
      </c>
      <c r="G12" s="12" t="b">
        <v>0</v>
      </c>
      <c r="H12" s="1" t="s">
        <v>126</v>
      </c>
      <c r="I12" s="1" t="s">
        <v>49</v>
      </c>
      <c r="J12" s="0" t="n">
        <v>1512.6</v>
      </c>
      <c r="K12" s="0" t="n">
        <v>1</v>
      </c>
      <c r="L12" s="0" t="n">
        <f aca="false">1650.2-J12</f>
        <v>137.6</v>
      </c>
    </row>
    <row r="13" customFormat="false" ht="12.8" hidden="false" customHeight="false" outlineLevel="0" collapsed="false">
      <c r="A13" s="0" t="n">
        <f aca="false">ROW(A13)-3</f>
        <v>10</v>
      </c>
      <c r="B13" s="0" t="n">
        <v>1</v>
      </c>
      <c r="C13" s="1" t="s">
        <v>123</v>
      </c>
      <c r="D13" s="1" t="s">
        <v>124</v>
      </c>
      <c r="F13" s="0" t="s">
        <v>148</v>
      </c>
      <c r="G13" s="12" t="b">
        <v>1</v>
      </c>
      <c r="H13" s="1" t="s">
        <v>149</v>
      </c>
      <c r="I13" s="1" t="s">
        <v>52</v>
      </c>
      <c r="J13" s="0" t="n">
        <v>68</v>
      </c>
      <c r="K13" s="0" t="n">
        <v>1</v>
      </c>
      <c r="L13" s="0" t="n">
        <f aca="false">74.2-J13</f>
        <v>6.2</v>
      </c>
      <c r="M13" s="1" t="s">
        <v>149</v>
      </c>
      <c r="N13" s="1" t="s">
        <v>52</v>
      </c>
      <c r="O13" s="0" t="n">
        <v>7.6</v>
      </c>
      <c r="P13" s="0" t="n">
        <v>1</v>
      </c>
      <c r="Q13" s="0" t="n">
        <f aca="false">8.3-O13</f>
        <v>0.700000000000001</v>
      </c>
      <c r="R13" s="1" t="s">
        <v>149</v>
      </c>
      <c r="S13" s="1" t="s">
        <v>52</v>
      </c>
      <c r="T13" s="0" t="n">
        <v>61.8</v>
      </c>
      <c r="U13" s="0" t="n">
        <v>1</v>
      </c>
      <c r="V13" s="0" t="n">
        <f aca="false">67.5-T13</f>
        <v>5.7</v>
      </c>
      <c r="W13" s="1" t="s">
        <v>149</v>
      </c>
      <c r="X13" s="1" t="s">
        <v>52</v>
      </c>
      <c r="Y13" s="0" t="n">
        <v>12.7</v>
      </c>
      <c r="Z13" s="0" t="n">
        <v>1</v>
      </c>
      <c r="AA13" s="0" t="n">
        <f aca="false">13.9-Y13</f>
        <v>1.2</v>
      </c>
      <c r="AB13" s="1" t="s">
        <v>149</v>
      </c>
      <c r="AC13" s="1" t="s">
        <v>52</v>
      </c>
      <c r="AD13" s="0" t="n">
        <v>61.8</v>
      </c>
      <c r="AE13" s="0" t="n">
        <v>1</v>
      </c>
      <c r="AF13" s="0" t="n">
        <f aca="false">67.5-AD13</f>
        <v>5.7</v>
      </c>
      <c r="AG13" s="1" t="s">
        <v>149</v>
      </c>
      <c r="AH13" s="1" t="s">
        <v>52</v>
      </c>
      <c r="AI13" s="0" t="n">
        <v>49.5</v>
      </c>
      <c r="AJ13" s="0" t="n">
        <v>1</v>
      </c>
      <c r="AK13" s="0" t="n">
        <f aca="false">54-AI13</f>
        <v>4.5</v>
      </c>
    </row>
    <row r="14" customFormat="false" ht="12.8" hidden="false" customHeight="false" outlineLevel="0" collapsed="false">
      <c r="A14" s="0" t="n">
        <f aca="false">ROW(A14)-3</f>
        <v>11</v>
      </c>
      <c r="B14" s="0" t="n">
        <v>1</v>
      </c>
      <c r="C14" s="1" t="s">
        <v>130</v>
      </c>
      <c r="D14" s="1" t="s">
        <v>131</v>
      </c>
      <c r="F14" s="0" t="s">
        <v>150</v>
      </c>
      <c r="G14" s="12" t="b">
        <v>0</v>
      </c>
      <c r="H14" s="1" t="s">
        <v>149</v>
      </c>
      <c r="I14" s="1" t="s">
        <v>52</v>
      </c>
      <c r="J14" s="0" t="n">
        <v>63</v>
      </c>
      <c r="K14" s="0" t="n">
        <v>1</v>
      </c>
      <c r="L14" s="0" t="n">
        <f aca="false">68.8-J14</f>
        <v>5.8</v>
      </c>
      <c r="M14" s="1" t="s">
        <v>149</v>
      </c>
      <c r="N14" s="1" t="s">
        <v>52</v>
      </c>
      <c r="O14" s="0" t="n">
        <v>39</v>
      </c>
      <c r="P14" s="0" t="n">
        <v>1</v>
      </c>
      <c r="Q14" s="0" t="n">
        <f aca="false">42.6-O14</f>
        <v>3.6</v>
      </c>
    </row>
    <row r="15" customFormat="false" ht="12.8" hidden="false" customHeight="false" outlineLevel="0" collapsed="false">
      <c r="A15" s="0" t="n">
        <f aca="false">ROW(A15)-3</f>
        <v>12</v>
      </c>
      <c r="B15" s="0" t="n">
        <v>1</v>
      </c>
      <c r="C15" s="1" t="s">
        <v>130</v>
      </c>
      <c r="D15" s="1" t="s">
        <v>133</v>
      </c>
      <c r="F15" s="0" t="s">
        <v>151</v>
      </c>
      <c r="G15" s="12" t="b">
        <v>0</v>
      </c>
      <c r="H15" s="1" t="s">
        <v>149</v>
      </c>
      <c r="I15" s="1" t="s">
        <v>52</v>
      </c>
      <c r="J15" s="0" t="n">
        <v>221.4</v>
      </c>
      <c r="K15" s="0" t="n">
        <v>1</v>
      </c>
      <c r="L15" s="0" t="n">
        <f aca="false">241.6-J15</f>
        <v>20.2</v>
      </c>
    </row>
    <row r="16" customFormat="false" ht="12.8" hidden="false" customHeight="false" outlineLevel="0" collapsed="false">
      <c r="A16" s="0" t="n">
        <f aca="false">ROW(A16)-3</f>
        <v>13</v>
      </c>
      <c r="B16" s="0" t="n">
        <v>1</v>
      </c>
      <c r="C16" s="1" t="s">
        <v>135</v>
      </c>
      <c r="D16" s="1" t="s">
        <v>136</v>
      </c>
      <c r="F16" s="0" t="s">
        <v>152</v>
      </c>
      <c r="G16" s="12" t="b">
        <v>0</v>
      </c>
      <c r="H16" s="1" t="s">
        <v>149</v>
      </c>
      <c r="I16" s="1" t="s">
        <v>52</v>
      </c>
      <c r="J16" s="0" t="n">
        <v>93.4</v>
      </c>
      <c r="K16" s="0" t="n">
        <v>1</v>
      </c>
      <c r="L16" s="0" t="n">
        <f aca="false">101.9-J16</f>
        <v>8.5</v>
      </c>
    </row>
    <row r="17" customFormat="false" ht="12.8" hidden="false" customHeight="false" outlineLevel="0" collapsed="false">
      <c r="A17" s="0" t="n">
        <f aca="false">ROW(A17)-3</f>
        <v>14</v>
      </c>
      <c r="B17" s="0" t="n">
        <v>1</v>
      </c>
      <c r="C17" s="1" t="s">
        <v>135</v>
      </c>
      <c r="D17" s="1" t="s">
        <v>138</v>
      </c>
      <c r="F17" s="0" t="s">
        <v>153</v>
      </c>
      <c r="G17" s="12" t="b">
        <v>0</v>
      </c>
      <c r="H17" s="1" t="s">
        <v>149</v>
      </c>
      <c r="I17" s="1" t="s">
        <v>52</v>
      </c>
      <c r="J17" s="0" t="n">
        <v>388.8</v>
      </c>
      <c r="K17" s="0" t="n">
        <v>1</v>
      </c>
      <c r="L17" s="0" t="n">
        <f aca="false">424.2-J17</f>
        <v>35.4</v>
      </c>
    </row>
    <row r="18" customFormat="false" ht="12.8" hidden="false" customHeight="false" outlineLevel="0" collapsed="false">
      <c r="A18" s="0" t="n">
        <f aca="false">ROW(A18)-3</f>
        <v>15</v>
      </c>
      <c r="B18" s="0" t="n">
        <v>1</v>
      </c>
      <c r="C18" s="1" t="s">
        <v>140</v>
      </c>
      <c r="D18" s="1" t="s">
        <v>124</v>
      </c>
      <c r="F18" s="0" t="s">
        <v>154</v>
      </c>
      <c r="G18" s="12" t="b">
        <v>1</v>
      </c>
      <c r="H18" s="1" t="s">
        <v>149</v>
      </c>
      <c r="I18" s="1" t="s">
        <v>52</v>
      </c>
      <c r="J18" s="0" t="n">
        <v>24.2</v>
      </c>
      <c r="K18" s="0" t="n">
        <v>1</v>
      </c>
      <c r="L18" s="0" t="n">
        <f aca="false">26.4-J18</f>
        <v>2.2</v>
      </c>
      <c r="M18" s="1" t="s">
        <v>149</v>
      </c>
      <c r="N18" s="1" t="s">
        <v>52</v>
      </c>
      <c r="O18" s="0" t="n">
        <v>51.7</v>
      </c>
      <c r="P18" s="0" t="n">
        <v>1</v>
      </c>
      <c r="Q18" s="0" t="n">
        <f aca="false">56.4-O18</f>
        <v>4.7</v>
      </c>
      <c r="R18" s="1" t="s">
        <v>149</v>
      </c>
      <c r="S18" s="1" t="s">
        <v>52</v>
      </c>
      <c r="T18" s="0" t="n">
        <v>50.1</v>
      </c>
      <c r="U18" s="0" t="n">
        <v>1</v>
      </c>
      <c r="V18" s="0" t="n">
        <f aca="false">54.7-T18</f>
        <v>4.6</v>
      </c>
    </row>
    <row r="19" customFormat="false" ht="12.8" hidden="false" customHeight="false" outlineLevel="0" collapsed="false">
      <c r="A19" s="0" t="n">
        <f aca="false">ROW(A19)-3</f>
        <v>16</v>
      </c>
      <c r="B19" s="0" t="n">
        <v>1</v>
      </c>
      <c r="C19" s="1" t="s">
        <v>140</v>
      </c>
      <c r="D19" s="1" t="s">
        <v>127</v>
      </c>
      <c r="F19" s="0" t="s">
        <v>155</v>
      </c>
      <c r="G19" s="12" t="b">
        <v>0</v>
      </c>
      <c r="H19" s="1" t="s">
        <v>149</v>
      </c>
      <c r="I19" s="1" t="s">
        <v>52</v>
      </c>
      <c r="J19" s="0" t="n">
        <v>543.8</v>
      </c>
      <c r="K19" s="0" t="n">
        <v>1</v>
      </c>
      <c r="L19" s="0" t="n">
        <f aca="false">593.3-J19</f>
        <v>49.5</v>
      </c>
    </row>
    <row r="20" customFormat="false" ht="12.8" hidden="false" customHeight="false" outlineLevel="0" collapsed="false">
      <c r="A20" s="0" t="n">
        <f aca="false">ROW(A20)-3</f>
        <v>17</v>
      </c>
      <c r="B20" s="0" t="n">
        <v>1</v>
      </c>
      <c r="C20" s="1" t="s">
        <v>144</v>
      </c>
      <c r="D20" s="1" t="s">
        <v>144</v>
      </c>
      <c r="F20" s="0" t="s">
        <v>156</v>
      </c>
      <c r="G20" s="12" t="b">
        <v>0</v>
      </c>
      <c r="H20" s="1" t="s">
        <v>149</v>
      </c>
      <c r="I20" s="1" t="s">
        <v>52</v>
      </c>
      <c r="J20" s="0" t="n">
        <v>735.2</v>
      </c>
      <c r="K20" s="0" t="n">
        <v>1</v>
      </c>
      <c r="L20" s="0" t="n">
        <f aca="false">802.1-J20</f>
        <v>66.9</v>
      </c>
    </row>
    <row r="21" customFormat="false" ht="12.8" hidden="false" customHeight="false" outlineLevel="0" collapsed="false">
      <c r="A21" s="0" t="n">
        <f aca="false">ROW(A21)-3</f>
        <v>18</v>
      </c>
      <c r="B21" s="0" t="n">
        <v>1</v>
      </c>
      <c r="C21" s="1" t="s">
        <v>144</v>
      </c>
      <c r="D21" s="1" t="s">
        <v>146</v>
      </c>
      <c r="F21" s="0" t="s">
        <v>157</v>
      </c>
      <c r="G21" s="12" t="b">
        <v>0</v>
      </c>
      <c r="H21" s="1" t="s">
        <v>149</v>
      </c>
      <c r="I21" s="1" t="s">
        <v>52</v>
      </c>
      <c r="J21" s="0" t="n">
        <v>1597.7</v>
      </c>
      <c r="K21" s="0" t="n">
        <v>1</v>
      </c>
      <c r="L21" s="0" t="n">
        <f aca="false">1743-J21</f>
        <v>145.3</v>
      </c>
    </row>
    <row r="22" customFormat="false" ht="12.8" hidden="false" customHeight="false" outlineLevel="0" collapsed="false">
      <c r="A22" s="0" t="n">
        <f aca="false">ROW(A22)-3</f>
        <v>19</v>
      </c>
      <c r="B22" s="0" t="n">
        <v>2</v>
      </c>
      <c r="C22" s="1" t="s">
        <v>123</v>
      </c>
      <c r="D22" s="1" t="s">
        <v>124</v>
      </c>
      <c r="F22" s="0" t="s">
        <v>158</v>
      </c>
      <c r="G22" s="12" t="b">
        <v>1</v>
      </c>
      <c r="H22" s="1" t="s">
        <v>129</v>
      </c>
      <c r="I22" s="1" t="s">
        <v>52</v>
      </c>
      <c r="J22" s="0" t="n">
        <v>38.9</v>
      </c>
      <c r="K22" s="0" t="n">
        <v>1</v>
      </c>
      <c r="L22" s="0" t="n">
        <f aca="false">42.5-J22</f>
        <v>3.6</v>
      </c>
      <c r="M22" s="1" t="s">
        <v>129</v>
      </c>
      <c r="N22" s="1" t="s">
        <v>52</v>
      </c>
      <c r="O22" s="0" t="n">
        <v>35.3</v>
      </c>
      <c r="P22" s="0" t="n">
        <v>1</v>
      </c>
      <c r="Q22" s="0" t="n">
        <f aca="false">38.6-O22</f>
        <v>3.3</v>
      </c>
      <c r="R22" s="1" t="s">
        <v>129</v>
      </c>
      <c r="S22" s="1" t="s">
        <v>52</v>
      </c>
      <c r="T22" s="0" t="n">
        <v>124.3</v>
      </c>
      <c r="U22" s="0" t="n">
        <v>1</v>
      </c>
      <c r="V22" s="0" t="n">
        <f aca="false">135.6-T22</f>
        <v>11.3</v>
      </c>
    </row>
    <row r="23" customFormat="false" ht="12.8" hidden="false" customHeight="false" outlineLevel="0" collapsed="false">
      <c r="A23" s="0" t="n">
        <f aca="false">ROW(A23)-3</f>
        <v>20</v>
      </c>
      <c r="B23" s="0" t="n">
        <v>2</v>
      </c>
      <c r="C23" s="1" t="s">
        <v>123</v>
      </c>
      <c r="D23" s="1" t="s">
        <v>124</v>
      </c>
      <c r="F23" s="0" t="s">
        <v>159</v>
      </c>
      <c r="G23" s="12" t="b">
        <v>1</v>
      </c>
      <c r="H23" s="1" t="s">
        <v>129</v>
      </c>
      <c r="I23" s="1" t="s">
        <v>52</v>
      </c>
      <c r="J23" s="0" t="n">
        <v>9</v>
      </c>
      <c r="K23" s="0" t="n">
        <v>3</v>
      </c>
      <c r="L23" s="0" t="n">
        <f aca="false">9.8-J23</f>
        <v>0.800000000000001</v>
      </c>
      <c r="M23" s="1" t="s">
        <v>129</v>
      </c>
      <c r="N23" s="1" t="s">
        <v>52</v>
      </c>
      <c r="O23" s="0" t="n">
        <v>9</v>
      </c>
      <c r="P23" s="0" t="n">
        <v>4</v>
      </c>
      <c r="Q23" s="0" t="n">
        <f aca="false">9.8-O23</f>
        <v>0.800000000000001</v>
      </c>
      <c r="R23" s="1" t="s">
        <v>129</v>
      </c>
      <c r="S23" s="1" t="s">
        <v>52</v>
      </c>
      <c r="T23" s="0" t="n">
        <v>9</v>
      </c>
      <c r="U23" s="0" t="n">
        <v>20</v>
      </c>
      <c r="V23" s="0" t="n">
        <f aca="false">9.8-T23</f>
        <v>0.800000000000001</v>
      </c>
    </row>
    <row r="24" customFormat="false" ht="12.8" hidden="false" customHeight="false" outlineLevel="0" collapsed="false">
      <c r="A24" s="0" t="n">
        <f aca="false">ROW(A24)-3</f>
        <v>21</v>
      </c>
      <c r="B24" s="0" t="n">
        <v>2</v>
      </c>
      <c r="C24" s="1" t="s">
        <v>123</v>
      </c>
      <c r="D24" s="1" t="s">
        <v>142</v>
      </c>
      <c r="F24" s="0" t="s">
        <v>160</v>
      </c>
      <c r="G24" s="12" t="b">
        <v>1</v>
      </c>
      <c r="H24" s="1" t="s">
        <v>129</v>
      </c>
      <c r="I24" s="1" t="s">
        <v>52</v>
      </c>
      <c r="J24" s="0" t="n">
        <v>16.4</v>
      </c>
      <c r="K24" s="0" t="n">
        <v>3</v>
      </c>
      <c r="L24" s="0" t="n">
        <f aca="false">17.9-J24</f>
        <v>1.5</v>
      </c>
      <c r="M24" s="1" t="s">
        <v>129</v>
      </c>
      <c r="N24" s="1" t="s">
        <v>52</v>
      </c>
      <c r="O24" s="0" t="n">
        <v>16.4</v>
      </c>
      <c r="P24" s="0" t="n">
        <v>4</v>
      </c>
      <c r="Q24" s="0" t="n">
        <f aca="false">17.9-O24</f>
        <v>1.5</v>
      </c>
      <c r="R24" s="1" t="s">
        <v>129</v>
      </c>
      <c r="S24" s="1" t="s">
        <v>52</v>
      </c>
      <c r="T24" s="0" t="n">
        <v>16.4</v>
      </c>
      <c r="U24" s="0" t="n">
        <v>20</v>
      </c>
      <c r="V24" s="0" t="n">
        <f aca="false">17.9-T24</f>
        <v>1.5</v>
      </c>
    </row>
    <row r="25" customFormat="false" ht="12.8" hidden="false" customHeight="false" outlineLevel="0" collapsed="false">
      <c r="A25" s="0" t="n">
        <f aca="false">ROW(A25)-3</f>
        <v>22</v>
      </c>
      <c r="B25" s="0" t="n">
        <v>2</v>
      </c>
      <c r="C25" s="1" t="s">
        <v>130</v>
      </c>
      <c r="D25" s="1" t="s">
        <v>131</v>
      </c>
      <c r="F25" s="0" t="s">
        <v>161</v>
      </c>
      <c r="G25" s="12" t="b">
        <v>0</v>
      </c>
      <c r="H25" s="1" t="s">
        <v>129</v>
      </c>
      <c r="I25" s="1" t="s">
        <v>52</v>
      </c>
      <c r="J25" s="0" t="n">
        <v>41.2</v>
      </c>
      <c r="K25" s="0" t="n">
        <v>1</v>
      </c>
      <c r="L25" s="0" t="n">
        <f aca="false">45-J25</f>
        <v>3.8</v>
      </c>
    </row>
    <row r="26" customFormat="false" ht="12.8" hidden="false" customHeight="false" outlineLevel="0" collapsed="false">
      <c r="A26" s="0" t="n">
        <f aca="false">ROW(A26)-3</f>
        <v>23</v>
      </c>
      <c r="B26" s="0" t="n">
        <v>2</v>
      </c>
      <c r="C26" s="1" t="s">
        <v>130</v>
      </c>
      <c r="D26" s="1" t="s">
        <v>131</v>
      </c>
      <c r="F26" s="0" t="s">
        <v>162</v>
      </c>
      <c r="G26" s="12" t="b">
        <v>0</v>
      </c>
      <c r="H26" s="1" t="s">
        <v>129</v>
      </c>
      <c r="I26" s="1" t="s">
        <v>52</v>
      </c>
      <c r="J26" s="0" t="n">
        <v>9</v>
      </c>
      <c r="K26" s="0" t="n">
        <v>13</v>
      </c>
      <c r="L26" s="0" t="n">
        <f aca="false">9.8-J26</f>
        <v>0.800000000000001</v>
      </c>
    </row>
    <row r="27" customFormat="false" ht="12.8" hidden="false" customHeight="false" outlineLevel="0" collapsed="false">
      <c r="A27" s="0" t="n">
        <f aca="false">ROW(A27)-3</f>
        <v>24</v>
      </c>
      <c r="B27" s="0" t="n">
        <v>2</v>
      </c>
      <c r="C27" s="1" t="s">
        <v>130</v>
      </c>
      <c r="D27" s="1" t="s">
        <v>131</v>
      </c>
      <c r="F27" s="0" t="s">
        <v>163</v>
      </c>
      <c r="G27" s="12" t="b">
        <v>0</v>
      </c>
      <c r="H27" s="1" t="s">
        <v>129</v>
      </c>
      <c r="I27" s="1" t="s">
        <v>52</v>
      </c>
      <c r="J27" s="0" t="n">
        <v>60</v>
      </c>
      <c r="K27" s="0" t="n">
        <v>1</v>
      </c>
      <c r="L27" s="0" t="n">
        <f aca="false">65.5-J27</f>
        <v>5.5</v>
      </c>
    </row>
    <row r="28" customFormat="false" ht="12.8" hidden="false" customHeight="false" outlineLevel="0" collapsed="false">
      <c r="A28" s="0" t="n">
        <f aca="false">ROW(A28)-3</f>
        <v>25</v>
      </c>
      <c r="B28" s="0" t="n">
        <v>2</v>
      </c>
      <c r="C28" s="1" t="s">
        <v>130</v>
      </c>
      <c r="D28" s="1" t="s">
        <v>133</v>
      </c>
      <c r="F28" s="0" t="s">
        <v>164</v>
      </c>
      <c r="G28" s="12" t="b">
        <v>0</v>
      </c>
      <c r="H28" s="1" t="s">
        <v>129</v>
      </c>
      <c r="I28" s="1" t="s">
        <v>52</v>
      </c>
      <c r="J28" s="0" t="n">
        <v>182.4</v>
      </c>
      <c r="K28" s="0" t="n">
        <v>1</v>
      </c>
      <c r="L28" s="0" t="n">
        <f aca="false">199-J28</f>
        <v>16.6</v>
      </c>
    </row>
    <row r="29" customFormat="false" ht="12.8" hidden="false" customHeight="false" outlineLevel="0" collapsed="false">
      <c r="A29" s="0" t="n">
        <f aca="false">ROW(A29)-3</f>
        <v>26</v>
      </c>
      <c r="B29" s="0" t="n">
        <v>2</v>
      </c>
      <c r="C29" s="1" t="s">
        <v>135</v>
      </c>
      <c r="D29" s="1" t="s">
        <v>136</v>
      </c>
      <c r="F29" s="0" t="s">
        <v>165</v>
      </c>
      <c r="G29" s="12" t="b">
        <v>0</v>
      </c>
      <c r="H29" s="1" t="s">
        <v>129</v>
      </c>
      <c r="I29" s="1" t="s">
        <v>55</v>
      </c>
      <c r="J29" s="0" t="n">
        <v>63.4</v>
      </c>
      <c r="K29" s="0" t="n">
        <v>1</v>
      </c>
      <c r="L29" s="0" t="n">
        <f aca="false">69.2-J29</f>
        <v>5.8</v>
      </c>
    </row>
    <row r="30" customFormat="false" ht="12.8" hidden="false" customHeight="false" outlineLevel="0" collapsed="false">
      <c r="A30" s="0" t="n">
        <f aca="false">ROW(A30)-3</f>
        <v>27</v>
      </c>
      <c r="B30" s="0" t="n">
        <v>2</v>
      </c>
      <c r="C30" s="1" t="s">
        <v>135</v>
      </c>
      <c r="D30" s="1" t="s">
        <v>138</v>
      </c>
      <c r="F30" s="0" t="s">
        <v>166</v>
      </c>
      <c r="G30" s="12" t="b">
        <v>0</v>
      </c>
      <c r="H30" s="1" t="s">
        <v>129</v>
      </c>
      <c r="I30" s="1" t="s">
        <v>55</v>
      </c>
      <c r="J30" s="0" t="n">
        <v>246.7</v>
      </c>
      <c r="K30" s="0" t="n">
        <v>1</v>
      </c>
      <c r="L30" s="0" t="n">
        <f aca="false">258-J30</f>
        <v>11.3</v>
      </c>
    </row>
    <row r="31" customFormat="false" ht="12.8" hidden="false" customHeight="false" outlineLevel="0" collapsed="false">
      <c r="A31" s="0" t="n">
        <f aca="false">ROW(A31)-3</f>
        <v>28</v>
      </c>
      <c r="B31" s="0" t="n">
        <v>2</v>
      </c>
      <c r="C31" s="1" t="s">
        <v>140</v>
      </c>
      <c r="D31" s="1" t="s">
        <v>124</v>
      </c>
      <c r="F31" s="0" t="s">
        <v>167</v>
      </c>
      <c r="G31" s="12" t="b">
        <v>0</v>
      </c>
      <c r="H31" s="1" t="s">
        <v>129</v>
      </c>
      <c r="I31" s="1" t="s">
        <v>55</v>
      </c>
      <c r="J31" s="0" t="n">
        <v>52.6</v>
      </c>
      <c r="K31" s="0" t="n">
        <v>1</v>
      </c>
      <c r="L31" s="0" t="n">
        <f aca="false">57.4-J31</f>
        <v>4.8</v>
      </c>
    </row>
    <row r="32" customFormat="false" ht="12.8" hidden="false" customHeight="false" outlineLevel="0" collapsed="false">
      <c r="A32" s="0" t="n">
        <f aca="false">ROW(A32)-3</f>
        <v>29</v>
      </c>
      <c r="B32" s="0" t="n">
        <v>2</v>
      </c>
      <c r="C32" s="1" t="s">
        <v>140</v>
      </c>
      <c r="D32" s="1" t="s">
        <v>142</v>
      </c>
      <c r="F32" s="0" t="s">
        <v>168</v>
      </c>
      <c r="G32" s="12" t="b">
        <v>0</v>
      </c>
      <c r="H32" s="1" t="s">
        <v>129</v>
      </c>
      <c r="I32" s="1" t="s">
        <v>55</v>
      </c>
      <c r="J32" s="0" t="n">
        <v>215</v>
      </c>
      <c r="K32" s="0" t="n">
        <v>1</v>
      </c>
      <c r="L32" s="0" t="n">
        <f aca="false">234.6-J32</f>
        <v>19.6</v>
      </c>
      <c r="M32" s="1" t="s">
        <v>129</v>
      </c>
      <c r="N32" s="1" t="s">
        <v>55</v>
      </c>
      <c r="O32" s="0" t="n">
        <v>215</v>
      </c>
      <c r="P32" s="0" t="n">
        <v>1</v>
      </c>
      <c r="Q32" s="0" t="n">
        <f aca="false">234.6-O32</f>
        <v>19.6</v>
      </c>
      <c r="R32" s="1" t="s">
        <v>129</v>
      </c>
      <c r="S32" s="1" t="s">
        <v>55</v>
      </c>
      <c r="T32" s="0" t="n">
        <v>387</v>
      </c>
      <c r="U32" s="0" t="n">
        <v>1</v>
      </c>
      <c r="V32" s="0" t="n">
        <f aca="false">422.2-T32</f>
        <v>35.2</v>
      </c>
    </row>
    <row r="33" customFormat="false" ht="12.8" hidden="false" customHeight="false" outlineLevel="0" collapsed="false">
      <c r="A33" s="0" t="n">
        <f aca="false">ROW(A33)-3</f>
        <v>30</v>
      </c>
      <c r="B33" s="0" t="n">
        <v>2</v>
      </c>
      <c r="C33" s="1" t="s">
        <v>144</v>
      </c>
      <c r="D33" s="1" t="s">
        <v>144</v>
      </c>
      <c r="F33" s="0" t="s">
        <v>169</v>
      </c>
      <c r="G33" s="12" t="b">
        <v>0</v>
      </c>
      <c r="H33" s="1" t="s">
        <v>129</v>
      </c>
      <c r="I33" s="1" t="s">
        <v>55</v>
      </c>
      <c r="J33" s="0" t="n">
        <v>209.6</v>
      </c>
      <c r="K33" s="0" t="n">
        <v>1</v>
      </c>
      <c r="L33" s="0" t="n">
        <f aca="false">228.8-J33</f>
        <v>19.2</v>
      </c>
      <c r="M33" s="1" t="s">
        <v>129</v>
      </c>
      <c r="N33" s="1" t="s">
        <v>55</v>
      </c>
      <c r="O33" s="0" t="n">
        <v>283</v>
      </c>
      <c r="P33" s="0" t="n">
        <v>1</v>
      </c>
      <c r="Q33" s="0" t="n">
        <f aca="false">308.8-O33</f>
        <v>25.8</v>
      </c>
    </row>
    <row r="34" customFormat="false" ht="12.8" hidden="false" customHeight="false" outlineLevel="0" collapsed="false">
      <c r="A34" s="0" t="n">
        <f aca="false">ROW(A34)-3</f>
        <v>31</v>
      </c>
      <c r="B34" s="0" t="n">
        <v>2</v>
      </c>
      <c r="C34" s="1" t="s">
        <v>144</v>
      </c>
      <c r="D34" s="1" t="s">
        <v>146</v>
      </c>
      <c r="F34" s="0" t="s">
        <v>170</v>
      </c>
      <c r="G34" s="12" t="b">
        <v>0</v>
      </c>
      <c r="H34" s="1" t="s">
        <v>129</v>
      </c>
      <c r="I34" s="1" t="s">
        <v>55</v>
      </c>
      <c r="J34" s="0" t="n">
        <v>646.8</v>
      </c>
      <c r="K34" s="0" t="n">
        <v>1</v>
      </c>
      <c r="L34" s="0" t="n">
        <f aca="false">705.6-J34</f>
        <v>58.8000000000001</v>
      </c>
      <c r="M34" s="1" t="s">
        <v>129</v>
      </c>
      <c r="N34" s="1" t="s">
        <v>55</v>
      </c>
      <c r="O34" s="0" t="n">
        <v>873.2</v>
      </c>
      <c r="P34" s="0" t="n">
        <v>1</v>
      </c>
      <c r="Q34" s="0" t="n">
        <f aca="false">952.6-O34</f>
        <v>79.4</v>
      </c>
    </row>
    <row r="35" customFormat="false" ht="12.8" hidden="false" customHeight="false" outlineLevel="0" collapsed="false">
      <c r="A35" s="0" t="n">
        <f aca="false">ROW(A35)-3</f>
        <v>32</v>
      </c>
      <c r="B35" s="0" t="n">
        <v>24</v>
      </c>
      <c r="C35" s="1" t="s">
        <v>123</v>
      </c>
      <c r="D35" s="1" t="s">
        <v>124</v>
      </c>
      <c r="F35" s="0" t="s">
        <v>171</v>
      </c>
      <c r="G35" s="12" t="b">
        <v>1</v>
      </c>
      <c r="H35" s="1" t="s">
        <v>126</v>
      </c>
      <c r="I35" s="1" t="s">
        <v>52</v>
      </c>
      <c r="J35" s="0" t="n">
        <f aca="false">0.269*100</f>
        <v>26.9</v>
      </c>
      <c r="K35" s="0" t="n">
        <v>1</v>
      </c>
      <c r="L35" s="0" t="n">
        <v>2.5</v>
      </c>
      <c r="M35" s="1" t="s">
        <v>126</v>
      </c>
      <c r="N35" s="1" t="s">
        <v>52</v>
      </c>
      <c r="O35" s="0" t="n">
        <f aca="false">0.296*100</f>
        <v>29.6</v>
      </c>
      <c r="P35" s="0" t="n">
        <v>1</v>
      </c>
      <c r="Q35" s="0" t="n">
        <v>2.7</v>
      </c>
      <c r="R35" s="1" t="s">
        <v>126</v>
      </c>
      <c r="S35" s="1" t="s">
        <v>67</v>
      </c>
      <c r="T35" s="0" t="n">
        <v>62.8</v>
      </c>
      <c r="U35" s="0" t="n">
        <v>1</v>
      </c>
      <c r="V35" s="0" t="n">
        <v>5.8</v>
      </c>
      <c r="W35" s="1" t="s">
        <v>126</v>
      </c>
      <c r="X35" s="1" t="s">
        <v>67</v>
      </c>
      <c r="Y35" s="0" t="n">
        <v>96.5</v>
      </c>
      <c r="Z35" s="0" t="n">
        <v>1</v>
      </c>
      <c r="AA35" s="0" t="n">
        <v>8.8</v>
      </c>
      <c r="AB35" s="1" t="s">
        <v>126</v>
      </c>
      <c r="AC35" s="1" t="s">
        <v>67</v>
      </c>
      <c r="AD35" s="0" t="n">
        <v>129</v>
      </c>
      <c r="AE35" s="0" t="n">
        <v>1</v>
      </c>
      <c r="AF35" s="0" t="n">
        <v>11.8</v>
      </c>
    </row>
    <row r="36" customFormat="false" ht="12.8" hidden="false" customHeight="false" outlineLevel="0" collapsed="false">
      <c r="A36" s="0" t="n">
        <f aca="false">ROW(A36)-3</f>
        <v>33</v>
      </c>
      <c r="B36" s="0" t="n">
        <v>24</v>
      </c>
      <c r="C36" s="1" t="s">
        <v>123</v>
      </c>
      <c r="D36" s="1" t="s">
        <v>172</v>
      </c>
      <c r="F36" s="0" t="s">
        <v>173</v>
      </c>
      <c r="G36" s="12" t="b">
        <v>0</v>
      </c>
      <c r="H36" s="1" t="s">
        <v>126</v>
      </c>
      <c r="I36" s="1" t="s">
        <v>67</v>
      </c>
      <c r="J36" s="0" t="n">
        <v>454.7</v>
      </c>
      <c r="K36" s="0" t="n">
        <v>1</v>
      </c>
      <c r="L36" s="0" t="n">
        <v>41.4</v>
      </c>
      <c r="M36" s="1" t="s">
        <v>126</v>
      </c>
      <c r="N36" s="1" t="s">
        <v>67</v>
      </c>
      <c r="O36" s="0" t="n">
        <v>858.1</v>
      </c>
      <c r="P36" s="0" t="n">
        <v>1</v>
      </c>
      <c r="Q36" s="0" t="n">
        <v>78.1</v>
      </c>
      <c r="R36" s="1" t="s">
        <v>126</v>
      </c>
      <c r="S36" s="1" t="s">
        <v>67</v>
      </c>
      <c r="T36" s="0" t="n">
        <v>2141.1</v>
      </c>
      <c r="U36" s="0" t="n">
        <v>1</v>
      </c>
      <c r="V36" s="0" t="n">
        <f aca="false">2335.8-T36</f>
        <v>194.7</v>
      </c>
    </row>
    <row r="37" customFormat="false" ht="12.8" hidden="false" customHeight="false" outlineLevel="0" collapsed="false">
      <c r="A37" s="0" t="n">
        <f aca="false">ROW(A37)-3</f>
        <v>34</v>
      </c>
      <c r="B37" s="0" t="n">
        <v>24</v>
      </c>
      <c r="C37" s="1" t="s">
        <v>130</v>
      </c>
      <c r="D37" s="1" t="s">
        <v>131</v>
      </c>
      <c r="F37" s="0" t="s">
        <v>174</v>
      </c>
      <c r="G37" s="12" t="b">
        <v>0</v>
      </c>
      <c r="H37" s="1" t="s">
        <v>126</v>
      </c>
      <c r="I37" s="1" t="s">
        <v>52</v>
      </c>
      <c r="J37" s="0" t="n">
        <v>25.8</v>
      </c>
      <c r="K37" s="0" t="n">
        <v>1</v>
      </c>
      <c r="L37" s="0" t="n">
        <f aca="false">28.2-J37</f>
        <v>2.4</v>
      </c>
    </row>
    <row r="38" customFormat="false" ht="12.8" hidden="false" customHeight="false" outlineLevel="0" collapsed="false">
      <c r="A38" s="0" t="n">
        <f aca="false">ROW(A38)-3</f>
        <v>35</v>
      </c>
      <c r="B38" s="0" t="n">
        <v>24</v>
      </c>
      <c r="C38" s="1" t="s">
        <v>130</v>
      </c>
      <c r="D38" s="1" t="s">
        <v>133</v>
      </c>
      <c r="F38" s="0" t="s">
        <v>175</v>
      </c>
      <c r="G38" s="12" t="b">
        <v>0</v>
      </c>
      <c r="H38" s="1" t="s">
        <v>126</v>
      </c>
      <c r="I38" s="1" t="s">
        <v>67</v>
      </c>
      <c r="J38" s="0" t="n">
        <v>245.9</v>
      </c>
      <c r="K38" s="0" t="n">
        <v>1</v>
      </c>
      <c r="L38" s="0" t="n">
        <f aca="false">268.3-J38</f>
        <v>22.4</v>
      </c>
    </row>
    <row r="39" customFormat="false" ht="12.8" hidden="false" customHeight="false" outlineLevel="0" collapsed="false">
      <c r="A39" s="0" t="n">
        <f aca="false">ROW(A39)-3</f>
        <v>36</v>
      </c>
      <c r="B39" s="0" t="n">
        <v>24</v>
      </c>
      <c r="C39" s="1" t="s">
        <v>135</v>
      </c>
      <c r="D39" s="1" t="s">
        <v>136</v>
      </c>
      <c r="F39" s="0" t="s">
        <v>176</v>
      </c>
      <c r="G39" s="12" t="b">
        <v>0</v>
      </c>
      <c r="H39" s="1" t="s">
        <v>126</v>
      </c>
      <c r="I39" s="1" t="s">
        <v>67</v>
      </c>
      <c r="J39" s="0" t="n">
        <v>104.5</v>
      </c>
      <c r="K39" s="0" t="n">
        <v>1</v>
      </c>
      <c r="L39" s="0" t="n">
        <f aca="false">114-J39</f>
        <v>9.5</v>
      </c>
    </row>
    <row r="40" customFormat="false" ht="12.8" hidden="false" customHeight="false" outlineLevel="0" collapsed="false">
      <c r="A40" s="0" t="n">
        <f aca="false">ROW(A40)-3</f>
        <v>37</v>
      </c>
      <c r="B40" s="0" t="n">
        <v>24</v>
      </c>
      <c r="C40" s="1" t="s">
        <v>135</v>
      </c>
      <c r="D40" s="1" t="s">
        <v>138</v>
      </c>
      <c r="F40" s="0" t="s">
        <v>177</v>
      </c>
      <c r="G40" s="12" t="b">
        <v>0</v>
      </c>
      <c r="H40" s="1" t="s">
        <v>126</v>
      </c>
      <c r="I40" s="1" t="s">
        <v>67</v>
      </c>
      <c r="J40" s="0" t="n">
        <v>337.8</v>
      </c>
      <c r="K40" s="0" t="n">
        <v>1</v>
      </c>
      <c r="L40" s="0" t="n">
        <f aca="false">368.6-J40</f>
        <v>30.8</v>
      </c>
    </row>
    <row r="41" customFormat="false" ht="12.8" hidden="false" customHeight="false" outlineLevel="0" collapsed="false">
      <c r="A41" s="0" t="n">
        <f aca="false">ROW(A41)-3</f>
        <v>38</v>
      </c>
      <c r="B41" s="0" t="n">
        <v>24</v>
      </c>
      <c r="C41" s="1" t="s">
        <v>140</v>
      </c>
      <c r="D41" s="1" t="s">
        <v>124</v>
      </c>
      <c r="F41" s="0" t="s">
        <v>178</v>
      </c>
      <c r="G41" s="12" t="b">
        <v>0</v>
      </c>
      <c r="H41" s="1" t="s">
        <v>126</v>
      </c>
      <c r="I41" s="1" t="s">
        <v>67</v>
      </c>
      <c r="J41" s="0" t="n">
        <v>35.8</v>
      </c>
      <c r="K41" s="0" t="n">
        <v>1</v>
      </c>
      <c r="L41" s="0" t="n">
        <f aca="false">39.1-J41</f>
        <v>3.3</v>
      </c>
    </row>
    <row r="42" customFormat="false" ht="12.8" hidden="false" customHeight="false" outlineLevel="0" collapsed="false">
      <c r="A42" s="0" t="n">
        <f aca="false">ROW(A42)-3</f>
        <v>39</v>
      </c>
      <c r="B42" s="0" t="n">
        <v>24</v>
      </c>
      <c r="C42" s="1" t="s">
        <v>140</v>
      </c>
      <c r="D42" s="1" t="s">
        <v>142</v>
      </c>
      <c r="F42" s="0" t="s">
        <v>179</v>
      </c>
      <c r="G42" s="12" t="b">
        <v>1</v>
      </c>
      <c r="H42" s="1" t="s">
        <v>126</v>
      </c>
      <c r="I42" s="1" t="s">
        <v>67</v>
      </c>
      <c r="J42" s="0" t="n">
        <v>393.4</v>
      </c>
      <c r="K42" s="0" t="n">
        <v>1</v>
      </c>
      <c r="L42" s="0" t="n">
        <f aca="false">429.3-J42</f>
        <v>35.9</v>
      </c>
      <c r="M42" s="1" t="s">
        <v>126</v>
      </c>
      <c r="N42" s="1" t="s">
        <v>67</v>
      </c>
      <c r="O42" s="0" t="n">
        <v>483.2</v>
      </c>
      <c r="P42" s="0" t="n">
        <v>1</v>
      </c>
      <c r="Q42" s="0" t="n">
        <f aca="false">527.2-O42</f>
        <v>44.0000000000001</v>
      </c>
    </row>
    <row r="43" customFormat="false" ht="12.8" hidden="false" customHeight="false" outlineLevel="0" collapsed="false">
      <c r="A43" s="0" t="n">
        <f aca="false">ROW(A43)-3</f>
        <v>40</v>
      </c>
      <c r="B43" s="0" t="n">
        <v>24</v>
      </c>
      <c r="C43" s="1" t="s">
        <v>144</v>
      </c>
      <c r="D43" s="1" t="s">
        <v>144</v>
      </c>
      <c r="F43" s="0" t="s">
        <v>180</v>
      </c>
      <c r="G43" s="12" t="b">
        <v>0</v>
      </c>
      <c r="H43" s="1" t="s">
        <v>126</v>
      </c>
      <c r="I43" s="1" t="s">
        <v>67</v>
      </c>
      <c r="J43" s="0" t="n">
        <v>628</v>
      </c>
      <c r="K43" s="0" t="n">
        <v>1</v>
      </c>
      <c r="L43" s="0" t="n">
        <f aca="false">685.3-628</f>
        <v>57.3</v>
      </c>
    </row>
    <row r="44" customFormat="false" ht="12.8" hidden="false" customHeight="false" outlineLevel="0" collapsed="false">
      <c r="A44" s="0" t="n">
        <f aca="false">ROW(A44)-3</f>
        <v>41</v>
      </c>
      <c r="B44" s="0" t="n">
        <v>24</v>
      </c>
      <c r="C44" s="1" t="s">
        <v>144</v>
      </c>
      <c r="D44" s="1" t="s">
        <v>146</v>
      </c>
      <c r="F44" s="0" t="s">
        <v>181</v>
      </c>
      <c r="G44" s="12" t="b">
        <v>0</v>
      </c>
      <c r="H44" s="1" t="s">
        <v>126</v>
      </c>
      <c r="I44" s="1" t="s">
        <v>67</v>
      </c>
      <c r="J44" s="0" t="n">
        <v>2388</v>
      </c>
      <c r="K44" s="0" t="n">
        <v>1</v>
      </c>
      <c r="L44" s="0" t="n">
        <f aca="false">2605.1-J44</f>
        <v>217.1</v>
      </c>
    </row>
    <row r="45" customFormat="false" ht="12.8" hidden="false" customHeight="false" outlineLevel="0" collapsed="false">
      <c r="A45" s="0" t="n">
        <f aca="false">ROW(A45)-3</f>
        <v>42</v>
      </c>
      <c r="B45" s="0" t="n">
        <v>3</v>
      </c>
      <c r="C45" s="1" t="s">
        <v>123</v>
      </c>
      <c r="D45" s="1" t="s">
        <v>124</v>
      </c>
      <c r="F45" s="0" t="s">
        <v>182</v>
      </c>
      <c r="G45" s="12" t="b">
        <v>1</v>
      </c>
      <c r="H45" s="1" t="s">
        <v>126</v>
      </c>
      <c r="I45" s="1" t="s">
        <v>52</v>
      </c>
      <c r="J45" s="0" t="n">
        <v>55.2</v>
      </c>
      <c r="K45" s="0" t="n">
        <v>1</v>
      </c>
      <c r="L45" s="0" t="n">
        <f aca="false">60.3-J45</f>
        <v>5.09999999999999</v>
      </c>
      <c r="M45" s="1" t="s">
        <v>126</v>
      </c>
      <c r="N45" s="1" t="s">
        <v>52</v>
      </c>
      <c r="O45" s="0" t="n">
        <v>62.6</v>
      </c>
      <c r="P45" s="0" t="n">
        <v>1</v>
      </c>
      <c r="Q45" s="0" t="n">
        <f aca="false">68.3-O45</f>
        <v>5.7</v>
      </c>
      <c r="R45" s="1" t="s">
        <v>126</v>
      </c>
      <c r="S45" s="1" t="s">
        <v>52</v>
      </c>
      <c r="T45" s="0" t="n">
        <v>72.7</v>
      </c>
      <c r="U45" s="0" t="n">
        <v>1</v>
      </c>
      <c r="V45" s="0" t="n">
        <f aca="false">79.4-T45</f>
        <v>6.7</v>
      </c>
      <c r="W45" s="1" t="s">
        <v>126</v>
      </c>
      <c r="X45" s="1" t="s">
        <v>52</v>
      </c>
      <c r="Y45" s="0" t="n">
        <v>170.2</v>
      </c>
      <c r="Z45" s="0" t="n">
        <v>1</v>
      </c>
      <c r="AA45" s="0" t="n">
        <f aca="false">185.7-Y45</f>
        <v>15.5</v>
      </c>
      <c r="AB45" s="1" t="s">
        <v>126</v>
      </c>
      <c r="AC45" s="1" t="s">
        <v>52</v>
      </c>
      <c r="AD45" s="0" t="n">
        <v>123.6</v>
      </c>
      <c r="AE45" s="0" t="n">
        <v>1</v>
      </c>
      <c r="AF45" s="0" t="n">
        <f aca="false">134.9-AD45</f>
        <v>11.3</v>
      </c>
    </row>
    <row r="46" customFormat="false" ht="12.8" hidden="false" customHeight="false" outlineLevel="0" collapsed="false">
      <c r="A46" s="0" t="n">
        <f aca="false">ROW(A46)-3</f>
        <v>43</v>
      </c>
      <c r="B46" s="0" t="n">
        <v>3</v>
      </c>
      <c r="C46" s="1" t="s">
        <v>123</v>
      </c>
      <c r="D46" s="1" t="s">
        <v>127</v>
      </c>
      <c r="F46" s="0" t="s">
        <v>183</v>
      </c>
      <c r="G46" s="12" t="b">
        <v>1</v>
      </c>
      <c r="H46" s="1" t="s">
        <v>126</v>
      </c>
      <c r="I46" s="1" t="s">
        <v>52</v>
      </c>
      <c r="J46" s="0" t="n">
        <v>71.8</v>
      </c>
      <c r="K46" s="0" t="n">
        <v>1</v>
      </c>
      <c r="L46" s="0" t="n">
        <f aca="false">78.4-J46</f>
        <v>6.60000000000001</v>
      </c>
    </row>
    <row r="47" customFormat="false" ht="12.8" hidden="false" customHeight="false" outlineLevel="0" collapsed="false">
      <c r="A47" s="0" t="n">
        <f aca="false">ROW(A47)-3</f>
        <v>44</v>
      </c>
      <c r="B47" s="0" t="n">
        <v>3</v>
      </c>
      <c r="C47" s="1" t="s">
        <v>130</v>
      </c>
      <c r="D47" s="1" t="s">
        <v>131</v>
      </c>
      <c r="F47" s="0" t="s">
        <v>184</v>
      </c>
      <c r="G47" s="12" t="b">
        <v>0</v>
      </c>
      <c r="H47" s="1" t="s">
        <v>126</v>
      </c>
      <c r="I47" s="1" t="s">
        <v>52</v>
      </c>
      <c r="J47" s="0" t="n">
        <v>35.1</v>
      </c>
      <c r="K47" s="0" t="n">
        <v>1</v>
      </c>
      <c r="L47" s="0" t="n">
        <f aca="false">38.3-J47</f>
        <v>3.2</v>
      </c>
    </row>
    <row r="48" customFormat="false" ht="12.8" hidden="false" customHeight="false" outlineLevel="0" collapsed="false">
      <c r="A48" s="0" t="n">
        <f aca="false">ROW(A48)-3</f>
        <v>45</v>
      </c>
      <c r="B48" s="0" t="n">
        <v>3</v>
      </c>
      <c r="C48" s="1" t="s">
        <v>130</v>
      </c>
      <c r="D48" s="1" t="s">
        <v>133</v>
      </c>
      <c r="F48" s="0" t="s">
        <v>185</v>
      </c>
      <c r="G48" s="12" t="b">
        <v>0</v>
      </c>
      <c r="H48" s="1" t="s">
        <v>126</v>
      </c>
      <c r="I48" s="1" t="s">
        <v>52</v>
      </c>
      <c r="J48" s="0" t="n">
        <v>227.9</v>
      </c>
      <c r="K48" s="0" t="n">
        <v>1</v>
      </c>
      <c r="L48" s="0" t="n">
        <f aca="false">248.7-J48</f>
        <v>20.8</v>
      </c>
    </row>
    <row r="49" customFormat="false" ht="12.8" hidden="false" customHeight="false" outlineLevel="0" collapsed="false">
      <c r="A49" s="0" t="n">
        <f aca="false">ROW(A49)-3</f>
        <v>46</v>
      </c>
      <c r="B49" s="0" t="n">
        <v>3</v>
      </c>
      <c r="C49" s="1" t="s">
        <v>135</v>
      </c>
      <c r="D49" s="1" t="s">
        <v>136</v>
      </c>
      <c r="F49" s="0" t="s">
        <v>186</v>
      </c>
      <c r="G49" s="12" t="b">
        <v>0</v>
      </c>
      <c r="H49" s="1" t="s">
        <v>126</v>
      </c>
      <c r="I49" s="1" t="s">
        <v>52</v>
      </c>
      <c r="J49" s="0" t="n">
        <v>94.5</v>
      </c>
      <c r="K49" s="0" t="n">
        <v>1</v>
      </c>
      <c r="L49" s="0" t="n">
        <f aca="false">103.1-J49</f>
        <v>8.59999999999999</v>
      </c>
    </row>
    <row r="50" customFormat="false" ht="12.8" hidden="false" customHeight="false" outlineLevel="0" collapsed="false">
      <c r="A50" s="0" t="n">
        <f aca="false">ROW(A50)-3</f>
        <v>47</v>
      </c>
      <c r="B50" s="0" t="n">
        <v>3</v>
      </c>
      <c r="C50" s="1" t="s">
        <v>135</v>
      </c>
      <c r="D50" s="1" t="s">
        <v>138</v>
      </c>
      <c r="F50" s="0" t="s">
        <v>187</v>
      </c>
      <c r="G50" s="12" t="b">
        <v>0</v>
      </c>
      <c r="H50" s="1" t="s">
        <v>126</v>
      </c>
      <c r="I50" s="1" t="s">
        <v>52</v>
      </c>
      <c r="J50" s="0" t="n">
        <v>300.4</v>
      </c>
      <c r="K50" s="0" t="n">
        <v>1</v>
      </c>
      <c r="L50" s="0" t="n">
        <f aca="false">327.8-J50</f>
        <v>27.4</v>
      </c>
    </row>
    <row r="51" customFormat="false" ht="12.8" hidden="false" customHeight="false" outlineLevel="0" collapsed="false">
      <c r="A51" s="0" t="n">
        <f aca="false">ROW(A51)-3</f>
        <v>48</v>
      </c>
      <c r="B51" s="0" t="n">
        <v>3</v>
      </c>
      <c r="C51" s="1" t="s">
        <v>140</v>
      </c>
      <c r="D51" s="1" t="s">
        <v>124</v>
      </c>
      <c r="F51" s="0" t="s">
        <v>188</v>
      </c>
      <c r="G51" s="12" t="b">
        <v>0</v>
      </c>
      <c r="H51" s="1" t="s">
        <v>129</v>
      </c>
      <c r="I51" s="1" t="s">
        <v>52</v>
      </c>
      <c r="J51" s="0" t="n">
        <v>47.3</v>
      </c>
      <c r="K51" s="0" t="n">
        <v>1</v>
      </c>
      <c r="L51" s="0" t="n">
        <f aca="false">51.6-J51</f>
        <v>4.3</v>
      </c>
    </row>
    <row r="52" customFormat="false" ht="12.8" hidden="false" customHeight="false" outlineLevel="0" collapsed="false">
      <c r="A52" s="0" t="n">
        <f aca="false">ROW(A52)-3</f>
        <v>49</v>
      </c>
      <c r="B52" s="0" t="n">
        <v>3</v>
      </c>
      <c r="C52" s="1" t="s">
        <v>140</v>
      </c>
      <c r="D52" s="1" t="s">
        <v>142</v>
      </c>
      <c r="F52" s="0" t="s">
        <v>189</v>
      </c>
      <c r="G52" s="12" t="b">
        <v>0</v>
      </c>
      <c r="H52" s="1" t="s">
        <v>126</v>
      </c>
      <c r="I52" s="1" t="s">
        <v>52</v>
      </c>
      <c r="J52" s="0" t="n">
        <v>539.7</v>
      </c>
      <c r="K52" s="0" t="n">
        <v>1</v>
      </c>
      <c r="L52" s="0" t="n">
        <f aca="false">588.8-J52</f>
        <v>49.0999999999999</v>
      </c>
    </row>
    <row r="53" customFormat="false" ht="12.8" hidden="false" customHeight="false" outlineLevel="0" collapsed="false">
      <c r="A53" s="0" t="n">
        <f aca="false">ROW(A53)-3</f>
        <v>50</v>
      </c>
      <c r="B53" s="0" t="n">
        <v>3</v>
      </c>
      <c r="C53" s="1" t="s">
        <v>144</v>
      </c>
      <c r="D53" s="1" t="s">
        <v>144</v>
      </c>
      <c r="F53" s="0" t="s">
        <v>190</v>
      </c>
      <c r="G53" s="12" t="b">
        <v>0</v>
      </c>
      <c r="H53" s="1" t="s">
        <v>126</v>
      </c>
      <c r="I53" s="1" t="s">
        <v>52</v>
      </c>
      <c r="J53" s="0" t="n">
        <v>536.2</v>
      </c>
      <c r="K53" s="0" t="n">
        <v>1</v>
      </c>
      <c r="L53" s="0" t="n">
        <f aca="false">585-J53</f>
        <v>48.8</v>
      </c>
    </row>
    <row r="54" customFormat="false" ht="12.8" hidden="false" customHeight="false" outlineLevel="0" collapsed="false">
      <c r="A54" s="0" t="n">
        <f aca="false">ROW(A54)-3</f>
        <v>51</v>
      </c>
      <c r="B54" s="0" t="n">
        <v>3</v>
      </c>
      <c r="C54" s="1" t="s">
        <v>144</v>
      </c>
      <c r="D54" s="1" t="s">
        <v>146</v>
      </c>
      <c r="F54" s="0" t="s">
        <v>191</v>
      </c>
      <c r="G54" s="12" t="b">
        <v>0</v>
      </c>
      <c r="H54" s="1" t="s">
        <v>126</v>
      </c>
      <c r="I54" s="1" t="s">
        <v>52</v>
      </c>
      <c r="J54" s="0" t="n">
        <v>1571.1</v>
      </c>
      <c r="K54" s="0" t="n">
        <v>1</v>
      </c>
      <c r="L54" s="0" t="n">
        <f aca="false">1714-J54</f>
        <v>142.9</v>
      </c>
    </row>
    <row r="55" customFormat="false" ht="12.8" hidden="false" customHeight="false" outlineLevel="0" collapsed="false">
      <c r="A55" s="0" t="n">
        <f aca="false">ROW(A55)-3</f>
        <v>52</v>
      </c>
      <c r="B55" s="0" t="n">
        <v>4</v>
      </c>
      <c r="C55" s="1" t="s">
        <v>123</v>
      </c>
      <c r="D55" s="1" t="s">
        <v>124</v>
      </c>
      <c r="F55" s="0" t="s">
        <v>192</v>
      </c>
      <c r="G55" s="12" t="b">
        <v>1</v>
      </c>
      <c r="H55" s="1" t="s">
        <v>126</v>
      </c>
      <c r="I55" s="1" t="s">
        <v>52</v>
      </c>
      <c r="J55" s="0" t="n">
        <v>34.4</v>
      </c>
      <c r="K55" s="0" t="n">
        <v>1</v>
      </c>
      <c r="L55" s="0" t="n">
        <f aca="false">37.6-J55</f>
        <v>3.2</v>
      </c>
      <c r="M55" s="1" t="s">
        <v>126</v>
      </c>
      <c r="N55" s="1" t="s">
        <v>52</v>
      </c>
      <c r="O55" s="0" t="n">
        <v>41.2</v>
      </c>
      <c r="P55" s="0" t="n">
        <v>1</v>
      </c>
      <c r="Q55" s="0" t="n">
        <f aca="false">45-O55</f>
        <v>3.8</v>
      </c>
      <c r="R55" s="1" t="s">
        <v>126</v>
      </c>
      <c r="S55" s="1" t="s">
        <v>52</v>
      </c>
      <c r="T55" s="0" t="n">
        <v>102.8</v>
      </c>
      <c r="U55" s="0" t="n">
        <v>1</v>
      </c>
      <c r="V55" s="0" t="n">
        <f aca="false">112.2-T55</f>
        <v>9.40000000000001</v>
      </c>
      <c r="W55" s="1" t="s">
        <v>126</v>
      </c>
      <c r="X55" s="1" t="s">
        <v>52</v>
      </c>
      <c r="Y55" s="0" t="n">
        <v>213.4</v>
      </c>
      <c r="Z55" s="0" t="n">
        <v>1</v>
      </c>
      <c r="AA55" s="0" t="n">
        <f aca="false">232.8-Y55</f>
        <v>19.4</v>
      </c>
    </row>
    <row r="56" customFormat="false" ht="12.8" hidden="false" customHeight="false" outlineLevel="0" collapsed="false">
      <c r="A56" s="0" t="n">
        <f aca="false">ROW(A56)-3</f>
        <v>53</v>
      </c>
      <c r="B56" s="0" t="n">
        <v>4</v>
      </c>
      <c r="C56" s="1" t="s">
        <v>123</v>
      </c>
      <c r="D56" s="1" t="s">
        <v>142</v>
      </c>
      <c r="F56" s="0" t="s">
        <v>193</v>
      </c>
      <c r="G56" s="12" t="b">
        <v>1</v>
      </c>
      <c r="H56" s="1" t="s">
        <v>126</v>
      </c>
      <c r="I56" s="1" t="s">
        <v>59</v>
      </c>
      <c r="J56" s="0" t="n">
        <v>55.1</v>
      </c>
      <c r="K56" s="0" t="n">
        <v>1</v>
      </c>
      <c r="L56" s="0" t="n">
        <f aca="false">60.2-J56</f>
        <v>5.1</v>
      </c>
      <c r="M56" s="1" t="s">
        <v>126</v>
      </c>
      <c r="N56" s="1" t="s">
        <v>59</v>
      </c>
      <c r="O56" s="0" t="n">
        <v>57.2</v>
      </c>
      <c r="P56" s="0" t="n">
        <v>1</v>
      </c>
      <c r="Q56" s="0" t="n">
        <f aca="false">62.4-O56</f>
        <v>5.2</v>
      </c>
      <c r="R56" s="1" t="s">
        <v>126</v>
      </c>
      <c r="S56" s="1" t="s">
        <v>59</v>
      </c>
      <c r="T56" s="0" t="n">
        <v>132</v>
      </c>
      <c r="U56" s="0" t="n">
        <v>1</v>
      </c>
      <c r="V56" s="0" t="n">
        <f aca="false">144-T56</f>
        <v>12</v>
      </c>
      <c r="W56" s="1" t="s">
        <v>126</v>
      </c>
      <c r="X56" s="1" t="s">
        <v>59</v>
      </c>
      <c r="Y56" s="0" t="n">
        <v>340.7</v>
      </c>
      <c r="Z56" s="0" t="n">
        <v>1</v>
      </c>
      <c r="AA56" s="0" t="n">
        <f aca="false">371.7-Y56</f>
        <v>31</v>
      </c>
    </row>
    <row r="57" customFormat="false" ht="12.8" hidden="false" customHeight="false" outlineLevel="0" collapsed="false">
      <c r="A57" s="0" t="n">
        <f aca="false">ROW(A57)-3</f>
        <v>54</v>
      </c>
      <c r="B57" s="0" t="n">
        <v>4</v>
      </c>
      <c r="C57" s="1" t="s">
        <v>130</v>
      </c>
      <c r="D57" s="1" t="s">
        <v>131</v>
      </c>
      <c r="F57" s="0" t="s">
        <v>194</v>
      </c>
      <c r="G57" s="12" t="b">
        <v>0</v>
      </c>
      <c r="H57" s="1" t="s">
        <v>126</v>
      </c>
      <c r="I57" s="1" t="s">
        <v>52</v>
      </c>
      <c r="J57" s="0" t="n">
        <v>68.3</v>
      </c>
      <c r="K57" s="0" t="n">
        <v>1</v>
      </c>
      <c r="L57" s="0" t="n">
        <f aca="false">74.6-J57</f>
        <v>6.3</v>
      </c>
    </row>
    <row r="58" customFormat="false" ht="12.8" hidden="false" customHeight="false" outlineLevel="0" collapsed="false">
      <c r="A58" s="0" t="n">
        <f aca="false">ROW(A58)-3</f>
        <v>55</v>
      </c>
      <c r="B58" s="0" t="n">
        <v>4</v>
      </c>
      <c r="C58" s="1" t="s">
        <v>130</v>
      </c>
      <c r="D58" s="1" t="s">
        <v>142</v>
      </c>
      <c r="F58" s="0" t="s">
        <v>193</v>
      </c>
      <c r="G58" s="12" t="b">
        <v>0</v>
      </c>
      <c r="H58" s="1" t="s">
        <v>126</v>
      </c>
      <c r="I58" s="1" t="s">
        <v>59</v>
      </c>
      <c r="J58" s="0" t="n">
        <v>78.8</v>
      </c>
      <c r="K58" s="0" t="n">
        <v>1</v>
      </c>
      <c r="L58" s="0" t="n">
        <f aca="false">86-J58</f>
        <v>7.2</v>
      </c>
    </row>
    <row r="59" customFormat="false" ht="12.8" hidden="false" customHeight="false" outlineLevel="0" collapsed="false">
      <c r="A59" s="0" t="n">
        <f aca="false">ROW(A59)-3</f>
        <v>56</v>
      </c>
      <c r="B59" s="0" t="n">
        <v>4</v>
      </c>
      <c r="C59" s="1" t="s">
        <v>130</v>
      </c>
      <c r="D59" s="1" t="s">
        <v>133</v>
      </c>
      <c r="F59" s="0" t="s">
        <v>195</v>
      </c>
      <c r="G59" s="12" t="b">
        <v>0</v>
      </c>
      <c r="H59" s="1" t="s">
        <v>126</v>
      </c>
      <c r="I59" s="1" t="s">
        <v>59</v>
      </c>
      <c r="J59" s="0" t="n">
        <v>262</v>
      </c>
      <c r="K59" s="0" t="n">
        <v>1</v>
      </c>
      <c r="L59" s="0" t="n">
        <f aca="false">285.9-J59</f>
        <v>23.9</v>
      </c>
    </row>
    <row r="60" customFormat="false" ht="12.8" hidden="false" customHeight="false" outlineLevel="0" collapsed="false">
      <c r="A60" s="0" t="n">
        <f aca="false">ROW(A60)-3</f>
        <v>57</v>
      </c>
      <c r="B60" s="0" t="n">
        <v>4</v>
      </c>
      <c r="C60" s="1" t="s">
        <v>135</v>
      </c>
      <c r="D60" s="1" t="s">
        <v>136</v>
      </c>
      <c r="F60" s="0" t="s">
        <v>196</v>
      </c>
      <c r="G60" s="12" t="b">
        <v>0</v>
      </c>
      <c r="H60" s="1" t="s">
        <v>126</v>
      </c>
      <c r="I60" s="1" t="s">
        <v>59</v>
      </c>
      <c r="J60" s="0" t="n">
        <v>120.8</v>
      </c>
      <c r="K60" s="0" t="n">
        <v>1</v>
      </c>
      <c r="L60" s="0" t="n">
        <f aca="false">131.8-J60</f>
        <v>11</v>
      </c>
    </row>
    <row r="61" customFormat="false" ht="12.8" hidden="false" customHeight="false" outlineLevel="0" collapsed="false">
      <c r="A61" s="0" t="n">
        <f aca="false">ROW(A61)-3</f>
        <v>58</v>
      </c>
      <c r="B61" s="0" t="n">
        <v>4</v>
      </c>
      <c r="C61" s="1" t="s">
        <v>135</v>
      </c>
      <c r="D61" s="1" t="s">
        <v>138</v>
      </c>
      <c r="F61" s="0" t="s">
        <v>197</v>
      </c>
      <c r="G61" s="12" t="b">
        <v>0</v>
      </c>
      <c r="H61" s="1" t="s">
        <v>126</v>
      </c>
      <c r="I61" s="1" t="s">
        <v>59</v>
      </c>
      <c r="J61" s="0" t="n">
        <v>383.7</v>
      </c>
      <c r="K61" s="0" t="n">
        <v>1</v>
      </c>
      <c r="L61" s="0" t="n">
        <f aca="false">418.6-J61</f>
        <v>34.9</v>
      </c>
    </row>
    <row r="62" customFormat="false" ht="12.8" hidden="false" customHeight="false" outlineLevel="0" collapsed="false">
      <c r="A62" s="0" t="n">
        <f aca="false">ROW(A62)-3</f>
        <v>59</v>
      </c>
      <c r="B62" s="0" t="n">
        <v>4</v>
      </c>
      <c r="C62" s="1" t="s">
        <v>140</v>
      </c>
      <c r="D62" s="1" t="s">
        <v>124</v>
      </c>
      <c r="F62" s="0" t="s">
        <v>198</v>
      </c>
      <c r="G62" s="12" t="b">
        <v>0</v>
      </c>
      <c r="H62" s="1" t="s">
        <v>126</v>
      </c>
      <c r="I62" s="1" t="s">
        <v>59</v>
      </c>
      <c r="J62" s="0" t="n">
        <v>52.6</v>
      </c>
      <c r="K62" s="0" t="n">
        <v>1</v>
      </c>
      <c r="L62" s="0" t="n">
        <f aca="false">57.4-J62</f>
        <v>4.8</v>
      </c>
    </row>
    <row r="63" customFormat="false" ht="12.8" hidden="false" customHeight="false" outlineLevel="0" collapsed="false">
      <c r="A63" s="0" t="n">
        <f aca="false">ROW(A63)-3</f>
        <v>60</v>
      </c>
      <c r="B63" s="0" t="n">
        <v>4</v>
      </c>
      <c r="C63" s="1" t="s">
        <v>140</v>
      </c>
      <c r="D63" s="1" t="s">
        <v>142</v>
      </c>
      <c r="F63" s="0" t="s">
        <v>199</v>
      </c>
      <c r="G63" s="12" t="b">
        <v>0</v>
      </c>
      <c r="H63" s="1" t="s">
        <v>126</v>
      </c>
      <c r="I63" s="1" t="s">
        <v>59</v>
      </c>
      <c r="J63" s="0" t="n">
        <v>675</v>
      </c>
      <c r="K63" s="0" t="n">
        <v>1</v>
      </c>
      <c r="L63" s="0" t="n">
        <f aca="false">736.4-J63</f>
        <v>61.4</v>
      </c>
    </row>
    <row r="64" customFormat="false" ht="12.8" hidden="false" customHeight="false" outlineLevel="0" collapsed="false">
      <c r="A64" s="0" t="n">
        <f aca="false">ROW(A64)-3</f>
        <v>61</v>
      </c>
      <c r="B64" s="0" t="n">
        <v>4</v>
      </c>
      <c r="C64" s="1" t="s">
        <v>144</v>
      </c>
      <c r="D64" s="1" t="s">
        <v>144</v>
      </c>
      <c r="F64" s="0" t="s">
        <v>200</v>
      </c>
      <c r="G64" s="12" t="b">
        <v>0</v>
      </c>
      <c r="H64" s="1" t="s">
        <v>126</v>
      </c>
      <c r="I64" s="1" t="s">
        <v>59</v>
      </c>
      <c r="J64" s="0" t="n">
        <v>632.5</v>
      </c>
      <c r="K64" s="0" t="n">
        <v>1</v>
      </c>
      <c r="L64" s="0" t="n">
        <f aca="false">690-J64</f>
        <v>57.5</v>
      </c>
    </row>
    <row r="65" customFormat="false" ht="12.8" hidden="false" customHeight="false" outlineLevel="0" collapsed="false">
      <c r="A65" s="0" t="n">
        <f aca="false">ROW(A65)-3</f>
        <v>62</v>
      </c>
      <c r="B65" s="0" t="n">
        <v>4</v>
      </c>
      <c r="C65" s="1" t="s">
        <v>144</v>
      </c>
      <c r="D65" s="1" t="s">
        <v>146</v>
      </c>
      <c r="F65" s="0" t="s">
        <v>201</v>
      </c>
      <c r="G65" s="12" t="b">
        <v>0</v>
      </c>
      <c r="H65" s="1" t="s">
        <v>126</v>
      </c>
      <c r="I65" s="1" t="s">
        <v>59</v>
      </c>
      <c r="J65" s="0" t="n">
        <v>2103</v>
      </c>
      <c r="K65" s="0" t="n">
        <v>1</v>
      </c>
      <c r="L65" s="0" t="n">
        <f aca="false">2294.2-J65</f>
        <v>191.2</v>
      </c>
    </row>
    <row r="66" customFormat="false" ht="12.8" hidden="false" customHeight="false" outlineLevel="0" collapsed="false">
      <c r="A66" s="0" t="n">
        <f aca="false">ROW(A66)-3</f>
        <v>63</v>
      </c>
      <c r="B66" s="0" t="n">
        <v>5</v>
      </c>
      <c r="C66" s="1" t="s">
        <v>123</v>
      </c>
      <c r="D66" s="1" t="s">
        <v>124</v>
      </c>
      <c r="F66" s="0" t="s">
        <v>202</v>
      </c>
      <c r="G66" s="12" t="b">
        <v>1</v>
      </c>
      <c r="H66" s="1" t="s">
        <v>126</v>
      </c>
      <c r="I66" s="1" t="s">
        <v>52</v>
      </c>
      <c r="J66" s="0" t="n">
        <v>82</v>
      </c>
      <c r="K66" s="0" t="n">
        <v>1</v>
      </c>
      <c r="L66" s="0" t="n">
        <f aca="false">89.5-J66</f>
        <v>7.5</v>
      </c>
      <c r="M66" s="1" t="s">
        <v>126</v>
      </c>
      <c r="N66" s="1" t="s">
        <v>52</v>
      </c>
      <c r="O66" s="0" t="n">
        <v>76.6</v>
      </c>
      <c r="P66" s="0" t="n">
        <v>1</v>
      </c>
      <c r="Q66" s="0" t="n">
        <f aca="false">83.6-O66</f>
        <v>7</v>
      </c>
      <c r="R66" s="1" t="s">
        <v>126</v>
      </c>
      <c r="S66" s="1" t="s">
        <v>52</v>
      </c>
      <c r="T66" s="0" t="n">
        <v>179.2</v>
      </c>
      <c r="U66" s="0" t="n">
        <v>1</v>
      </c>
      <c r="V66" s="0" t="n">
        <f aca="false">195.5-T66</f>
        <v>16.3</v>
      </c>
      <c r="W66" s="1" t="s">
        <v>126</v>
      </c>
      <c r="X66" s="1" t="s">
        <v>52</v>
      </c>
      <c r="Y66" s="0" t="n">
        <v>233.4</v>
      </c>
      <c r="Z66" s="0" t="n">
        <v>1</v>
      </c>
      <c r="AA66" s="0" t="n">
        <f aca="false">254.7-Y66</f>
        <v>21.3</v>
      </c>
      <c r="AB66" s="1" t="s">
        <v>126</v>
      </c>
      <c r="AC66" s="1" t="s">
        <v>52</v>
      </c>
      <c r="AD66" s="0" t="n">
        <v>421.2</v>
      </c>
      <c r="AE66" s="0" t="n">
        <v>1</v>
      </c>
      <c r="AF66" s="0" t="n">
        <f aca="false">459.5-AD66</f>
        <v>38.3</v>
      </c>
    </row>
    <row r="67" customFormat="false" ht="12.8" hidden="false" customHeight="false" outlineLevel="0" collapsed="false">
      <c r="A67" s="0" t="n">
        <f aca="false">ROW(A67)-3</f>
        <v>64</v>
      </c>
      <c r="B67" s="0" t="n">
        <v>5</v>
      </c>
      <c r="C67" s="1" t="s">
        <v>130</v>
      </c>
      <c r="D67" s="1" t="s">
        <v>131</v>
      </c>
      <c r="F67" s="0" t="s">
        <v>203</v>
      </c>
      <c r="G67" s="12" t="b">
        <v>0</v>
      </c>
      <c r="H67" s="1" t="s">
        <v>126</v>
      </c>
      <c r="I67" s="1" t="s">
        <v>52</v>
      </c>
      <c r="J67" s="0" t="n">
        <v>96.7</v>
      </c>
      <c r="K67" s="0" t="n">
        <v>1</v>
      </c>
      <c r="L67" s="0" t="n">
        <f aca="false">105.5-J67</f>
        <v>8.8</v>
      </c>
    </row>
    <row r="68" customFormat="false" ht="12.8" hidden="false" customHeight="false" outlineLevel="0" collapsed="false">
      <c r="A68" s="0" t="n">
        <f aca="false">ROW(A68)-3</f>
        <v>65</v>
      </c>
      <c r="B68" s="0" t="n">
        <v>5</v>
      </c>
      <c r="C68" s="1" t="s">
        <v>130</v>
      </c>
      <c r="D68" s="1" t="s">
        <v>133</v>
      </c>
      <c r="F68" s="0" t="s">
        <v>204</v>
      </c>
      <c r="G68" s="12" t="b">
        <v>0</v>
      </c>
      <c r="H68" s="1" t="s">
        <v>126</v>
      </c>
      <c r="I68" s="1" t="s">
        <v>52</v>
      </c>
      <c r="J68" s="0" t="n">
        <v>271.2</v>
      </c>
      <c r="K68" s="0" t="n">
        <v>1</v>
      </c>
      <c r="L68" s="0" t="n">
        <f aca="false">296-J68</f>
        <v>24.8</v>
      </c>
    </row>
    <row r="69" customFormat="false" ht="12.8" hidden="false" customHeight="false" outlineLevel="0" collapsed="false">
      <c r="A69" s="0" t="n">
        <f aca="false">ROW(A69)-3</f>
        <v>66</v>
      </c>
      <c r="B69" s="0" t="n">
        <v>5</v>
      </c>
      <c r="C69" s="1" t="s">
        <v>135</v>
      </c>
      <c r="D69" s="1" t="s">
        <v>136</v>
      </c>
      <c r="F69" s="0" t="s">
        <v>205</v>
      </c>
      <c r="G69" s="12" t="b">
        <v>0</v>
      </c>
      <c r="H69" s="1" t="s">
        <v>126</v>
      </c>
      <c r="I69" s="1" t="s">
        <v>52</v>
      </c>
      <c r="J69" s="0" t="n">
        <v>215</v>
      </c>
      <c r="K69" s="0" t="n">
        <v>1</v>
      </c>
      <c r="L69" s="0" t="n">
        <f aca="false">234.6-J69</f>
        <v>19.6</v>
      </c>
    </row>
    <row r="70" customFormat="false" ht="12.8" hidden="false" customHeight="false" outlineLevel="0" collapsed="false">
      <c r="A70" s="0" t="n">
        <f aca="false">ROW(A70)-3</f>
        <v>67</v>
      </c>
      <c r="B70" s="0" t="n">
        <v>5</v>
      </c>
      <c r="C70" s="1" t="s">
        <v>135</v>
      </c>
      <c r="D70" s="1" t="s">
        <v>138</v>
      </c>
      <c r="F70" s="0" t="s">
        <v>206</v>
      </c>
      <c r="G70" s="12" t="b">
        <v>0</v>
      </c>
      <c r="H70" s="1" t="s">
        <v>126</v>
      </c>
      <c r="I70" s="1" t="s">
        <v>52</v>
      </c>
      <c r="J70" s="0" t="n">
        <v>547.5</v>
      </c>
      <c r="K70" s="0" t="n">
        <v>1</v>
      </c>
      <c r="L70" s="0" t="n">
        <f aca="false">597.3-J70</f>
        <v>49.8</v>
      </c>
    </row>
    <row r="71" customFormat="false" ht="12.8" hidden="false" customHeight="false" outlineLevel="0" collapsed="false">
      <c r="A71" s="0" t="n">
        <f aca="false">ROW(A71)-3</f>
        <v>68</v>
      </c>
      <c r="B71" s="0" t="n">
        <v>5</v>
      </c>
      <c r="C71" s="1" t="s">
        <v>140</v>
      </c>
      <c r="D71" s="1" t="s">
        <v>124</v>
      </c>
      <c r="F71" s="0" t="s">
        <v>207</v>
      </c>
      <c r="G71" s="12" t="b">
        <v>0</v>
      </c>
      <c r="H71" s="1" t="s">
        <v>126</v>
      </c>
      <c r="I71" s="1" t="s">
        <v>52</v>
      </c>
      <c r="J71" s="0" t="n">
        <v>66.7</v>
      </c>
      <c r="K71" s="0" t="n">
        <v>1</v>
      </c>
      <c r="L71" s="0" t="n">
        <f aca="false">72.8-J71</f>
        <v>6.09999999999999</v>
      </c>
      <c r="M71" s="1" t="s">
        <v>126</v>
      </c>
      <c r="N71" s="1" t="s">
        <v>52</v>
      </c>
      <c r="O71" s="0" t="n">
        <v>37.5</v>
      </c>
      <c r="P71" s="0" t="n">
        <v>1</v>
      </c>
      <c r="Q71" s="0" t="n">
        <f aca="false">41-O71</f>
        <v>3.5</v>
      </c>
      <c r="R71" s="1" t="s">
        <v>126</v>
      </c>
      <c r="S71" s="1" t="s">
        <v>52</v>
      </c>
      <c r="T71" s="0" t="n">
        <v>25</v>
      </c>
      <c r="U71" s="0" t="n">
        <v>1</v>
      </c>
      <c r="V71" s="0" t="n">
        <f aca="false">27.3-T71</f>
        <v>2.3</v>
      </c>
    </row>
    <row r="72" customFormat="false" ht="12.8" hidden="false" customHeight="false" outlineLevel="0" collapsed="false">
      <c r="A72" s="0" t="n">
        <f aca="false">ROW(A72)-3</f>
        <v>69</v>
      </c>
      <c r="B72" s="0" t="n">
        <v>5</v>
      </c>
      <c r="C72" s="1" t="s">
        <v>140</v>
      </c>
      <c r="D72" s="1" t="s">
        <v>142</v>
      </c>
      <c r="F72" s="0" t="s">
        <v>208</v>
      </c>
      <c r="G72" s="12" t="b">
        <v>0</v>
      </c>
      <c r="H72" s="1" t="s">
        <v>126</v>
      </c>
      <c r="I72" s="1" t="s">
        <v>52</v>
      </c>
      <c r="J72" s="0" t="n">
        <v>345.1</v>
      </c>
      <c r="K72" s="0" t="n">
        <v>1</v>
      </c>
      <c r="L72" s="0" t="n">
        <f aca="false">376.5-J72</f>
        <v>31.4</v>
      </c>
      <c r="M72" s="1" t="s">
        <v>126</v>
      </c>
      <c r="N72" s="1" t="s">
        <v>52</v>
      </c>
      <c r="O72" s="0" t="n">
        <v>1035.2</v>
      </c>
      <c r="P72" s="0" t="n">
        <v>1</v>
      </c>
      <c r="Q72" s="0" t="n">
        <f aca="false">1129.4-O72</f>
        <v>94.2000000000001</v>
      </c>
      <c r="R72" s="1" t="s">
        <v>126</v>
      </c>
      <c r="S72" s="1" t="s">
        <v>52</v>
      </c>
      <c r="T72" s="0" t="n">
        <v>345.1</v>
      </c>
      <c r="U72" s="0" t="n">
        <v>1</v>
      </c>
      <c r="V72" s="0" t="n">
        <f aca="false">376.5-T72</f>
        <v>31.4</v>
      </c>
    </row>
    <row r="73" customFormat="false" ht="12.8" hidden="false" customHeight="false" outlineLevel="0" collapsed="false">
      <c r="A73" s="0" t="n">
        <f aca="false">ROW(A73)-3</f>
        <v>70</v>
      </c>
      <c r="B73" s="0" t="n">
        <v>5</v>
      </c>
      <c r="C73" s="1" t="s">
        <v>144</v>
      </c>
      <c r="D73" s="1" t="s">
        <v>144</v>
      </c>
      <c r="F73" s="0" t="s">
        <v>209</v>
      </c>
      <c r="G73" s="12" t="b">
        <v>0</v>
      </c>
      <c r="H73" s="1" t="s">
        <v>126</v>
      </c>
      <c r="I73" s="1" t="s">
        <v>52</v>
      </c>
      <c r="J73" s="0" t="n">
        <v>687.3</v>
      </c>
      <c r="K73" s="0" t="n">
        <v>1</v>
      </c>
      <c r="L73" s="0" t="n">
        <f aca="false">749.8-J73</f>
        <v>62.5</v>
      </c>
    </row>
    <row r="74" customFormat="false" ht="12.8" hidden="false" customHeight="false" outlineLevel="0" collapsed="false">
      <c r="A74" s="0" t="n">
        <f aca="false">ROW(A74)-3</f>
        <v>71</v>
      </c>
      <c r="B74" s="0" t="n">
        <v>5</v>
      </c>
      <c r="C74" s="1" t="s">
        <v>144</v>
      </c>
      <c r="D74" s="1" t="s">
        <v>146</v>
      </c>
      <c r="F74" s="0" t="s">
        <v>210</v>
      </c>
      <c r="G74" s="12" t="b">
        <v>0</v>
      </c>
      <c r="H74" s="1" t="s">
        <v>126</v>
      </c>
      <c r="I74" s="1" t="s">
        <v>52</v>
      </c>
      <c r="J74" s="0" t="n">
        <v>2028.8</v>
      </c>
      <c r="K74" s="0" t="n">
        <v>1</v>
      </c>
      <c r="L74" s="0" t="n">
        <f aca="false">2213.3-J74</f>
        <v>184.5</v>
      </c>
    </row>
    <row r="75" customFormat="false" ht="12.8" hidden="false" customHeight="false" outlineLevel="0" collapsed="false">
      <c r="A75" s="0" t="n">
        <f aca="false">ROW(A75)-3</f>
        <v>72</v>
      </c>
      <c r="B75" s="0" t="n">
        <v>6</v>
      </c>
      <c r="C75" s="1" t="s">
        <v>123</v>
      </c>
      <c r="D75" s="1" t="s">
        <v>124</v>
      </c>
      <c r="F75" s="0" t="s">
        <v>211</v>
      </c>
      <c r="G75" s="12" t="b">
        <v>1</v>
      </c>
      <c r="H75" s="1" t="s">
        <v>129</v>
      </c>
      <c r="I75" s="1" t="s">
        <v>52</v>
      </c>
      <c r="J75" s="0" t="n">
        <v>67.8</v>
      </c>
      <c r="K75" s="0" t="n">
        <v>1</v>
      </c>
      <c r="L75" s="0" t="n">
        <f aca="false">74-J75</f>
        <v>6.2</v>
      </c>
      <c r="M75" s="1" t="s">
        <v>129</v>
      </c>
      <c r="N75" s="1" t="s">
        <v>52</v>
      </c>
      <c r="O75" s="0" t="n">
        <v>92.3</v>
      </c>
      <c r="P75" s="0" t="n">
        <v>1</v>
      </c>
      <c r="Q75" s="0" t="n">
        <f aca="false">100.7-O75</f>
        <v>8.40000000000001</v>
      </c>
      <c r="R75" s="1" t="s">
        <v>129</v>
      </c>
      <c r="S75" s="1" t="s">
        <v>52</v>
      </c>
      <c r="T75" s="0" t="n">
        <v>109.8</v>
      </c>
      <c r="U75" s="0" t="n">
        <v>1</v>
      </c>
      <c r="V75" s="0" t="n">
        <f aca="false">119.8-T75</f>
        <v>10</v>
      </c>
      <c r="W75" s="1" t="s">
        <v>149</v>
      </c>
      <c r="X75" s="1" t="s">
        <v>52</v>
      </c>
      <c r="Y75" s="0" t="n">
        <v>229.1</v>
      </c>
      <c r="Z75" s="0" t="n">
        <v>1</v>
      </c>
      <c r="AA75" s="0" t="n">
        <f aca="false">250-Y75</f>
        <v>20.9</v>
      </c>
    </row>
    <row r="76" customFormat="false" ht="12.8" hidden="false" customHeight="false" outlineLevel="0" collapsed="false">
      <c r="A76" s="0" t="n">
        <f aca="false">ROW(A76)-3</f>
        <v>73</v>
      </c>
      <c r="B76" s="0" t="n">
        <v>6</v>
      </c>
      <c r="C76" s="1" t="s">
        <v>123</v>
      </c>
      <c r="D76" s="1" t="s">
        <v>142</v>
      </c>
      <c r="F76" s="0" t="s">
        <v>212</v>
      </c>
      <c r="G76" s="12" t="b">
        <v>1</v>
      </c>
      <c r="H76" s="1" t="s">
        <v>129</v>
      </c>
      <c r="I76" s="1" t="s">
        <v>49</v>
      </c>
      <c r="J76" s="0" t="n">
        <v>240.9</v>
      </c>
      <c r="K76" s="0" t="n">
        <v>1</v>
      </c>
      <c r="L76" s="0" t="n">
        <f aca="false">262.8-J76</f>
        <v>21.9</v>
      </c>
      <c r="M76" s="1" t="s">
        <v>149</v>
      </c>
      <c r="N76" s="1" t="s">
        <v>49</v>
      </c>
      <c r="O76" s="0" t="n">
        <v>469.2</v>
      </c>
      <c r="P76" s="0" t="n">
        <v>1</v>
      </c>
      <c r="Q76" s="0" t="n">
        <f aca="false">511.9-O76</f>
        <v>42.7</v>
      </c>
      <c r="R76" s="1" t="s">
        <v>149</v>
      </c>
      <c r="S76" s="1" t="s">
        <v>49</v>
      </c>
      <c r="T76" s="0" t="n">
        <v>456.9</v>
      </c>
      <c r="U76" s="0" t="n">
        <v>1</v>
      </c>
      <c r="V76" s="0" t="n">
        <f aca="false">498.5-T76</f>
        <v>41.6</v>
      </c>
    </row>
    <row r="77" customFormat="false" ht="12.8" hidden="false" customHeight="false" outlineLevel="0" collapsed="false">
      <c r="A77" s="0" t="n">
        <f aca="false">ROW(A77)-3</f>
        <v>74</v>
      </c>
      <c r="B77" s="0" t="n">
        <v>6</v>
      </c>
      <c r="C77" s="1" t="s">
        <v>130</v>
      </c>
      <c r="D77" s="1" t="s">
        <v>131</v>
      </c>
      <c r="F77" s="0" t="s">
        <v>213</v>
      </c>
      <c r="G77" s="12" t="b">
        <v>0</v>
      </c>
      <c r="H77" s="1" t="s">
        <v>129</v>
      </c>
      <c r="I77" s="1" t="s">
        <v>52</v>
      </c>
      <c r="J77" s="0" t="n">
        <v>68.4</v>
      </c>
      <c r="K77" s="0" t="n">
        <v>1</v>
      </c>
      <c r="L77" s="0" t="n">
        <f aca="false">74.7-J77</f>
        <v>6.3</v>
      </c>
    </row>
    <row r="78" customFormat="false" ht="12.8" hidden="false" customHeight="false" outlineLevel="0" collapsed="false">
      <c r="A78" s="0" t="n">
        <f aca="false">ROW(A78)-3</f>
        <v>75</v>
      </c>
      <c r="B78" s="0" t="n">
        <v>6</v>
      </c>
      <c r="C78" s="1" t="s">
        <v>130</v>
      </c>
      <c r="D78" s="1" t="s">
        <v>133</v>
      </c>
      <c r="F78" s="0" t="s">
        <v>214</v>
      </c>
      <c r="G78" s="12" t="b">
        <v>0</v>
      </c>
      <c r="H78" s="1" t="s">
        <v>129</v>
      </c>
      <c r="I78" s="1" t="s">
        <v>52</v>
      </c>
      <c r="J78" s="0" t="n">
        <v>271.2</v>
      </c>
      <c r="K78" s="0" t="n">
        <v>1</v>
      </c>
      <c r="L78" s="0" t="n">
        <f aca="false">295.9-J78</f>
        <v>24.7</v>
      </c>
    </row>
    <row r="79" customFormat="false" ht="12.8" hidden="false" customHeight="false" outlineLevel="0" collapsed="false">
      <c r="A79" s="0" t="n">
        <f aca="false">ROW(A79)-3</f>
        <v>76</v>
      </c>
      <c r="B79" s="0" t="n">
        <v>6</v>
      </c>
      <c r="C79" s="1" t="s">
        <v>130</v>
      </c>
      <c r="D79" s="1" t="s">
        <v>142</v>
      </c>
      <c r="F79" s="0" t="s">
        <v>215</v>
      </c>
      <c r="G79" s="12" t="b">
        <v>0</v>
      </c>
      <c r="H79" s="1" t="s">
        <v>149</v>
      </c>
      <c r="I79" s="1" t="s">
        <v>49</v>
      </c>
      <c r="J79" s="0" t="n">
        <v>465.4</v>
      </c>
      <c r="K79" s="0" t="n">
        <v>1</v>
      </c>
      <c r="L79" s="0" t="n">
        <f aca="false">507.8-J79</f>
        <v>42.4</v>
      </c>
    </row>
    <row r="80" customFormat="false" ht="12.8" hidden="false" customHeight="false" outlineLevel="0" collapsed="false">
      <c r="A80" s="0" t="n">
        <f aca="false">ROW(A80)-3</f>
        <v>77</v>
      </c>
      <c r="B80" s="0" t="n">
        <v>6</v>
      </c>
      <c r="C80" s="1" t="s">
        <v>135</v>
      </c>
      <c r="D80" s="1" t="s">
        <v>136</v>
      </c>
      <c r="F80" s="0" t="s">
        <v>216</v>
      </c>
      <c r="G80" s="12" t="b">
        <v>0</v>
      </c>
      <c r="H80" s="1" t="s">
        <v>129</v>
      </c>
      <c r="I80" s="1" t="s">
        <v>52</v>
      </c>
      <c r="J80" s="0" t="n">
        <v>263.4</v>
      </c>
      <c r="K80" s="0" t="n">
        <v>1</v>
      </c>
      <c r="L80" s="0" t="n">
        <f aca="false">287.4-J80</f>
        <v>24</v>
      </c>
    </row>
    <row r="81" customFormat="false" ht="12.8" hidden="false" customHeight="false" outlineLevel="0" collapsed="false">
      <c r="A81" s="0" t="n">
        <f aca="false">ROW(A81)-3</f>
        <v>78</v>
      </c>
      <c r="B81" s="0" t="n">
        <v>6</v>
      </c>
      <c r="C81" s="1" t="s">
        <v>135</v>
      </c>
      <c r="D81" s="1" t="s">
        <v>138</v>
      </c>
      <c r="F81" s="0" t="s">
        <v>217</v>
      </c>
      <c r="G81" s="12" t="b">
        <v>0</v>
      </c>
      <c r="H81" s="1" t="s">
        <v>149</v>
      </c>
      <c r="I81" s="1" t="s">
        <v>49</v>
      </c>
      <c r="J81" s="0" t="n">
        <v>325.8</v>
      </c>
      <c r="K81" s="0" t="n">
        <v>1</v>
      </c>
      <c r="L81" s="0" t="n">
        <f aca="false">355.5-J81</f>
        <v>29.7</v>
      </c>
    </row>
    <row r="82" customFormat="false" ht="12.8" hidden="false" customHeight="false" outlineLevel="0" collapsed="false">
      <c r="A82" s="0" t="n">
        <f aca="false">ROW(A82)-3</f>
        <v>79</v>
      </c>
      <c r="B82" s="0" t="n">
        <v>6</v>
      </c>
      <c r="C82" s="1" t="s">
        <v>140</v>
      </c>
      <c r="D82" s="1" t="s">
        <v>124</v>
      </c>
      <c r="F82" s="0" t="s">
        <v>218</v>
      </c>
      <c r="G82" s="12" t="b">
        <v>0</v>
      </c>
      <c r="H82" s="1" t="s">
        <v>149</v>
      </c>
      <c r="I82" s="1" t="s">
        <v>49</v>
      </c>
      <c r="J82" s="0" t="n">
        <v>44.2</v>
      </c>
      <c r="K82" s="0" t="n">
        <v>1</v>
      </c>
      <c r="L82" s="0" t="n">
        <f aca="false">48.3-J82</f>
        <v>4.09999999999999</v>
      </c>
    </row>
    <row r="83" customFormat="false" ht="12.8" hidden="false" customHeight="false" outlineLevel="0" collapsed="false">
      <c r="A83" s="0" t="n">
        <f aca="false">ROW(A83)-3</f>
        <v>80</v>
      </c>
      <c r="B83" s="0" t="n">
        <v>6</v>
      </c>
      <c r="C83" s="1" t="s">
        <v>140</v>
      </c>
      <c r="D83" s="1" t="s">
        <v>142</v>
      </c>
      <c r="F83" s="0" t="s">
        <v>219</v>
      </c>
      <c r="G83" s="12" t="b">
        <v>0</v>
      </c>
      <c r="H83" s="1" t="s">
        <v>149</v>
      </c>
      <c r="I83" s="1" t="s">
        <v>49</v>
      </c>
      <c r="J83" s="0" t="n">
        <v>231.4</v>
      </c>
      <c r="K83" s="0" t="n">
        <v>1</v>
      </c>
      <c r="L83" s="0" t="n">
        <f aca="false">252.5-J83</f>
        <v>21.1</v>
      </c>
    </row>
    <row r="84" customFormat="false" ht="12.8" hidden="false" customHeight="false" outlineLevel="0" collapsed="false">
      <c r="A84" s="0" t="n">
        <f aca="false">ROW(A84)-3</f>
        <v>81</v>
      </c>
      <c r="B84" s="0" t="n">
        <v>6</v>
      </c>
      <c r="C84" s="1" t="s">
        <v>140</v>
      </c>
      <c r="D84" s="1" t="s">
        <v>142</v>
      </c>
      <c r="F84" s="0" t="s">
        <v>220</v>
      </c>
      <c r="G84" s="12" t="b">
        <v>0</v>
      </c>
      <c r="H84" s="1" t="s">
        <v>149</v>
      </c>
      <c r="I84" s="1" t="s">
        <v>49</v>
      </c>
      <c r="J84" s="0" t="n">
        <v>195.1</v>
      </c>
      <c r="K84" s="0" t="n">
        <v>1</v>
      </c>
      <c r="L84" s="0" t="n">
        <f aca="false">212.9-J84</f>
        <v>17.8</v>
      </c>
    </row>
    <row r="85" customFormat="false" ht="12.8" hidden="false" customHeight="false" outlineLevel="0" collapsed="false">
      <c r="A85" s="0" t="n">
        <f aca="false">ROW(A85)-3</f>
        <v>82</v>
      </c>
      <c r="B85" s="0" t="n">
        <v>6</v>
      </c>
      <c r="C85" s="1" t="s">
        <v>144</v>
      </c>
      <c r="D85" s="1" t="s">
        <v>144</v>
      </c>
      <c r="F85" s="0" t="s">
        <v>221</v>
      </c>
      <c r="G85" s="12" t="b">
        <v>0</v>
      </c>
      <c r="H85" s="1" t="s">
        <v>149</v>
      </c>
      <c r="I85" s="1" t="s">
        <v>49</v>
      </c>
      <c r="J85" s="0" t="n">
        <v>640.7</v>
      </c>
      <c r="K85" s="0" t="n">
        <v>1</v>
      </c>
      <c r="L85" s="0" t="n">
        <f aca="false">699-J85</f>
        <v>58.3</v>
      </c>
    </row>
    <row r="86" customFormat="false" ht="12.8" hidden="false" customHeight="false" outlineLevel="0" collapsed="false">
      <c r="A86" s="0" t="n">
        <f aca="false">ROW(A86)-3</f>
        <v>83</v>
      </c>
      <c r="B86" s="0" t="n">
        <v>6</v>
      </c>
      <c r="C86" s="1" t="s">
        <v>144</v>
      </c>
      <c r="D86" s="1" t="s">
        <v>146</v>
      </c>
      <c r="F86" s="0" t="s">
        <v>222</v>
      </c>
      <c r="G86" s="12" t="b">
        <v>0</v>
      </c>
      <c r="H86" s="1" t="s">
        <v>149</v>
      </c>
      <c r="I86" s="1" t="s">
        <v>49</v>
      </c>
      <c r="J86" s="0" t="n">
        <v>1816.4</v>
      </c>
      <c r="K86" s="0" t="n">
        <v>1</v>
      </c>
      <c r="L86" s="0" t="n">
        <f aca="false">1981.6-J86</f>
        <v>165.2</v>
      </c>
    </row>
    <row r="87" customFormat="false" ht="12.8" hidden="false" customHeight="false" outlineLevel="0" collapsed="false">
      <c r="A87" s="0" t="n">
        <f aca="false">ROW(A87)-3</f>
        <v>84</v>
      </c>
      <c r="B87" s="0" t="n">
        <v>7</v>
      </c>
      <c r="C87" s="1" t="s">
        <v>123</v>
      </c>
      <c r="D87" s="1" t="s">
        <v>124</v>
      </c>
      <c r="F87" s="0" t="s">
        <v>223</v>
      </c>
      <c r="G87" s="12" t="b">
        <v>1</v>
      </c>
      <c r="H87" s="1" t="s">
        <v>129</v>
      </c>
      <c r="I87" s="1" t="s">
        <v>52</v>
      </c>
      <c r="J87" s="0" t="n">
        <v>65.9</v>
      </c>
      <c r="K87" s="0" t="n">
        <v>1</v>
      </c>
      <c r="L87" s="0" t="n">
        <f aca="false">71.9-J87</f>
        <v>6</v>
      </c>
      <c r="M87" s="1" t="s">
        <v>129</v>
      </c>
      <c r="N87" s="1" t="s">
        <v>52</v>
      </c>
      <c r="O87" s="0" t="n">
        <v>189</v>
      </c>
      <c r="P87" s="0" t="n">
        <v>1</v>
      </c>
      <c r="Q87" s="0" t="n">
        <f aca="false">206.2-O87</f>
        <v>17.2</v>
      </c>
      <c r="R87" s="1" t="s">
        <v>129</v>
      </c>
      <c r="S87" s="1" t="s">
        <v>52</v>
      </c>
      <c r="T87" s="0" t="n">
        <v>348.3</v>
      </c>
      <c r="U87" s="0" t="n">
        <v>1</v>
      </c>
      <c r="V87" s="0" t="n">
        <f aca="false">380-T87</f>
        <v>31.7</v>
      </c>
    </row>
    <row r="88" customFormat="false" ht="12.8" hidden="false" customHeight="false" outlineLevel="0" collapsed="false">
      <c r="A88" s="0" t="n">
        <f aca="false">ROW(A88)-3</f>
        <v>85</v>
      </c>
      <c r="B88" s="0" t="n">
        <v>7</v>
      </c>
      <c r="C88" s="1" t="s">
        <v>130</v>
      </c>
      <c r="D88" s="1" t="s">
        <v>131</v>
      </c>
      <c r="F88" s="0" t="s">
        <v>224</v>
      </c>
      <c r="G88" s="12" t="b">
        <v>0</v>
      </c>
      <c r="H88" s="1" t="s">
        <v>129</v>
      </c>
      <c r="I88" s="1" t="s">
        <v>52</v>
      </c>
      <c r="J88" s="0" t="n">
        <v>138.4</v>
      </c>
      <c r="K88" s="0" t="n">
        <v>1</v>
      </c>
      <c r="L88" s="0" t="n">
        <f aca="false">151-J88</f>
        <v>12.6</v>
      </c>
    </row>
    <row r="89" customFormat="false" ht="12.8" hidden="false" customHeight="false" outlineLevel="0" collapsed="false">
      <c r="A89" s="0" t="n">
        <f aca="false">ROW(A89)-3</f>
        <v>86</v>
      </c>
      <c r="B89" s="0" t="n">
        <v>7</v>
      </c>
      <c r="C89" s="1" t="s">
        <v>130</v>
      </c>
      <c r="D89" s="1" t="s">
        <v>133</v>
      </c>
      <c r="F89" s="0" t="s">
        <v>225</v>
      </c>
      <c r="G89" s="12" t="b">
        <v>0</v>
      </c>
      <c r="H89" s="1" t="s">
        <v>129</v>
      </c>
      <c r="I89" s="1" t="s">
        <v>59</v>
      </c>
      <c r="J89" s="0" t="n">
        <v>225.7</v>
      </c>
      <c r="K89" s="0" t="n">
        <v>1</v>
      </c>
      <c r="L89" s="0" t="n">
        <f aca="false">246.3-J89</f>
        <v>20.6</v>
      </c>
    </row>
    <row r="90" customFormat="false" ht="12.8" hidden="false" customHeight="false" outlineLevel="0" collapsed="false">
      <c r="A90" s="0" t="n">
        <f aca="false">ROW(A90)-3</f>
        <v>87</v>
      </c>
      <c r="B90" s="0" t="n">
        <v>7</v>
      </c>
      <c r="C90" s="1" t="s">
        <v>135</v>
      </c>
      <c r="D90" s="1" t="s">
        <v>136</v>
      </c>
      <c r="F90" s="0" t="s">
        <v>226</v>
      </c>
      <c r="G90" s="12" t="b">
        <v>0</v>
      </c>
      <c r="H90" s="1" t="s">
        <v>129</v>
      </c>
      <c r="I90" s="1" t="s">
        <v>59</v>
      </c>
      <c r="J90" s="0" t="n">
        <v>96.7</v>
      </c>
      <c r="K90" s="0" t="n">
        <v>1</v>
      </c>
      <c r="L90" s="0" t="n">
        <f aca="false">105.5-J90</f>
        <v>8.8</v>
      </c>
    </row>
    <row r="91" customFormat="false" ht="12.8" hidden="false" customHeight="false" outlineLevel="0" collapsed="false">
      <c r="A91" s="0" t="n">
        <f aca="false">ROW(A91)-3</f>
        <v>88</v>
      </c>
      <c r="B91" s="0" t="n">
        <v>7</v>
      </c>
      <c r="C91" s="1" t="s">
        <v>135</v>
      </c>
      <c r="D91" s="1" t="s">
        <v>138</v>
      </c>
      <c r="F91" s="0" t="s">
        <v>227</v>
      </c>
      <c r="G91" s="12" t="b">
        <v>0</v>
      </c>
      <c r="H91" s="1" t="s">
        <v>129</v>
      </c>
      <c r="I91" s="1" t="s">
        <v>59</v>
      </c>
      <c r="J91" s="0" t="n">
        <v>325.9</v>
      </c>
      <c r="K91" s="0" t="n">
        <v>1</v>
      </c>
      <c r="L91" s="0" t="n">
        <f aca="false">355.6-J91</f>
        <v>29.7</v>
      </c>
    </row>
    <row r="92" customFormat="false" ht="12.8" hidden="false" customHeight="false" outlineLevel="0" collapsed="false">
      <c r="A92" s="0" t="n">
        <f aca="false">ROW(A92)-3</f>
        <v>89</v>
      </c>
      <c r="B92" s="0" t="n">
        <v>7</v>
      </c>
      <c r="C92" s="1" t="s">
        <v>140</v>
      </c>
      <c r="D92" s="1" t="s">
        <v>124</v>
      </c>
      <c r="F92" s="0" t="s">
        <v>228</v>
      </c>
      <c r="G92" s="12" t="b">
        <v>0</v>
      </c>
      <c r="H92" s="1" t="s">
        <v>129</v>
      </c>
      <c r="I92" s="1" t="s">
        <v>52</v>
      </c>
      <c r="J92" s="0" t="n">
        <v>41.7</v>
      </c>
      <c r="K92" s="0" t="n">
        <v>1</v>
      </c>
      <c r="L92" s="0" t="n">
        <f aca="false">45.5-J92</f>
        <v>3.8</v>
      </c>
      <c r="M92" s="1" t="s">
        <v>129</v>
      </c>
      <c r="N92" s="1" t="s">
        <v>52</v>
      </c>
      <c r="O92" s="0" t="n">
        <v>233.4</v>
      </c>
      <c r="P92" s="0" t="n">
        <v>1</v>
      </c>
      <c r="Q92" s="0" t="n">
        <f aca="false">254.7-O92</f>
        <v>21.3</v>
      </c>
    </row>
    <row r="93" customFormat="false" ht="12.8" hidden="false" customHeight="false" outlineLevel="0" collapsed="false">
      <c r="A93" s="0" t="n">
        <f aca="false">ROW(A93)-3</f>
        <v>90</v>
      </c>
      <c r="B93" s="0" t="n">
        <v>7</v>
      </c>
      <c r="C93" s="1" t="s">
        <v>140</v>
      </c>
      <c r="D93" s="1" t="s">
        <v>142</v>
      </c>
      <c r="F93" s="0" t="s">
        <v>229</v>
      </c>
      <c r="G93" s="12" t="b">
        <v>0</v>
      </c>
      <c r="H93" s="1" t="s">
        <v>129</v>
      </c>
      <c r="I93" s="1" t="s">
        <v>59</v>
      </c>
      <c r="J93" s="0" t="n">
        <v>438.5</v>
      </c>
      <c r="K93" s="0" t="n">
        <v>1</v>
      </c>
      <c r="L93" s="0" t="n">
        <f aca="false">478.4-J93</f>
        <v>39.9</v>
      </c>
      <c r="M93" s="1" t="s">
        <v>129</v>
      </c>
      <c r="N93" s="1" t="s">
        <v>59</v>
      </c>
      <c r="O93" s="0" t="n">
        <v>438.5</v>
      </c>
      <c r="P93" s="0" t="n">
        <v>1</v>
      </c>
      <c r="Q93" s="0" t="n">
        <f aca="false">478.4-O93</f>
        <v>39.9</v>
      </c>
    </row>
    <row r="94" customFormat="false" ht="12.8" hidden="false" customHeight="false" outlineLevel="0" collapsed="false">
      <c r="A94" s="0" t="n">
        <f aca="false">ROW(A94)-3</f>
        <v>91</v>
      </c>
      <c r="B94" s="0" t="n">
        <v>7</v>
      </c>
      <c r="C94" s="1" t="s">
        <v>140</v>
      </c>
      <c r="D94" s="1" t="s">
        <v>142</v>
      </c>
      <c r="F94" s="0" t="s">
        <v>230</v>
      </c>
      <c r="G94" s="12" t="b">
        <v>0</v>
      </c>
      <c r="H94" s="1" t="s">
        <v>129</v>
      </c>
      <c r="I94" s="1" t="s">
        <v>59</v>
      </c>
      <c r="J94" s="0" t="n">
        <v>500.5</v>
      </c>
      <c r="K94" s="0" t="n">
        <v>1</v>
      </c>
      <c r="L94" s="0" t="n">
        <f aca="false">546-J94</f>
        <v>45.5</v>
      </c>
      <c r="M94" s="1" t="s">
        <v>129</v>
      </c>
      <c r="N94" s="1" t="s">
        <v>59</v>
      </c>
      <c r="O94" s="0" t="n">
        <v>552.2</v>
      </c>
      <c r="P94" s="0" t="n">
        <v>1</v>
      </c>
      <c r="Q94" s="0" t="n">
        <f aca="false">601.4-O94</f>
        <v>49.1999999999999</v>
      </c>
    </row>
    <row r="95" customFormat="false" ht="12.8" hidden="false" customHeight="false" outlineLevel="0" collapsed="false">
      <c r="A95" s="0" t="n">
        <f aca="false">ROW(A95)-3</f>
        <v>92</v>
      </c>
      <c r="B95" s="0" t="n">
        <v>7</v>
      </c>
      <c r="C95" s="1" t="s">
        <v>144</v>
      </c>
      <c r="D95" s="1" t="s">
        <v>144</v>
      </c>
      <c r="F95" s="0" t="s">
        <v>231</v>
      </c>
      <c r="G95" s="12" t="b">
        <v>0</v>
      </c>
      <c r="H95" s="1" t="s">
        <v>129</v>
      </c>
      <c r="I95" s="1" t="s">
        <v>59</v>
      </c>
      <c r="J95" s="0" t="n">
        <v>627.3</v>
      </c>
      <c r="K95" s="0" t="n">
        <v>1</v>
      </c>
      <c r="L95" s="0" t="n">
        <f aca="false">684.4-J95</f>
        <v>57.1</v>
      </c>
    </row>
    <row r="96" customFormat="false" ht="12.8" hidden="false" customHeight="false" outlineLevel="0" collapsed="false">
      <c r="A96" s="0" t="n">
        <f aca="false">ROW(A96)-3</f>
        <v>93</v>
      </c>
      <c r="B96" s="0" t="n">
        <v>7</v>
      </c>
      <c r="C96" s="1" t="s">
        <v>144</v>
      </c>
      <c r="D96" s="1" t="s">
        <v>146</v>
      </c>
      <c r="F96" s="0" t="s">
        <v>232</v>
      </c>
      <c r="G96" s="12" t="b">
        <v>0</v>
      </c>
      <c r="H96" s="1" t="s">
        <v>129</v>
      </c>
      <c r="I96" s="1" t="s">
        <v>59</v>
      </c>
      <c r="J96" s="0" t="n">
        <v>1643</v>
      </c>
      <c r="K96" s="0" t="n">
        <v>1</v>
      </c>
      <c r="L96" s="0" t="n">
        <f aca="false">1792.4-J96</f>
        <v>149.4</v>
      </c>
    </row>
    <row r="97" customFormat="false" ht="12.8" hidden="false" customHeight="false" outlineLevel="0" collapsed="false">
      <c r="A97" s="0" t="n">
        <f aca="false">ROW(A97)-3</f>
        <v>94</v>
      </c>
      <c r="B97" s="0" t="n">
        <v>8</v>
      </c>
      <c r="C97" s="1" t="s">
        <v>123</v>
      </c>
      <c r="D97" s="1" t="s">
        <v>124</v>
      </c>
      <c r="F97" s="0" t="s">
        <v>233</v>
      </c>
      <c r="G97" s="12" t="b">
        <v>1</v>
      </c>
      <c r="H97" s="1" t="s">
        <v>129</v>
      </c>
      <c r="I97" s="1" t="s">
        <v>52</v>
      </c>
      <c r="J97" s="0" t="n">
        <v>63.6</v>
      </c>
      <c r="K97" s="0" t="n">
        <v>1</v>
      </c>
      <c r="L97" s="0" t="n">
        <f aca="false">69.4-J97</f>
        <v>5.8</v>
      </c>
      <c r="M97" s="1" t="s">
        <v>129</v>
      </c>
      <c r="N97" s="1" t="s">
        <v>52</v>
      </c>
      <c r="O97" s="0" t="n">
        <v>79.2</v>
      </c>
      <c r="P97" s="0" t="n">
        <v>1</v>
      </c>
      <c r="Q97" s="0" t="n">
        <f aca="false">86.4-O97</f>
        <v>7.2</v>
      </c>
      <c r="R97" s="1" t="s">
        <v>129</v>
      </c>
      <c r="S97" s="1" t="s">
        <v>52</v>
      </c>
      <c r="T97" s="0" t="n">
        <v>126.1</v>
      </c>
      <c r="U97" s="0" t="n">
        <v>1</v>
      </c>
      <c r="V97" s="0" t="n">
        <f aca="false">137.6-T97</f>
        <v>11.5</v>
      </c>
      <c r="W97" s="1" t="s">
        <v>129</v>
      </c>
      <c r="X97" s="1" t="s">
        <v>52</v>
      </c>
      <c r="Y97" s="0" t="n">
        <v>317.4</v>
      </c>
      <c r="Z97" s="0" t="n">
        <v>1</v>
      </c>
      <c r="AA97" s="0" t="n">
        <f aca="false">346.3-Y97</f>
        <v>28.9</v>
      </c>
    </row>
    <row r="98" customFormat="false" ht="12.8" hidden="false" customHeight="false" outlineLevel="0" collapsed="false">
      <c r="A98" s="0" t="n">
        <f aca="false">ROW(A98)-3</f>
        <v>95</v>
      </c>
      <c r="B98" s="0" t="n">
        <v>8</v>
      </c>
      <c r="C98" s="1" t="s">
        <v>123</v>
      </c>
      <c r="D98" s="1" t="s">
        <v>142</v>
      </c>
      <c r="F98" s="0" t="s">
        <v>234</v>
      </c>
      <c r="G98" s="12" t="b">
        <v>1</v>
      </c>
      <c r="H98" s="1" t="s">
        <v>129</v>
      </c>
      <c r="I98" s="1" t="s">
        <v>52</v>
      </c>
      <c r="J98" s="0" t="n">
        <v>63.6</v>
      </c>
      <c r="K98" s="0" t="n">
        <v>1</v>
      </c>
      <c r="L98" s="0" t="n">
        <f aca="false">69.4-J98</f>
        <v>5.8</v>
      </c>
      <c r="M98" s="1" t="s">
        <v>129</v>
      </c>
      <c r="N98" s="1" t="s">
        <v>52</v>
      </c>
      <c r="O98" s="0" t="n">
        <v>79.2</v>
      </c>
      <c r="P98" s="0" t="n">
        <v>1</v>
      </c>
      <c r="Q98" s="0" t="n">
        <f aca="false">86.4-O98</f>
        <v>7.2</v>
      </c>
      <c r="R98" s="1" t="s">
        <v>129</v>
      </c>
      <c r="S98" s="1" t="s">
        <v>59</v>
      </c>
      <c r="T98" s="0" t="n">
        <v>160.8</v>
      </c>
      <c r="U98" s="0" t="n">
        <v>1</v>
      </c>
      <c r="V98" s="0" t="n">
        <f aca="false">175.5-T98</f>
        <v>14.7</v>
      </c>
      <c r="W98" s="1" t="s">
        <v>129</v>
      </c>
      <c r="X98" s="1" t="s">
        <v>59</v>
      </c>
      <c r="Y98" s="0" t="n">
        <v>404.8</v>
      </c>
      <c r="Z98" s="0" t="n">
        <v>1</v>
      </c>
      <c r="AA98" s="0" t="n">
        <f aca="false">441.8-Y98</f>
        <v>37</v>
      </c>
    </row>
    <row r="99" customFormat="false" ht="12.8" hidden="false" customHeight="false" outlineLevel="0" collapsed="false">
      <c r="A99" s="0" t="n">
        <f aca="false">ROW(A99)-3</f>
        <v>96</v>
      </c>
      <c r="B99" s="0" t="n">
        <v>8</v>
      </c>
      <c r="C99" s="1" t="s">
        <v>123</v>
      </c>
      <c r="D99" s="1" t="s">
        <v>142</v>
      </c>
      <c r="F99" s="0" t="s">
        <v>235</v>
      </c>
      <c r="G99" s="12" t="b">
        <v>1</v>
      </c>
      <c r="H99" s="1" t="s">
        <v>129</v>
      </c>
      <c r="I99" s="1" t="s">
        <v>52</v>
      </c>
      <c r="J99" s="0" t="n">
        <v>63.6</v>
      </c>
      <c r="K99" s="0" t="n">
        <v>1</v>
      </c>
      <c r="L99" s="0" t="n">
        <f aca="false">69.4-J99</f>
        <v>5.8</v>
      </c>
      <c r="M99" s="1" t="s">
        <v>129</v>
      </c>
      <c r="N99" s="1" t="s">
        <v>52</v>
      </c>
      <c r="O99" s="0" t="n">
        <v>79.2</v>
      </c>
      <c r="P99" s="0" t="n">
        <v>1</v>
      </c>
      <c r="Q99" s="0" t="n">
        <f aca="false">86.4-O99</f>
        <v>7.2</v>
      </c>
      <c r="R99" s="1" t="s">
        <v>129</v>
      </c>
      <c r="S99" s="1" t="s">
        <v>59</v>
      </c>
      <c r="T99" s="0" t="n">
        <v>160.8</v>
      </c>
      <c r="U99" s="0" t="n">
        <v>1</v>
      </c>
      <c r="V99" s="0" t="n">
        <f aca="false">175.5-T99</f>
        <v>14.7</v>
      </c>
      <c r="W99" s="1" t="s">
        <v>129</v>
      </c>
      <c r="X99" s="1" t="s">
        <v>59</v>
      </c>
      <c r="Y99" s="0" t="n">
        <v>501.3</v>
      </c>
      <c r="Z99" s="0" t="n">
        <v>1</v>
      </c>
      <c r="AA99" s="0" t="n">
        <f aca="false">546.9-Y99</f>
        <v>45.6</v>
      </c>
    </row>
    <row r="100" customFormat="false" ht="12.8" hidden="false" customHeight="false" outlineLevel="0" collapsed="false">
      <c r="A100" s="0" t="n">
        <f aca="false">ROW(A100)-3</f>
        <v>97</v>
      </c>
      <c r="B100" s="0" t="n">
        <v>8</v>
      </c>
      <c r="C100" s="1" t="s">
        <v>130</v>
      </c>
      <c r="D100" s="1" t="s">
        <v>131</v>
      </c>
      <c r="F100" s="0" t="s">
        <v>236</v>
      </c>
      <c r="G100" s="12" t="b">
        <v>0</v>
      </c>
      <c r="H100" s="1" t="s">
        <v>129</v>
      </c>
      <c r="I100" s="1" t="s">
        <v>52</v>
      </c>
      <c r="J100" s="0" t="n">
        <v>56.1</v>
      </c>
      <c r="K100" s="0" t="n">
        <v>1</v>
      </c>
      <c r="L100" s="0" t="n">
        <f aca="false">61.2-J100</f>
        <v>5.1</v>
      </c>
    </row>
    <row r="101" customFormat="false" ht="12.8" hidden="false" customHeight="false" outlineLevel="0" collapsed="false">
      <c r="A101" s="0" t="n">
        <f aca="false">ROW(A101)-3</f>
        <v>98</v>
      </c>
      <c r="B101" s="0" t="n">
        <v>8</v>
      </c>
      <c r="C101" s="1" t="s">
        <v>130</v>
      </c>
      <c r="D101" s="1" t="s">
        <v>133</v>
      </c>
      <c r="F101" s="0" t="s">
        <v>237</v>
      </c>
      <c r="G101" s="12" t="b">
        <v>0</v>
      </c>
      <c r="H101" s="1" t="s">
        <v>129</v>
      </c>
      <c r="I101" s="1" t="s">
        <v>59</v>
      </c>
      <c r="J101" s="0" t="n">
        <v>343.9</v>
      </c>
      <c r="K101" s="0" t="n">
        <v>1</v>
      </c>
      <c r="L101" s="0" t="n">
        <f aca="false">375.2-J101</f>
        <v>31.3</v>
      </c>
    </row>
    <row r="102" customFormat="false" ht="12.8" hidden="false" customHeight="false" outlineLevel="0" collapsed="false">
      <c r="A102" s="0" t="n">
        <f aca="false">ROW(A102)-3</f>
        <v>99</v>
      </c>
      <c r="B102" s="0" t="n">
        <v>8</v>
      </c>
      <c r="C102" s="1" t="s">
        <v>135</v>
      </c>
      <c r="D102" s="1" t="s">
        <v>136</v>
      </c>
      <c r="F102" s="0" t="s">
        <v>238</v>
      </c>
      <c r="G102" s="12" t="b">
        <v>0</v>
      </c>
      <c r="H102" s="1" t="s">
        <v>129</v>
      </c>
      <c r="I102" s="1" t="s">
        <v>59</v>
      </c>
      <c r="J102" s="0" t="n">
        <v>183.8</v>
      </c>
      <c r="K102" s="0" t="n">
        <v>1</v>
      </c>
      <c r="L102" s="0" t="n">
        <f aca="false">200.6-J102</f>
        <v>16.8</v>
      </c>
    </row>
    <row r="103" customFormat="false" ht="12.8" hidden="false" customHeight="false" outlineLevel="0" collapsed="false">
      <c r="A103" s="0" t="n">
        <f aca="false">ROW(A103)-3</f>
        <v>100</v>
      </c>
      <c r="B103" s="0" t="n">
        <v>8</v>
      </c>
      <c r="C103" s="1" t="s">
        <v>135</v>
      </c>
      <c r="D103" s="1" t="s">
        <v>138</v>
      </c>
      <c r="F103" s="0" t="s">
        <v>239</v>
      </c>
      <c r="G103" s="12" t="b">
        <v>0</v>
      </c>
      <c r="H103" s="1" t="s">
        <v>129</v>
      </c>
      <c r="I103" s="1" t="s">
        <v>59</v>
      </c>
      <c r="J103" s="0" t="n">
        <v>359.2</v>
      </c>
      <c r="K103" s="0" t="n">
        <v>1</v>
      </c>
      <c r="L103" s="0" t="n">
        <f aca="false">391.9-J103</f>
        <v>32.7</v>
      </c>
    </row>
    <row r="104" customFormat="false" ht="12.8" hidden="false" customHeight="false" outlineLevel="0" collapsed="false">
      <c r="A104" s="0" t="n">
        <f aca="false">ROW(A104)-3</f>
        <v>101</v>
      </c>
      <c r="B104" s="0" t="n">
        <v>8</v>
      </c>
      <c r="C104" s="1" t="s">
        <v>140</v>
      </c>
      <c r="D104" s="1" t="s">
        <v>124</v>
      </c>
      <c r="F104" s="0" t="s">
        <v>240</v>
      </c>
      <c r="G104" s="12" t="b">
        <v>0</v>
      </c>
      <c r="H104" s="1" t="s">
        <v>129</v>
      </c>
      <c r="I104" s="1" t="s">
        <v>59</v>
      </c>
      <c r="J104" s="0" t="n">
        <v>51.9</v>
      </c>
      <c r="K104" s="0" t="n">
        <v>1</v>
      </c>
      <c r="L104" s="0" t="n">
        <f aca="false">56.7-J104</f>
        <v>4.8</v>
      </c>
      <c r="M104" s="1" t="s">
        <v>129</v>
      </c>
      <c r="N104" s="1" t="s">
        <v>59</v>
      </c>
      <c r="O104" s="0" t="n">
        <v>77.8</v>
      </c>
      <c r="P104" s="0" t="n">
        <v>1</v>
      </c>
      <c r="Q104" s="0" t="n">
        <f aca="false">84.9-O104</f>
        <v>7.10000000000001</v>
      </c>
      <c r="R104" s="1" t="s">
        <v>129</v>
      </c>
      <c r="S104" s="1" t="s">
        <v>59</v>
      </c>
      <c r="T104" s="0" t="n">
        <v>85.5</v>
      </c>
      <c r="U104" s="0" t="n">
        <v>1</v>
      </c>
      <c r="V104" s="0" t="n">
        <f aca="false">93.3-T104</f>
        <v>7.8</v>
      </c>
    </row>
    <row r="105" customFormat="false" ht="12.8" hidden="false" customHeight="false" outlineLevel="0" collapsed="false">
      <c r="A105" s="0" t="n">
        <f aca="false">ROW(A105)-3</f>
        <v>102</v>
      </c>
      <c r="B105" s="0" t="n">
        <v>8</v>
      </c>
      <c r="C105" s="1" t="s">
        <v>140</v>
      </c>
      <c r="D105" s="1" t="s">
        <v>142</v>
      </c>
      <c r="F105" s="0" t="s">
        <v>241</v>
      </c>
      <c r="G105" s="12" t="b">
        <v>0</v>
      </c>
      <c r="H105" s="1" t="s">
        <v>129</v>
      </c>
      <c r="I105" s="1" t="s">
        <v>59</v>
      </c>
      <c r="J105" s="0" t="n">
        <v>152.3</v>
      </c>
      <c r="K105" s="0" t="n">
        <v>1</v>
      </c>
      <c r="L105" s="0" t="n">
        <f aca="false">166.2-J105</f>
        <v>13.9</v>
      </c>
      <c r="M105" s="1" t="s">
        <v>129</v>
      </c>
      <c r="N105" s="1" t="s">
        <v>59</v>
      </c>
      <c r="O105" s="0" t="n">
        <v>606</v>
      </c>
      <c r="P105" s="0" t="n">
        <v>1</v>
      </c>
      <c r="Q105" s="0" t="n">
        <f aca="false">661.1-O105</f>
        <v>55.1</v>
      </c>
      <c r="R105" s="1" t="s">
        <v>129</v>
      </c>
      <c r="S105" s="1" t="s">
        <v>59</v>
      </c>
      <c r="T105" s="0" t="n">
        <v>666.6</v>
      </c>
      <c r="U105" s="0" t="n">
        <v>1</v>
      </c>
      <c r="V105" s="0" t="n">
        <f aca="false">727.2-T105</f>
        <v>60.6</v>
      </c>
    </row>
    <row r="106" customFormat="false" ht="12.8" hidden="false" customHeight="false" outlineLevel="0" collapsed="false">
      <c r="A106" s="0" t="n">
        <f aca="false">ROW(A106)-3</f>
        <v>103</v>
      </c>
      <c r="B106" s="0" t="n">
        <v>8</v>
      </c>
      <c r="C106" s="1" t="s">
        <v>144</v>
      </c>
      <c r="D106" s="1" t="s">
        <v>144</v>
      </c>
      <c r="F106" s="0" t="s">
        <v>242</v>
      </c>
      <c r="G106" s="12" t="b">
        <v>0</v>
      </c>
      <c r="H106" s="1" t="s">
        <v>129</v>
      </c>
      <c r="I106" s="1" t="s">
        <v>59</v>
      </c>
      <c r="J106" s="0" t="n">
        <v>636</v>
      </c>
      <c r="K106" s="0" t="n">
        <v>1</v>
      </c>
      <c r="L106" s="0" t="n">
        <f aca="false">693.9-J106</f>
        <v>57.9</v>
      </c>
    </row>
    <row r="107" customFormat="false" ht="12.8" hidden="false" customHeight="false" outlineLevel="0" collapsed="false">
      <c r="A107" s="0" t="n">
        <f aca="false">ROW(A107)-3</f>
        <v>104</v>
      </c>
      <c r="B107" s="0" t="n">
        <v>8</v>
      </c>
      <c r="C107" s="1" t="s">
        <v>144</v>
      </c>
      <c r="D107" s="1" t="s">
        <v>146</v>
      </c>
      <c r="F107" s="0" t="s">
        <v>243</v>
      </c>
      <c r="G107" s="12" t="b">
        <v>0</v>
      </c>
      <c r="H107" s="1" t="s">
        <v>129</v>
      </c>
      <c r="I107" s="1" t="s">
        <v>59</v>
      </c>
      <c r="J107" s="0" t="n">
        <v>1548.8</v>
      </c>
      <c r="K107" s="0" t="n">
        <v>1</v>
      </c>
      <c r="L107" s="0" t="n">
        <f aca="false">1689.6-J107</f>
        <v>140.8</v>
      </c>
    </row>
    <row r="108" customFormat="false" ht="12.8" hidden="false" customHeight="false" outlineLevel="0" collapsed="false">
      <c r="A108" s="0" t="n">
        <f aca="false">ROW(A108)-3</f>
        <v>105</v>
      </c>
      <c r="B108" s="0" t="n">
        <v>8</v>
      </c>
      <c r="C108" s="1" t="s">
        <v>144</v>
      </c>
      <c r="D108" s="1" t="s">
        <v>146</v>
      </c>
      <c r="F108" s="0" t="s">
        <v>244</v>
      </c>
      <c r="G108" s="12" t="b">
        <v>0</v>
      </c>
      <c r="H108" s="1" t="s">
        <v>129</v>
      </c>
      <c r="I108" s="1" t="s">
        <v>59</v>
      </c>
      <c r="J108" s="0" t="n">
        <v>1694</v>
      </c>
      <c r="K108" s="0" t="n">
        <v>1</v>
      </c>
      <c r="L108" s="0" t="n">
        <f aca="false">1848-J108</f>
        <v>154</v>
      </c>
    </row>
    <row r="109" customFormat="false" ht="12.8" hidden="false" customHeight="false" outlineLevel="0" collapsed="false">
      <c r="A109" s="0" t="n">
        <f aca="false">ROW(A109)-3</f>
        <v>106</v>
      </c>
      <c r="B109" s="0" t="n">
        <v>9</v>
      </c>
      <c r="C109" s="1" t="s">
        <v>123</v>
      </c>
      <c r="D109" s="1" t="s">
        <v>124</v>
      </c>
      <c r="F109" s="0" t="s">
        <v>245</v>
      </c>
      <c r="G109" s="12" t="b">
        <v>1</v>
      </c>
      <c r="H109" s="1" t="s">
        <v>149</v>
      </c>
      <c r="I109" s="1" t="s">
        <v>52</v>
      </c>
      <c r="J109" s="0" t="n">
        <v>55.1</v>
      </c>
      <c r="K109" s="0" t="n">
        <v>1</v>
      </c>
      <c r="L109" s="0" t="n">
        <f aca="false">60.2-J109</f>
        <v>5.1</v>
      </c>
      <c r="M109" s="1" t="s">
        <v>149</v>
      </c>
      <c r="N109" s="1" t="s">
        <v>52</v>
      </c>
      <c r="O109" s="0" t="n">
        <v>59.7</v>
      </c>
      <c r="P109" s="0" t="n">
        <v>1</v>
      </c>
      <c r="Q109" s="0" t="n">
        <f aca="false">65.2-O109</f>
        <v>5.5</v>
      </c>
      <c r="R109" s="1" t="s">
        <v>149</v>
      </c>
      <c r="S109" s="1" t="s">
        <v>49</v>
      </c>
      <c r="T109" s="0" t="n">
        <v>124.8</v>
      </c>
      <c r="U109" s="0" t="n">
        <v>1</v>
      </c>
      <c r="V109" s="0" t="n">
        <f aca="false">136.2-T109</f>
        <v>11.4</v>
      </c>
      <c r="W109" s="1" t="s">
        <v>149</v>
      </c>
      <c r="X109" s="1" t="s">
        <v>49</v>
      </c>
      <c r="Y109" s="0" t="n">
        <v>186.3</v>
      </c>
      <c r="Z109" s="0" t="n">
        <v>1</v>
      </c>
      <c r="AA109" s="0" t="n">
        <f aca="false">203.3-Y109</f>
        <v>17</v>
      </c>
    </row>
    <row r="110" customFormat="false" ht="12.8" hidden="false" customHeight="false" outlineLevel="0" collapsed="false">
      <c r="A110" s="0" t="n">
        <f aca="false">ROW(A110)-3</f>
        <v>107</v>
      </c>
      <c r="B110" s="0" t="n">
        <v>9</v>
      </c>
      <c r="C110" s="1" t="s">
        <v>123</v>
      </c>
      <c r="D110" s="1" t="s">
        <v>127</v>
      </c>
      <c r="F110" s="0" t="s">
        <v>246</v>
      </c>
      <c r="G110" s="12" t="b">
        <v>0</v>
      </c>
      <c r="H110" s="1" t="s">
        <v>149</v>
      </c>
      <c r="I110" s="1" t="s">
        <v>49</v>
      </c>
      <c r="J110" s="0" t="n">
        <v>40.3</v>
      </c>
      <c r="K110" s="0" t="n">
        <v>1</v>
      </c>
      <c r="L110" s="0" t="n">
        <f aca="false">44-J110</f>
        <v>3.7</v>
      </c>
    </row>
    <row r="111" customFormat="false" ht="12.8" hidden="false" customHeight="false" outlineLevel="0" collapsed="false">
      <c r="A111" s="0" t="n">
        <f aca="false">ROW(A111)-3</f>
        <v>108</v>
      </c>
      <c r="B111" s="0" t="n">
        <v>9</v>
      </c>
      <c r="C111" s="1" t="s">
        <v>130</v>
      </c>
      <c r="D111" s="1" t="s">
        <v>131</v>
      </c>
      <c r="F111" s="0" t="s">
        <v>247</v>
      </c>
      <c r="G111" s="12" t="b">
        <v>0</v>
      </c>
      <c r="H111" s="1" t="s">
        <v>149</v>
      </c>
      <c r="I111" s="1" t="s">
        <v>52</v>
      </c>
      <c r="J111" s="0" t="n">
        <v>33.3</v>
      </c>
      <c r="K111" s="0" t="n">
        <v>1</v>
      </c>
      <c r="L111" s="0" t="n">
        <f aca="false">36.4-J111</f>
        <v>3.1</v>
      </c>
    </row>
    <row r="112" customFormat="false" ht="12.8" hidden="false" customHeight="false" outlineLevel="0" collapsed="false">
      <c r="A112" s="0" t="n">
        <f aca="false">ROW(A112)-3</f>
        <v>109</v>
      </c>
      <c r="B112" s="0" t="n">
        <v>9</v>
      </c>
      <c r="C112" s="1" t="s">
        <v>130</v>
      </c>
      <c r="D112" s="1" t="s">
        <v>133</v>
      </c>
      <c r="F112" s="0" t="s">
        <v>248</v>
      </c>
      <c r="G112" s="12" t="b">
        <v>0</v>
      </c>
      <c r="H112" s="1" t="s">
        <v>149</v>
      </c>
      <c r="I112" s="1" t="s">
        <v>49</v>
      </c>
      <c r="J112" s="0" t="n">
        <v>164.2</v>
      </c>
      <c r="K112" s="0" t="n">
        <v>1</v>
      </c>
      <c r="L112" s="0" t="n">
        <f aca="false">179.2-J112</f>
        <v>15</v>
      </c>
    </row>
    <row r="113" customFormat="false" ht="12.8" hidden="false" customHeight="false" outlineLevel="0" collapsed="false">
      <c r="A113" s="0" t="n">
        <f aca="false">ROW(A113)-3</f>
        <v>110</v>
      </c>
      <c r="B113" s="0" t="n">
        <v>9</v>
      </c>
      <c r="C113" s="1" t="s">
        <v>135</v>
      </c>
      <c r="D113" s="1" t="s">
        <v>136</v>
      </c>
      <c r="F113" s="0" t="s">
        <v>249</v>
      </c>
      <c r="G113" s="12" t="b">
        <v>0</v>
      </c>
      <c r="H113" s="1" t="s">
        <v>129</v>
      </c>
      <c r="I113" s="1" t="s">
        <v>49</v>
      </c>
      <c r="J113" s="0" t="n">
        <v>45.5</v>
      </c>
      <c r="K113" s="0" t="n">
        <v>1</v>
      </c>
      <c r="L113" s="0" t="n">
        <f aca="false">49.7-J113</f>
        <v>4.2</v>
      </c>
    </row>
    <row r="114" customFormat="false" ht="12.8" hidden="false" customHeight="false" outlineLevel="0" collapsed="false">
      <c r="A114" s="0" t="n">
        <f aca="false">ROW(A114)-3</f>
        <v>111</v>
      </c>
      <c r="B114" s="0" t="n">
        <v>9</v>
      </c>
      <c r="C114" s="1" t="s">
        <v>135</v>
      </c>
      <c r="D114" s="1" t="s">
        <v>138</v>
      </c>
      <c r="F114" s="0" t="s">
        <v>250</v>
      </c>
      <c r="G114" s="12" t="b">
        <v>0</v>
      </c>
      <c r="H114" s="1" t="s">
        <v>149</v>
      </c>
      <c r="I114" s="1" t="s">
        <v>49</v>
      </c>
      <c r="J114" s="0" t="n">
        <v>359.3</v>
      </c>
      <c r="K114" s="0" t="n">
        <v>1</v>
      </c>
      <c r="L114" s="0" t="n">
        <f aca="false">392-J114</f>
        <v>32.7</v>
      </c>
    </row>
    <row r="115" customFormat="false" ht="12.8" hidden="false" customHeight="false" outlineLevel="0" collapsed="false">
      <c r="A115" s="0" t="n">
        <f aca="false">ROW(A115)-3</f>
        <v>112</v>
      </c>
      <c r="B115" s="0" t="n">
        <v>9</v>
      </c>
      <c r="C115" s="1" t="s">
        <v>140</v>
      </c>
      <c r="D115" s="1" t="s">
        <v>124</v>
      </c>
      <c r="F115" s="0" t="s">
        <v>251</v>
      </c>
      <c r="G115" s="12" t="b">
        <v>0</v>
      </c>
      <c r="H115" s="1" t="s">
        <v>129</v>
      </c>
      <c r="I115" s="1" t="s">
        <v>49</v>
      </c>
      <c r="J115" s="0" t="n">
        <v>42.1</v>
      </c>
      <c r="K115" s="0" t="n">
        <v>1</v>
      </c>
      <c r="L115" s="0" t="n">
        <f aca="false">46-J115</f>
        <v>3.9</v>
      </c>
    </row>
    <row r="116" customFormat="false" ht="12.8" hidden="false" customHeight="false" outlineLevel="0" collapsed="false">
      <c r="A116" s="0" t="n">
        <f aca="false">ROW(A116)-3</f>
        <v>113</v>
      </c>
      <c r="B116" s="0" t="n">
        <v>9</v>
      </c>
      <c r="C116" s="1" t="s">
        <v>140</v>
      </c>
      <c r="D116" s="1" t="s">
        <v>142</v>
      </c>
      <c r="F116" s="0" t="s">
        <v>252</v>
      </c>
      <c r="G116" s="12" t="b">
        <v>0</v>
      </c>
      <c r="H116" s="1" t="s">
        <v>129</v>
      </c>
      <c r="I116" s="1" t="s">
        <v>49</v>
      </c>
      <c r="J116" s="0" t="n">
        <v>166.9</v>
      </c>
      <c r="K116" s="0" t="n">
        <v>2</v>
      </c>
      <c r="L116" s="0" t="n">
        <f aca="false">182.1-J116</f>
        <v>15.2</v>
      </c>
    </row>
    <row r="117" customFormat="false" ht="12.8" hidden="false" customHeight="false" outlineLevel="0" collapsed="false">
      <c r="A117" s="0" t="n">
        <f aca="false">ROW(A117)-3</f>
        <v>114</v>
      </c>
      <c r="B117" s="0" t="n">
        <v>9</v>
      </c>
      <c r="C117" s="1" t="s">
        <v>144</v>
      </c>
      <c r="D117" s="1" t="s">
        <v>144</v>
      </c>
      <c r="F117" s="0" t="s">
        <v>253</v>
      </c>
      <c r="G117" s="12" t="b">
        <v>0</v>
      </c>
      <c r="H117" s="1" t="s">
        <v>129</v>
      </c>
      <c r="I117" s="1" t="s">
        <v>49</v>
      </c>
      <c r="J117" s="0" t="n">
        <v>571.3</v>
      </c>
      <c r="K117" s="0" t="n">
        <v>1</v>
      </c>
      <c r="L117" s="0" t="n">
        <f aca="false">623.3-J117</f>
        <v>52</v>
      </c>
    </row>
    <row r="118" customFormat="false" ht="12.8" hidden="false" customHeight="false" outlineLevel="0" collapsed="false">
      <c r="A118" s="0" t="n">
        <f aca="false">ROW(A118)-3</f>
        <v>115</v>
      </c>
      <c r="B118" s="0" t="n">
        <v>9</v>
      </c>
      <c r="C118" s="1" t="s">
        <v>144</v>
      </c>
      <c r="D118" s="1" t="s">
        <v>146</v>
      </c>
      <c r="F118" s="0" t="s">
        <v>254</v>
      </c>
      <c r="G118" s="12" t="b">
        <v>0</v>
      </c>
      <c r="H118" s="1" t="s">
        <v>129</v>
      </c>
      <c r="I118" s="1" t="s">
        <v>49</v>
      </c>
      <c r="J118" s="0" t="n">
        <v>1478.8</v>
      </c>
      <c r="K118" s="0" t="n">
        <v>1</v>
      </c>
      <c r="L118" s="0" t="n">
        <f aca="false">1613.3-J118</f>
        <v>134.5</v>
      </c>
    </row>
    <row r="119" customFormat="false" ht="12.8" hidden="false" customHeight="false" outlineLevel="0" collapsed="false">
      <c r="A119" s="0" t="n">
        <f aca="false">ROW(A119)-3</f>
        <v>116</v>
      </c>
      <c r="B119" s="0" t="n">
        <v>10</v>
      </c>
      <c r="C119" s="1" t="s">
        <v>123</v>
      </c>
      <c r="D119" s="1" t="s">
        <v>124</v>
      </c>
      <c r="F119" s="0" t="s">
        <v>255</v>
      </c>
      <c r="G119" s="12" t="b">
        <v>1</v>
      </c>
      <c r="H119" s="1" t="s">
        <v>129</v>
      </c>
      <c r="I119" s="1" t="s">
        <v>52</v>
      </c>
      <c r="J119" s="0" t="n">
        <v>29.2</v>
      </c>
      <c r="K119" s="0" t="n">
        <v>1</v>
      </c>
      <c r="L119" s="0" t="n">
        <f aca="false">31.9-J119</f>
        <v>2.7</v>
      </c>
      <c r="M119" s="1" t="s">
        <v>129</v>
      </c>
      <c r="N119" s="1" t="s">
        <v>52</v>
      </c>
      <c r="O119" s="0" t="n">
        <v>37.1</v>
      </c>
      <c r="P119" s="0" t="n">
        <v>1</v>
      </c>
      <c r="Q119" s="0" t="n">
        <f aca="false">40.5-O119</f>
        <v>3.4</v>
      </c>
      <c r="R119" s="1" t="s">
        <v>129</v>
      </c>
      <c r="S119" s="1" t="s">
        <v>52</v>
      </c>
      <c r="T119" s="0" t="n">
        <v>58.4</v>
      </c>
      <c r="U119" s="0" t="n">
        <v>1</v>
      </c>
      <c r="V119" s="0" t="n">
        <f aca="false">63.8-T119</f>
        <v>5.4</v>
      </c>
      <c r="W119" s="1" t="s">
        <v>129</v>
      </c>
      <c r="X119" s="1" t="s">
        <v>52</v>
      </c>
      <c r="Y119" s="0" t="n">
        <v>152</v>
      </c>
      <c r="Z119" s="0" t="n">
        <v>1</v>
      </c>
      <c r="AA119" s="0" t="n">
        <f aca="false">165.9-Y119</f>
        <v>13.9</v>
      </c>
      <c r="AB119" s="1" t="s">
        <v>129</v>
      </c>
      <c r="AC119" s="1" t="s">
        <v>52</v>
      </c>
      <c r="AD119" s="0" t="n">
        <v>180.7</v>
      </c>
      <c r="AE119" s="0" t="n">
        <v>1</v>
      </c>
      <c r="AF119" s="0" t="n">
        <f aca="false">197.2-AD119</f>
        <v>16.5</v>
      </c>
    </row>
    <row r="120" customFormat="false" ht="12.8" hidden="false" customHeight="false" outlineLevel="0" collapsed="false">
      <c r="A120" s="0" t="n">
        <f aca="false">ROW(A120)-3</f>
        <v>117</v>
      </c>
      <c r="B120" s="0" t="n">
        <v>10</v>
      </c>
      <c r="C120" s="1" t="s">
        <v>123</v>
      </c>
      <c r="D120" s="1" t="s">
        <v>127</v>
      </c>
      <c r="F120" s="0" t="s">
        <v>256</v>
      </c>
      <c r="G120" s="12" t="b">
        <v>1</v>
      </c>
      <c r="H120" s="1" t="s">
        <v>129</v>
      </c>
      <c r="I120" s="1" t="s">
        <v>67</v>
      </c>
      <c r="J120" s="0" t="n">
        <v>37.1</v>
      </c>
      <c r="K120" s="0" t="n">
        <v>1</v>
      </c>
      <c r="L120" s="0" t="n">
        <f aca="false">40.5-J120</f>
        <v>3.4</v>
      </c>
      <c r="M120" s="1" t="s">
        <v>129</v>
      </c>
      <c r="N120" s="1" t="s">
        <v>67</v>
      </c>
      <c r="O120" s="0" t="n">
        <v>56.4</v>
      </c>
      <c r="P120" s="0" t="n">
        <v>1</v>
      </c>
      <c r="Q120" s="0" t="n">
        <f aca="false">61.6-O120</f>
        <v>5.2</v>
      </c>
      <c r="R120" s="1" t="s">
        <v>129</v>
      </c>
      <c r="S120" s="1" t="s">
        <v>67</v>
      </c>
      <c r="T120" s="0" t="n">
        <v>99.5</v>
      </c>
      <c r="U120" s="0" t="n">
        <v>1</v>
      </c>
      <c r="V120" s="0" t="n">
        <f aca="false">108.6-T120</f>
        <v>9.09999999999999</v>
      </c>
      <c r="W120" s="1" t="s">
        <v>129</v>
      </c>
      <c r="X120" s="1" t="s">
        <v>67</v>
      </c>
      <c r="Y120" s="0" t="n">
        <v>210.9</v>
      </c>
      <c r="Z120" s="0" t="n">
        <v>1</v>
      </c>
      <c r="AA120" s="0" t="n">
        <f aca="false">230.1-Y120</f>
        <v>19.2</v>
      </c>
      <c r="AB120" s="1" t="s">
        <v>129</v>
      </c>
      <c r="AC120" s="1" t="s">
        <v>67</v>
      </c>
      <c r="AD120" s="0" t="n">
        <v>277.6</v>
      </c>
      <c r="AE120" s="0" t="n">
        <v>1</v>
      </c>
      <c r="AF120" s="0" t="n">
        <f aca="false">302.9-AD120</f>
        <v>25.3</v>
      </c>
      <c r="AG120" s="1" t="s">
        <v>129</v>
      </c>
      <c r="AH120" s="1" t="s">
        <v>67</v>
      </c>
      <c r="AI120" s="0" t="n">
        <v>355.7</v>
      </c>
      <c r="AJ120" s="0" t="n">
        <v>1</v>
      </c>
      <c r="AK120" s="0" t="n">
        <f aca="false">388.1-AI120</f>
        <v>32.4</v>
      </c>
    </row>
    <row r="121" customFormat="false" ht="12.8" hidden="false" customHeight="false" outlineLevel="0" collapsed="false">
      <c r="A121" s="0" t="n">
        <f aca="false">ROW(A121)-3</f>
        <v>118</v>
      </c>
      <c r="B121" s="0" t="n">
        <v>10</v>
      </c>
      <c r="C121" s="1" t="s">
        <v>130</v>
      </c>
      <c r="D121" s="1" t="s">
        <v>131</v>
      </c>
      <c r="F121" s="0" t="s">
        <v>257</v>
      </c>
      <c r="G121" s="12" t="b">
        <v>0</v>
      </c>
      <c r="H121" s="1" t="s">
        <v>129</v>
      </c>
      <c r="I121" s="1" t="s">
        <v>52</v>
      </c>
      <c r="J121" s="0" t="n">
        <v>47.3</v>
      </c>
      <c r="K121" s="0" t="n">
        <v>1</v>
      </c>
      <c r="L121" s="0" t="n">
        <f aca="false">51.6-J121</f>
        <v>4.3</v>
      </c>
    </row>
    <row r="122" customFormat="false" ht="12.8" hidden="false" customHeight="false" outlineLevel="0" collapsed="false">
      <c r="A122" s="0" t="n">
        <f aca="false">ROW(A122)-3</f>
        <v>119</v>
      </c>
      <c r="B122" s="0" t="n">
        <v>10</v>
      </c>
      <c r="C122" s="1" t="s">
        <v>130</v>
      </c>
      <c r="D122" s="1" t="s">
        <v>133</v>
      </c>
      <c r="F122" s="0" t="s">
        <v>258</v>
      </c>
      <c r="G122" s="12" t="b">
        <v>0</v>
      </c>
      <c r="H122" s="1" t="s">
        <v>129</v>
      </c>
      <c r="I122" s="1" t="s">
        <v>67</v>
      </c>
      <c r="J122" s="0" t="n">
        <v>187</v>
      </c>
      <c r="K122" s="0" t="n">
        <v>1</v>
      </c>
      <c r="L122" s="0" t="n">
        <f aca="false">204-J122</f>
        <v>17</v>
      </c>
    </row>
    <row r="123" customFormat="false" ht="12.8" hidden="false" customHeight="false" outlineLevel="0" collapsed="false">
      <c r="A123" s="0" t="n">
        <f aca="false">ROW(A123)-3</f>
        <v>120</v>
      </c>
      <c r="B123" s="0" t="n">
        <v>10</v>
      </c>
      <c r="C123" s="1" t="s">
        <v>135</v>
      </c>
      <c r="D123" s="1" t="s">
        <v>136</v>
      </c>
      <c r="F123" s="0" t="s">
        <v>259</v>
      </c>
      <c r="G123" s="12" t="b">
        <v>0</v>
      </c>
      <c r="H123" s="1" t="s">
        <v>129</v>
      </c>
      <c r="I123" s="1" t="s">
        <v>67</v>
      </c>
      <c r="J123" s="0" t="n">
        <v>63.1</v>
      </c>
      <c r="K123" s="0" t="n">
        <v>1</v>
      </c>
      <c r="L123" s="0" t="n">
        <f aca="false">68.9-J123</f>
        <v>5.8</v>
      </c>
    </row>
    <row r="124" customFormat="false" ht="12.8" hidden="false" customHeight="false" outlineLevel="0" collapsed="false">
      <c r="A124" s="0" t="n">
        <f aca="false">ROW(A124)-3</f>
        <v>121</v>
      </c>
      <c r="B124" s="0" t="n">
        <v>10</v>
      </c>
      <c r="C124" s="1" t="s">
        <v>135</v>
      </c>
      <c r="D124" s="1" t="s">
        <v>138</v>
      </c>
      <c r="F124" s="0" t="s">
        <v>260</v>
      </c>
      <c r="G124" s="12" t="b">
        <v>0</v>
      </c>
      <c r="H124" s="1" t="s">
        <v>129</v>
      </c>
      <c r="I124" s="1" t="s">
        <v>67</v>
      </c>
      <c r="J124" s="0" t="n">
        <v>288.3</v>
      </c>
      <c r="K124" s="0" t="n">
        <v>1</v>
      </c>
      <c r="L124" s="0" t="n">
        <f aca="false">314.6-J124</f>
        <v>26.3</v>
      </c>
    </row>
    <row r="125" customFormat="false" ht="12.8" hidden="false" customHeight="false" outlineLevel="0" collapsed="false">
      <c r="A125" s="0" t="n">
        <f aca="false">ROW(A125)-3</f>
        <v>122</v>
      </c>
      <c r="B125" s="0" t="n">
        <v>10</v>
      </c>
      <c r="C125" s="1" t="s">
        <v>140</v>
      </c>
      <c r="D125" s="1" t="s">
        <v>124</v>
      </c>
      <c r="F125" s="0" t="s">
        <v>261</v>
      </c>
      <c r="G125" s="12" t="b">
        <v>0</v>
      </c>
      <c r="H125" s="1" t="s">
        <v>129</v>
      </c>
      <c r="I125" s="1" t="s">
        <v>67</v>
      </c>
      <c r="J125" s="0" t="n">
        <v>77.1</v>
      </c>
      <c r="K125" s="0" t="n">
        <v>1</v>
      </c>
      <c r="L125" s="0" t="n">
        <f aca="false">84.2-J125</f>
        <v>7.10000000000001</v>
      </c>
    </row>
    <row r="126" customFormat="false" ht="12.8" hidden="false" customHeight="false" outlineLevel="0" collapsed="false">
      <c r="A126" s="0" t="n">
        <f aca="false">ROW(A126)-3</f>
        <v>123</v>
      </c>
      <c r="B126" s="0" t="n">
        <v>10</v>
      </c>
      <c r="C126" s="1" t="s">
        <v>140</v>
      </c>
      <c r="D126" s="1" t="s">
        <v>124</v>
      </c>
      <c r="F126" s="0" t="s">
        <v>262</v>
      </c>
      <c r="G126" s="12" t="b">
        <v>0</v>
      </c>
      <c r="H126" s="1" t="s">
        <v>129</v>
      </c>
      <c r="I126" s="1" t="s">
        <v>67</v>
      </c>
      <c r="J126" s="0" t="n">
        <v>133.1</v>
      </c>
      <c r="K126" s="0" t="n">
        <v>1</v>
      </c>
      <c r="L126" s="0" t="n">
        <f aca="false">145.3-J126</f>
        <v>12.2</v>
      </c>
    </row>
    <row r="127" customFormat="false" ht="12.8" hidden="false" customHeight="false" outlineLevel="0" collapsed="false">
      <c r="A127" s="0" t="n">
        <f aca="false">ROW(A127)-3</f>
        <v>124</v>
      </c>
      <c r="B127" s="0" t="n">
        <v>10</v>
      </c>
      <c r="C127" s="1" t="s">
        <v>140</v>
      </c>
      <c r="D127" s="1" t="s">
        <v>142</v>
      </c>
      <c r="F127" s="0" t="s">
        <v>263</v>
      </c>
      <c r="G127" s="12" t="b">
        <v>0</v>
      </c>
      <c r="H127" s="1" t="s">
        <v>129</v>
      </c>
      <c r="I127" s="1" t="s">
        <v>67</v>
      </c>
      <c r="J127" s="0" t="n">
        <v>534.3</v>
      </c>
      <c r="K127" s="0" t="n">
        <v>1</v>
      </c>
      <c r="L127" s="0" t="n">
        <f aca="false">583-J127</f>
        <v>48.7</v>
      </c>
    </row>
    <row r="128" customFormat="false" ht="12.8" hidden="false" customHeight="false" outlineLevel="0" collapsed="false">
      <c r="A128" s="0" t="n">
        <f aca="false">ROW(A128)-3</f>
        <v>125</v>
      </c>
      <c r="B128" s="0" t="n">
        <v>10</v>
      </c>
      <c r="C128" s="1" t="s">
        <v>140</v>
      </c>
      <c r="D128" s="1" t="s">
        <v>142</v>
      </c>
      <c r="F128" s="0" t="s">
        <v>264</v>
      </c>
      <c r="G128" s="12" t="b">
        <v>0</v>
      </c>
      <c r="H128" s="1" t="s">
        <v>129</v>
      </c>
      <c r="I128" s="1" t="s">
        <v>67</v>
      </c>
      <c r="J128" s="0" t="n">
        <v>789.5</v>
      </c>
      <c r="K128" s="0" t="n">
        <v>1</v>
      </c>
      <c r="L128" s="0" t="n">
        <f aca="false">861.4-J128</f>
        <v>71.9</v>
      </c>
    </row>
    <row r="129" customFormat="false" ht="12.8" hidden="false" customHeight="false" outlineLevel="0" collapsed="false">
      <c r="A129" s="0" t="n">
        <f aca="false">ROW(A129)-3</f>
        <v>126</v>
      </c>
      <c r="B129" s="0" t="n">
        <v>10</v>
      </c>
      <c r="C129" s="1" t="s">
        <v>144</v>
      </c>
      <c r="D129" s="1" t="s">
        <v>144</v>
      </c>
      <c r="F129" s="0" t="s">
        <v>265</v>
      </c>
      <c r="G129" s="12" t="b">
        <v>0</v>
      </c>
      <c r="H129" s="1" t="s">
        <v>129</v>
      </c>
      <c r="I129" s="1" t="s">
        <v>67</v>
      </c>
      <c r="J129" s="0" t="n">
        <v>637.8</v>
      </c>
      <c r="K129" s="0" t="n">
        <v>1</v>
      </c>
      <c r="L129" s="0" t="n">
        <f aca="false">695.8-J129</f>
        <v>58</v>
      </c>
    </row>
    <row r="130" customFormat="false" ht="12.8" hidden="false" customHeight="false" outlineLevel="0" collapsed="false">
      <c r="A130" s="0" t="n">
        <f aca="false">ROW(A130)-3</f>
        <v>127</v>
      </c>
      <c r="B130" s="0" t="n">
        <v>10</v>
      </c>
      <c r="C130" s="1" t="s">
        <v>144</v>
      </c>
      <c r="D130" s="1" t="s">
        <v>146</v>
      </c>
      <c r="F130" s="0" t="s">
        <v>266</v>
      </c>
      <c r="G130" s="12" t="b">
        <v>0</v>
      </c>
      <c r="H130" s="1" t="s">
        <v>129</v>
      </c>
      <c r="I130" s="1" t="s">
        <v>67</v>
      </c>
      <c r="J130" s="0" t="n">
        <v>1694.1</v>
      </c>
      <c r="K130" s="0" t="n">
        <v>1</v>
      </c>
      <c r="L130" s="0" t="n">
        <f aca="false">1848.2-J130</f>
        <v>154.1</v>
      </c>
    </row>
    <row r="131" customFormat="false" ht="12.8" hidden="false" customHeight="false" outlineLevel="0" collapsed="false">
      <c r="A131" s="0" t="n">
        <f aca="false">ROW(A131)-3</f>
        <v>128</v>
      </c>
      <c r="B131" s="0" t="n">
        <v>11</v>
      </c>
      <c r="C131" s="1" t="s">
        <v>123</v>
      </c>
      <c r="D131" s="1" t="s">
        <v>124</v>
      </c>
      <c r="F131" s="0" t="s">
        <v>267</v>
      </c>
      <c r="G131" s="12" t="b">
        <v>1</v>
      </c>
      <c r="H131" s="1" t="s">
        <v>126</v>
      </c>
      <c r="I131" s="1" t="s">
        <v>52</v>
      </c>
      <c r="J131" s="0" t="n">
        <v>48.8</v>
      </c>
      <c r="K131" s="0" t="n">
        <v>1</v>
      </c>
      <c r="L131" s="0" t="n">
        <f aca="false">53.3-J131</f>
        <v>4.5</v>
      </c>
      <c r="M131" s="1" t="s">
        <v>126</v>
      </c>
      <c r="N131" s="1" t="s">
        <v>52</v>
      </c>
      <c r="O131" s="0" t="n">
        <v>111.1</v>
      </c>
      <c r="P131" s="0" t="n">
        <v>1</v>
      </c>
      <c r="Q131" s="0" t="n">
        <f aca="false">121.2-O131</f>
        <v>10.1</v>
      </c>
      <c r="R131" s="1" t="s">
        <v>126</v>
      </c>
      <c r="S131" s="1" t="s">
        <v>52</v>
      </c>
      <c r="T131" s="0" t="n">
        <v>297.3</v>
      </c>
      <c r="U131" s="0" t="n">
        <v>1</v>
      </c>
      <c r="V131" s="0" t="n">
        <f aca="false">324.4-T131</f>
        <v>27.1</v>
      </c>
    </row>
    <row r="132" customFormat="false" ht="12.8" hidden="false" customHeight="false" outlineLevel="0" collapsed="false">
      <c r="A132" s="0" t="n">
        <f aca="false">ROW(A132)-3</f>
        <v>129</v>
      </c>
      <c r="B132" s="0" t="n">
        <v>11</v>
      </c>
      <c r="C132" s="1" t="s">
        <v>123</v>
      </c>
      <c r="D132" s="1" t="s">
        <v>142</v>
      </c>
      <c r="F132" s="0" t="s">
        <v>268</v>
      </c>
      <c r="G132" s="12" t="b">
        <v>1</v>
      </c>
      <c r="H132" s="1" t="s">
        <v>126</v>
      </c>
      <c r="I132" s="1" t="s">
        <v>67</v>
      </c>
      <c r="J132" s="0" t="n">
        <v>99.6</v>
      </c>
      <c r="K132" s="0" t="n">
        <v>1</v>
      </c>
      <c r="L132" s="0" t="n">
        <f aca="false">108.7-J132</f>
        <v>9.10000000000001</v>
      </c>
      <c r="M132" s="1" t="s">
        <v>126</v>
      </c>
      <c r="N132" s="1" t="s">
        <v>67</v>
      </c>
      <c r="O132" s="0" t="n">
        <v>184</v>
      </c>
      <c r="P132" s="0" t="n">
        <v>1</v>
      </c>
      <c r="Q132" s="0" t="n">
        <f aca="false">200.7-O132</f>
        <v>16.7</v>
      </c>
      <c r="R132" s="1" t="s">
        <v>126</v>
      </c>
      <c r="S132" s="1" t="s">
        <v>67</v>
      </c>
      <c r="T132" s="0" t="n">
        <v>496.2</v>
      </c>
      <c r="U132" s="0" t="n">
        <v>1</v>
      </c>
      <c r="V132" s="0" t="n">
        <f aca="false">541.4-T132</f>
        <v>45.2</v>
      </c>
    </row>
    <row r="133" customFormat="false" ht="12.8" hidden="false" customHeight="false" outlineLevel="0" collapsed="false">
      <c r="A133" s="0" t="n">
        <f aca="false">ROW(A133)-3</f>
        <v>130</v>
      </c>
      <c r="B133" s="0" t="n">
        <v>11</v>
      </c>
      <c r="C133" s="1" t="s">
        <v>130</v>
      </c>
      <c r="D133" s="1" t="s">
        <v>131</v>
      </c>
      <c r="F133" s="0" t="s">
        <v>269</v>
      </c>
      <c r="G133" s="12" t="b">
        <v>0</v>
      </c>
      <c r="H133" s="1" t="s">
        <v>126</v>
      </c>
      <c r="I133" s="1" t="s">
        <v>52</v>
      </c>
      <c r="J133" s="0" t="n">
        <v>77</v>
      </c>
      <c r="K133" s="0" t="n">
        <v>1</v>
      </c>
      <c r="L133" s="0" t="n">
        <f aca="false">84-J133</f>
        <v>7</v>
      </c>
    </row>
    <row r="134" customFormat="false" ht="12.8" hidden="false" customHeight="false" outlineLevel="0" collapsed="false">
      <c r="A134" s="0" t="n">
        <f aca="false">ROW(A134)-3</f>
        <v>131</v>
      </c>
      <c r="B134" s="0" t="n">
        <v>11</v>
      </c>
      <c r="C134" s="1" t="s">
        <v>130</v>
      </c>
      <c r="D134" s="1" t="s">
        <v>131</v>
      </c>
      <c r="F134" s="0" t="s">
        <v>270</v>
      </c>
      <c r="G134" s="12" t="b">
        <v>0</v>
      </c>
      <c r="H134" s="1" t="s">
        <v>126</v>
      </c>
      <c r="I134" s="1" t="s">
        <v>67</v>
      </c>
      <c r="J134" s="0" t="n">
        <v>145.7</v>
      </c>
      <c r="K134" s="0" t="n">
        <v>1</v>
      </c>
      <c r="L134" s="0" t="n">
        <f aca="false">159-J134</f>
        <v>13.3</v>
      </c>
    </row>
    <row r="135" customFormat="false" ht="12.8" hidden="false" customHeight="false" outlineLevel="0" collapsed="false">
      <c r="A135" s="0" t="n">
        <f aca="false">ROW(A135)-3</f>
        <v>132</v>
      </c>
      <c r="B135" s="0" t="n">
        <v>11</v>
      </c>
      <c r="C135" s="1" t="s">
        <v>130</v>
      </c>
      <c r="D135" s="1" t="s">
        <v>131</v>
      </c>
      <c r="F135" s="0" t="s">
        <v>271</v>
      </c>
      <c r="G135" s="12" t="b">
        <v>0</v>
      </c>
      <c r="H135" s="1" t="s">
        <v>126</v>
      </c>
      <c r="I135" s="1" t="s">
        <v>67</v>
      </c>
      <c r="J135" s="0" t="n">
        <v>62.3</v>
      </c>
      <c r="K135" s="0" t="n">
        <v>1</v>
      </c>
      <c r="L135" s="0" t="n">
        <f aca="false">68-J135</f>
        <v>5.7</v>
      </c>
      <c r="M135" s="1" t="s">
        <v>126</v>
      </c>
      <c r="N135" s="1" t="s">
        <v>67</v>
      </c>
      <c r="O135" s="0" t="n">
        <v>127.6</v>
      </c>
      <c r="P135" s="0" t="n">
        <v>1</v>
      </c>
      <c r="Q135" s="0" t="n">
        <f aca="false">139.2-O135</f>
        <v>11.6</v>
      </c>
    </row>
    <row r="136" customFormat="false" ht="12.8" hidden="false" customHeight="false" outlineLevel="0" collapsed="false">
      <c r="A136" s="0" t="n">
        <f aca="false">ROW(A136)-3</f>
        <v>133</v>
      </c>
      <c r="B136" s="0" t="n">
        <v>11</v>
      </c>
      <c r="C136" s="1" t="s">
        <v>130</v>
      </c>
      <c r="D136" s="1" t="s">
        <v>131</v>
      </c>
      <c r="F136" s="0" t="s">
        <v>272</v>
      </c>
      <c r="G136" s="12" t="b">
        <v>0</v>
      </c>
      <c r="H136" s="1" t="s">
        <v>126</v>
      </c>
      <c r="I136" s="1" t="s">
        <v>67</v>
      </c>
      <c r="J136" s="0" t="n">
        <v>62.3</v>
      </c>
      <c r="K136" s="0" t="n">
        <v>1</v>
      </c>
      <c r="L136" s="0" t="n">
        <f aca="false">68-J136</f>
        <v>5.7</v>
      </c>
      <c r="M136" s="1" t="s">
        <v>126</v>
      </c>
      <c r="N136" s="1" t="s">
        <v>67</v>
      </c>
      <c r="O136" s="0" t="n">
        <v>158.2</v>
      </c>
      <c r="P136" s="0" t="n">
        <v>1</v>
      </c>
      <c r="Q136" s="0" t="n">
        <f aca="false">172.6-O136</f>
        <v>14.4</v>
      </c>
    </row>
    <row r="137" customFormat="false" ht="12.8" hidden="false" customHeight="false" outlineLevel="0" collapsed="false">
      <c r="A137" s="0" t="n">
        <f aca="false">ROW(A137)-3</f>
        <v>134</v>
      </c>
      <c r="B137" s="0" t="n">
        <v>11</v>
      </c>
      <c r="C137" s="1" t="s">
        <v>130</v>
      </c>
      <c r="D137" s="1" t="s">
        <v>133</v>
      </c>
      <c r="F137" s="0" t="s">
        <v>273</v>
      </c>
      <c r="G137" s="12" t="b">
        <v>0</v>
      </c>
      <c r="H137" s="1" t="s">
        <v>126</v>
      </c>
      <c r="I137" s="1" t="s">
        <v>67</v>
      </c>
      <c r="J137" s="0" t="n">
        <v>152.6</v>
      </c>
      <c r="K137" s="0" t="n">
        <v>1</v>
      </c>
      <c r="L137" s="0" t="n">
        <f aca="false">166.5-J137</f>
        <v>13.9</v>
      </c>
    </row>
    <row r="138" customFormat="false" ht="12.8" hidden="false" customHeight="false" outlineLevel="0" collapsed="false">
      <c r="A138" s="0" t="n">
        <f aca="false">ROW(A138)-3</f>
        <v>135</v>
      </c>
      <c r="B138" s="0" t="n">
        <v>11</v>
      </c>
      <c r="C138" s="1" t="s">
        <v>135</v>
      </c>
      <c r="D138" s="1" t="s">
        <v>136</v>
      </c>
      <c r="F138" s="0" t="s">
        <v>274</v>
      </c>
      <c r="G138" s="12" t="b">
        <v>0</v>
      </c>
      <c r="H138" s="1" t="s">
        <v>126</v>
      </c>
      <c r="I138" s="1" t="s">
        <v>67</v>
      </c>
      <c r="J138" s="0" t="n">
        <v>121.1</v>
      </c>
      <c r="K138" s="0" t="n">
        <v>1</v>
      </c>
      <c r="L138" s="0" t="n">
        <f aca="false">132.2-J138</f>
        <v>11.1</v>
      </c>
    </row>
    <row r="139" customFormat="false" ht="12.8" hidden="false" customHeight="false" outlineLevel="0" collapsed="false">
      <c r="A139" s="0" t="n">
        <f aca="false">ROW(A139)-3</f>
        <v>136</v>
      </c>
      <c r="B139" s="0" t="n">
        <v>11</v>
      </c>
      <c r="C139" s="1" t="s">
        <v>135</v>
      </c>
      <c r="D139" s="1" t="s">
        <v>138</v>
      </c>
      <c r="F139" s="0" t="s">
        <v>275</v>
      </c>
      <c r="G139" s="12" t="b">
        <v>0</v>
      </c>
      <c r="H139" s="1" t="s">
        <v>126</v>
      </c>
      <c r="I139" s="1" t="s">
        <v>67</v>
      </c>
      <c r="J139" s="0" t="n">
        <v>437.9</v>
      </c>
      <c r="K139" s="0" t="n">
        <v>1</v>
      </c>
      <c r="L139" s="0" t="n">
        <f aca="false">477.8-J139</f>
        <v>39.9</v>
      </c>
    </row>
    <row r="140" customFormat="false" ht="12.8" hidden="false" customHeight="false" outlineLevel="0" collapsed="false">
      <c r="A140" s="0" t="n">
        <f aca="false">ROW(A140)-3</f>
        <v>137</v>
      </c>
      <c r="B140" s="0" t="n">
        <v>11</v>
      </c>
      <c r="C140" s="1" t="s">
        <v>140</v>
      </c>
      <c r="D140" s="1" t="s">
        <v>124</v>
      </c>
      <c r="F140" s="0" t="s">
        <v>276</v>
      </c>
      <c r="G140" s="12" t="b">
        <v>0</v>
      </c>
      <c r="H140" s="1" t="s">
        <v>129</v>
      </c>
      <c r="I140" s="1" t="s">
        <v>67</v>
      </c>
      <c r="J140" s="0" t="n">
        <v>50.5</v>
      </c>
      <c r="K140" s="0" t="n">
        <v>1</v>
      </c>
      <c r="L140" s="0" t="n">
        <f aca="false">55.1-J140</f>
        <v>4.6</v>
      </c>
    </row>
    <row r="141" customFormat="false" ht="12.8" hidden="false" customHeight="false" outlineLevel="0" collapsed="false">
      <c r="A141" s="0" t="n">
        <f aca="false">ROW(A141)-3</f>
        <v>138</v>
      </c>
      <c r="B141" s="0" t="n">
        <v>11</v>
      </c>
      <c r="C141" s="1" t="s">
        <v>140</v>
      </c>
      <c r="D141" s="1" t="s">
        <v>142</v>
      </c>
      <c r="F141" s="0" t="s">
        <v>277</v>
      </c>
      <c r="G141" s="12" t="b">
        <v>0</v>
      </c>
      <c r="H141" s="1" t="s">
        <v>129</v>
      </c>
      <c r="I141" s="1" t="s">
        <v>67</v>
      </c>
      <c r="J141" s="0" t="n">
        <v>377.2</v>
      </c>
      <c r="K141" s="0" t="n">
        <v>1</v>
      </c>
      <c r="L141" s="0" t="n">
        <f aca="false">411.5-J141</f>
        <v>34.3</v>
      </c>
    </row>
    <row r="142" customFormat="false" ht="12.8" hidden="false" customHeight="false" outlineLevel="0" collapsed="false">
      <c r="A142" s="0" t="n">
        <f aca="false">ROW(A142)-3</f>
        <v>139</v>
      </c>
      <c r="B142" s="0" t="n">
        <v>11</v>
      </c>
      <c r="C142" s="1" t="s">
        <v>140</v>
      </c>
      <c r="D142" s="1" t="s">
        <v>142</v>
      </c>
      <c r="F142" s="0" t="s">
        <v>278</v>
      </c>
      <c r="G142" s="12" t="b">
        <v>0</v>
      </c>
      <c r="H142" s="1" t="s">
        <v>126</v>
      </c>
      <c r="I142" s="1" t="s">
        <v>67</v>
      </c>
      <c r="J142" s="0" t="n">
        <v>553.3</v>
      </c>
      <c r="K142" s="0" t="n">
        <v>1</v>
      </c>
      <c r="L142" s="0" t="n">
        <f aca="false">603.6-J142</f>
        <v>50.3000000000001</v>
      </c>
    </row>
    <row r="143" customFormat="false" ht="12.8" hidden="false" customHeight="false" outlineLevel="0" collapsed="false">
      <c r="A143" s="0" t="n">
        <f aca="false">ROW(A143)-3</f>
        <v>140</v>
      </c>
      <c r="B143" s="0" t="n">
        <v>11</v>
      </c>
      <c r="C143" s="1" t="s">
        <v>144</v>
      </c>
      <c r="D143" s="1" t="s">
        <v>144</v>
      </c>
      <c r="F143" s="0" t="s">
        <v>279</v>
      </c>
      <c r="G143" s="12" t="b">
        <v>0</v>
      </c>
      <c r="H143" s="1" t="s">
        <v>126</v>
      </c>
      <c r="I143" s="1" t="s">
        <v>67</v>
      </c>
      <c r="J143" s="0" t="n">
        <v>794.6</v>
      </c>
      <c r="K143" s="0" t="n">
        <v>1</v>
      </c>
      <c r="L143" s="0" t="n">
        <f aca="false">866.9-J143</f>
        <v>72.3</v>
      </c>
    </row>
    <row r="144" customFormat="false" ht="12.8" hidden="false" customHeight="false" outlineLevel="0" collapsed="false">
      <c r="A144" s="0" t="n">
        <f aca="false">ROW(A144)-3</f>
        <v>141</v>
      </c>
      <c r="B144" s="0" t="n">
        <v>11</v>
      </c>
      <c r="C144" s="1" t="s">
        <v>144</v>
      </c>
      <c r="D144" s="1" t="s">
        <v>146</v>
      </c>
      <c r="F144" s="0" t="s">
        <v>280</v>
      </c>
      <c r="G144" s="12" t="b">
        <v>0</v>
      </c>
      <c r="H144" s="1" t="s">
        <v>126</v>
      </c>
      <c r="I144" s="1" t="s">
        <v>67</v>
      </c>
      <c r="J144" s="0" t="n">
        <v>1890.8</v>
      </c>
      <c r="K144" s="0" t="n">
        <v>1</v>
      </c>
      <c r="L144" s="0" t="n">
        <f aca="false">2062.7-J144</f>
        <v>171.9</v>
      </c>
    </row>
    <row r="145" customFormat="false" ht="12.8" hidden="false" customHeight="false" outlineLevel="0" collapsed="false">
      <c r="A145" s="0" t="n">
        <f aca="false">ROW(A145)-3</f>
        <v>142</v>
      </c>
      <c r="B145" s="0" t="n">
        <v>12</v>
      </c>
      <c r="C145" s="1" t="s">
        <v>123</v>
      </c>
      <c r="D145" s="1" t="s">
        <v>124</v>
      </c>
      <c r="F145" s="0" t="s">
        <v>281</v>
      </c>
      <c r="G145" s="12" t="b">
        <v>1</v>
      </c>
      <c r="H145" s="1" t="s">
        <v>129</v>
      </c>
      <c r="I145" s="1" t="s">
        <v>52</v>
      </c>
      <c r="J145" s="0" t="n">
        <v>44</v>
      </c>
      <c r="K145" s="0" t="n">
        <v>1</v>
      </c>
      <c r="L145" s="0" t="n">
        <f aca="false">48-J145</f>
        <v>4</v>
      </c>
      <c r="M145" s="1" t="s">
        <v>129</v>
      </c>
      <c r="N145" s="1" t="s">
        <v>52</v>
      </c>
      <c r="O145" s="0" t="n">
        <v>111.4</v>
      </c>
      <c r="P145" s="0" t="n">
        <v>1</v>
      </c>
      <c r="Q145" s="0" t="n">
        <f aca="false">121.6-O145</f>
        <v>10.2</v>
      </c>
      <c r="R145" s="1" t="s">
        <v>129</v>
      </c>
      <c r="S145" s="1" t="s">
        <v>49</v>
      </c>
      <c r="T145" s="0" t="n">
        <v>117.1</v>
      </c>
      <c r="U145" s="0" t="n">
        <v>1</v>
      </c>
      <c r="V145" s="0" t="n">
        <f aca="false">127.8-T145</f>
        <v>10.7</v>
      </c>
      <c r="W145" s="1" t="s">
        <v>129</v>
      </c>
      <c r="X145" s="1" t="s">
        <v>49</v>
      </c>
      <c r="Y145" s="0" t="n">
        <v>183.9</v>
      </c>
      <c r="Z145" s="0" t="n">
        <v>1</v>
      </c>
      <c r="AA145" s="0" t="n">
        <f aca="false">200.7-Y145</f>
        <v>16.8</v>
      </c>
    </row>
    <row r="146" customFormat="false" ht="12.8" hidden="false" customHeight="false" outlineLevel="0" collapsed="false">
      <c r="A146" s="0" t="n">
        <f aca="false">ROW(A146)-3</f>
        <v>143</v>
      </c>
      <c r="B146" s="0" t="n">
        <v>12</v>
      </c>
      <c r="C146" s="1" t="s">
        <v>123</v>
      </c>
      <c r="D146" s="1" t="s">
        <v>127</v>
      </c>
      <c r="F146" s="0" t="s">
        <v>282</v>
      </c>
      <c r="G146" s="12" t="b">
        <v>0</v>
      </c>
      <c r="H146" s="1" t="s">
        <v>129</v>
      </c>
      <c r="I146" s="1" t="s">
        <v>49</v>
      </c>
      <c r="J146" s="0" t="n">
        <v>315.1</v>
      </c>
      <c r="K146" s="0" t="n">
        <v>1</v>
      </c>
      <c r="L146" s="0" t="n">
        <f aca="false">343.8-J146</f>
        <v>28.7</v>
      </c>
    </row>
    <row r="147" customFormat="false" ht="12.8" hidden="false" customHeight="false" outlineLevel="0" collapsed="false">
      <c r="A147" s="0" t="n">
        <f aca="false">ROW(A147)-3</f>
        <v>144</v>
      </c>
      <c r="B147" s="0" t="n">
        <v>12</v>
      </c>
      <c r="C147" s="1" t="s">
        <v>130</v>
      </c>
      <c r="D147" s="1" t="s">
        <v>131</v>
      </c>
      <c r="F147" s="0" t="s">
        <v>283</v>
      </c>
      <c r="G147" s="12" t="b">
        <v>0</v>
      </c>
      <c r="H147" s="1" t="s">
        <v>149</v>
      </c>
      <c r="I147" s="1" t="s">
        <v>52</v>
      </c>
      <c r="J147" s="0" t="n">
        <v>105</v>
      </c>
      <c r="K147" s="0" t="n">
        <v>1</v>
      </c>
      <c r="L147" s="0" t="n">
        <f aca="false">114.6-J147</f>
        <v>9.59999999999999</v>
      </c>
    </row>
    <row r="148" customFormat="false" ht="12.8" hidden="false" customHeight="false" outlineLevel="0" collapsed="false">
      <c r="A148" s="0" t="n">
        <f aca="false">ROW(A148)-3</f>
        <v>145</v>
      </c>
      <c r="B148" s="0" t="n">
        <v>12</v>
      </c>
      <c r="C148" s="1" t="s">
        <v>130</v>
      </c>
      <c r="D148" s="1" t="s">
        <v>133</v>
      </c>
      <c r="F148" s="0" t="s">
        <v>284</v>
      </c>
      <c r="G148" s="12" t="b">
        <v>0</v>
      </c>
      <c r="H148" s="1" t="s">
        <v>129</v>
      </c>
      <c r="I148" s="1" t="s">
        <v>49</v>
      </c>
      <c r="J148" s="0" t="n">
        <v>227.6</v>
      </c>
      <c r="K148" s="0" t="n">
        <v>1</v>
      </c>
      <c r="L148" s="0" t="n">
        <f aca="false">248.3-J148</f>
        <v>20.7</v>
      </c>
    </row>
    <row r="149" customFormat="false" ht="12.8" hidden="false" customHeight="false" outlineLevel="0" collapsed="false">
      <c r="A149" s="0" t="n">
        <f aca="false">ROW(A149)-3</f>
        <v>146</v>
      </c>
      <c r="B149" s="0" t="n">
        <v>12</v>
      </c>
      <c r="C149" s="1" t="s">
        <v>135</v>
      </c>
      <c r="D149" s="1" t="s">
        <v>136</v>
      </c>
      <c r="F149" s="0" t="s">
        <v>285</v>
      </c>
      <c r="G149" s="12" t="b">
        <v>0</v>
      </c>
      <c r="H149" s="1" t="s">
        <v>129</v>
      </c>
      <c r="I149" s="1" t="s">
        <v>49</v>
      </c>
      <c r="J149" s="0" t="n">
        <v>122.6</v>
      </c>
      <c r="K149" s="0" t="n">
        <v>1</v>
      </c>
      <c r="L149" s="0" t="n">
        <f aca="false">133.8-J149</f>
        <v>11.2</v>
      </c>
    </row>
    <row r="150" customFormat="false" ht="12.8" hidden="false" customHeight="false" outlineLevel="0" collapsed="false">
      <c r="A150" s="0" t="n">
        <f aca="false">ROW(A150)-3</f>
        <v>147</v>
      </c>
      <c r="B150" s="0" t="n">
        <v>12</v>
      </c>
      <c r="C150" s="1" t="s">
        <v>135</v>
      </c>
      <c r="D150" s="1" t="s">
        <v>138</v>
      </c>
      <c r="F150" s="0" t="s">
        <v>286</v>
      </c>
      <c r="G150" s="12" t="b">
        <v>0</v>
      </c>
      <c r="H150" s="1" t="s">
        <v>129</v>
      </c>
      <c r="I150" s="1" t="s">
        <v>49</v>
      </c>
      <c r="J150" s="0" t="n">
        <v>349.4</v>
      </c>
      <c r="K150" s="0" t="n">
        <v>1</v>
      </c>
      <c r="L150" s="0" t="n">
        <f aca="false">381.2-J150</f>
        <v>31.8</v>
      </c>
    </row>
    <row r="151" customFormat="false" ht="12.8" hidden="false" customHeight="false" outlineLevel="0" collapsed="false">
      <c r="A151" s="0" t="n">
        <f aca="false">ROW(A151)-3</f>
        <v>148</v>
      </c>
      <c r="B151" s="0" t="n">
        <v>12</v>
      </c>
      <c r="C151" s="1" t="s">
        <v>140</v>
      </c>
      <c r="D151" s="1" t="s">
        <v>124</v>
      </c>
      <c r="F151" s="0" t="s">
        <v>287</v>
      </c>
      <c r="G151" s="12" t="b">
        <v>0</v>
      </c>
      <c r="H151" s="1" t="s">
        <v>129</v>
      </c>
      <c r="I151" s="1" t="s">
        <v>49</v>
      </c>
      <c r="J151" s="0" t="n">
        <v>61.3</v>
      </c>
      <c r="K151" s="0" t="n">
        <v>1</v>
      </c>
      <c r="L151" s="0" t="n">
        <f aca="false">66.9-J151</f>
        <v>5.60000000000001</v>
      </c>
    </row>
    <row r="152" customFormat="false" ht="12.8" hidden="false" customHeight="false" outlineLevel="0" collapsed="false">
      <c r="A152" s="0" t="n">
        <f aca="false">ROW(A152)-3</f>
        <v>149</v>
      </c>
      <c r="B152" s="0" t="n">
        <v>12</v>
      </c>
      <c r="C152" s="1" t="s">
        <v>140</v>
      </c>
      <c r="D152" s="1" t="s">
        <v>142</v>
      </c>
      <c r="F152" s="0" t="s">
        <v>288</v>
      </c>
      <c r="G152" s="12" t="b">
        <v>0</v>
      </c>
      <c r="H152" s="1" t="s">
        <v>129</v>
      </c>
      <c r="I152" s="1" t="s">
        <v>49</v>
      </c>
      <c r="J152" s="0" t="n">
        <v>546</v>
      </c>
      <c r="K152" s="0" t="n">
        <v>1</v>
      </c>
      <c r="L152" s="0" t="n">
        <f aca="false">595.7-J152</f>
        <v>49.7</v>
      </c>
    </row>
    <row r="153" customFormat="false" ht="12.8" hidden="false" customHeight="false" outlineLevel="0" collapsed="false">
      <c r="A153" s="0" t="n">
        <f aca="false">ROW(A153)-3</f>
        <v>150</v>
      </c>
      <c r="B153" s="0" t="n">
        <v>12</v>
      </c>
      <c r="C153" s="1" t="s">
        <v>144</v>
      </c>
      <c r="D153" s="1" t="s">
        <v>144</v>
      </c>
      <c r="F153" s="0" t="s">
        <v>289</v>
      </c>
      <c r="G153" s="12" t="b">
        <v>0</v>
      </c>
      <c r="H153" s="1" t="s">
        <v>129</v>
      </c>
      <c r="I153" s="1" t="s">
        <v>49</v>
      </c>
      <c r="J153" s="0" t="n">
        <v>1013</v>
      </c>
      <c r="K153" s="0" t="n">
        <v>1</v>
      </c>
      <c r="L153" s="0" t="n">
        <f aca="false">1105.1-J153</f>
        <v>92.0999999999999</v>
      </c>
    </row>
    <row r="154" customFormat="false" ht="12.8" hidden="false" customHeight="false" outlineLevel="0" collapsed="false">
      <c r="A154" s="0" t="n">
        <f aca="false">ROW(A154)-3</f>
        <v>151</v>
      </c>
      <c r="B154" s="0" t="n">
        <v>12</v>
      </c>
      <c r="C154" s="1" t="s">
        <v>144</v>
      </c>
      <c r="D154" s="1" t="s">
        <v>146</v>
      </c>
      <c r="F154" s="0" t="s">
        <v>290</v>
      </c>
      <c r="G154" s="12" t="b">
        <v>0</v>
      </c>
      <c r="H154" s="1" t="s">
        <v>129</v>
      </c>
      <c r="I154" s="1" t="s">
        <v>49</v>
      </c>
      <c r="J154" s="0" t="n">
        <v>2116.7</v>
      </c>
      <c r="K154" s="0" t="n">
        <v>1</v>
      </c>
      <c r="L154" s="0" t="n">
        <f aca="false">2309.2-J154</f>
        <v>192.5</v>
      </c>
    </row>
  </sheetData>
  <mergeCells count="8">
    <mergeCell ref="C1:D1"/>
    <mergeCell ref="E1:F1"/>
    <mergeCell ref="H1:L1"/>
    <mergeCell ref="M1:Q1"/>
    <mergeCell ref="R1:V1"/>
    <mergeCell ref="W1:AA1"/>
    <mergeCell ref="AB1:AF1"/>
    <mergeCell ref="AG1:AK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1"/>
  <sheetViews>
    <sheetView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P44" activeCellId="0" sqref="P44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2" min="1" style="0" width="9.62"/>
    <col collapsed="false" customWidth="true" hidden="false" outlineLevel="0" max="3" min="3" style="0" width="5.6"/>
    <col collapsed="false" customWidth="true" hidden="false" outlineLevel="0" max="4" min="4" style="0" width="26.14"/>
    <col collapsed="false" customWidth="true" hidden="false" outlineLevel="0" max="5" min="5" style="0" width="19.9"/>
    <col collapsed="false" customWidth="true" hidden="false" outlineLevel="0" max="6" min="6" style="0" width="6.96"/>
    <col collapsed="false" customWidth="true" hidden="false" outlineLevel="0" max="7" min="7" style="0" width="8.16"/>
    <col collapsed="false" customWidth="true" hidden="false" outlineLevel="0" max="8" min="8" style="0" width="7.3"/>
    <col collapsed="false" customWidth="true" hidden="false" outlineLevel="0" max="9" min="9" style="0" width="8.16"/>
    <col collapsed="false" customWidth="true" hidden="false" outlineLevel="0" max="10" min="10" style="0" width="14.25"/>
    <col collapsed="false" customWidth="true" hidden="false" outlineLevel="0" max="15" min="11" style="0" width="9.87"/>
    <col collapsed="false" customWidth="true" hidden="false" outlineLevel="0" max="23" min="19" style="0" width="9.87"/>
  </cols>
  <sheetData>
    <row r="1" customFormat="false" ht="12.8" hidden="false" customHeight="false" outlineLevel="0" collapsed="false">
      <c r="A1" s="1" t="s">
        <v>113</v>
      </c>
      <c r="B1" s="1" t="s">
        <v>291</v>
      </c>
      <c r="C1" s="1" t="s">
        <v>292</v>
      </c>
      <c r="D1" s="1" t="s">
        <v>293</v>
      </c>
      <c r="E1" s="1" t="s">
        <v>294</v>
      </c>
      <c r="F1" s="1" t="s">
        <v>72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299</v>
      </c>
      <c r="L1" s="1" t="s">
        <v>300</v>
      </c>
      <c r="M1" s="1" t="s">
        <v>301</v>
      </c>
      <c r="N1" s="1" t="s">
        <v>302</v>
      </c>
      <c r="O1" s="1" t="s">
        <v>303</v>
      </c>
      <c r="P1" s="1" t="s">
        <v>304</v>
      </c>
      <c r="Q1" s="1" t="s">
        <v>305</v>
      </c>
      <c r="R1" s="1" t="s">
        <v>306</v>
      </c>
      <c r="S1" s="1" t="s">
        <v>299</v>
      </c>
      <c r="T1" s="1" t="s">
        <v>300</v>
      </c>
      <c r="U1" s="1" t="s">
        <v>301</v>
      </c>
      <c r="V1" s="1" t="s">
        <v>302</v>
      </c>
      <c r="W1" s="1" t="s">
        <v>303</v>
      </c>
      <c r="X1" s="1" t="s">
        <v>307</v>
      </c>
    </row>
    <row r="2" customFormat="false" ht="14.9" hidden="false" customHeight="false" outlineLevel="0" collapsed="false">
      <c r="A2" s="0" t="n">
        <f aca="false">ROW(A2)-2</f>
        <v>0</v>
      </c>
      <c r="B2" s="1" t="s">
        <v>47</v>
      </c>
      <c r="C2" s="1" t="s">
        <v>48</v>
      </c>
      <c r="D2" s="1" t="s">
        <v>308</v>
      </c>
      <c r="E2" s="0" t="s">
        <v>309</v>
      </c>
      <c r="F2" s="0" t="n">
        <v>42</v>
      </c>
      <c r="G2" s="0" t="n">
        <v>624</v>
      </c>
      <c r="H2" s="1" t="s">
        <v>310</v>
      </c>
      <c r="I2" s="0" t="n">
        <v>15</v>
      </c>
      <c r="J2" s="1" t="s">
        <v>311</v>
      </c>
      <c r="K2" s="0" t="n">
        <v>15</v>
      </c>
      <c r="L2" s="0" t="n">
        <v>17.5</v>
      </c>
      <c r="M2" s="0" t="n">
        <v>20</v>
      </c>
      <c r="N2" s="0" t="n">
        <v>22</v>
      </c>
      <c r="O2" s="0" t="n">
        <v>24</v>
      </c>
      <c r="X2" s="13" t="s">
        <v>312</v>
      </c>
    </row>
    <row r="3" customFormat="false" ht="14.9" hidden="false" customHeight="false" outlineLevel="0" collapsed="false">
      <c r="A3" s="0" t="n">
        <f aca="false">ROW(A3)-2</f>
        <v>1</v>
      </c>
      <c r="B3" s="1" t="s">
        <v>51</v>
      </c>
      <c r="C3" s="1" t="s">
        <v>313</v>
      </c>
      <c r="D3" s="1" t="s">
        <v>314</v>
      </c>
      <c r="E3" s="0" t="s">
        <v>315</v>
      </c>
      <c r="F3" s="0" t="n">
        <v>32</v>
      </c>
      <c r="G3" s="0" t="n">
        <v>475</v>
      </c>
      <c r="H3" s="1" t="s">
        <v>316</v>
      </c>
      <c r="I3" s="0" t="n">
        <v>20</v>
      </c>
      <c r="X3" s="13" t="s">
        <v>317</v>
      </c>
    </row>
    <row r="4" customFormat="false" ht="14.9" hidden="false" customHeight="false" outlineLevel="0" collapsed="false">
      <c r="A4" s="0" t="n">
        <f aca="false">ROW(A4)-2</f>
        <v>2</v>
      </c>
      <c r="B4" s="1" t="s">
        <v>51</v>
      </c>
      <c r="C4" s="1" t="s">
        <v>313</v>
      </c>
      <c r="D4" s="1" t="s">
        <v>318</v>
      </c>
      <c r="E4" s="0" t="s">
        <v>319</v>
      </c>
      <c r="F4" s="0" t="n">
        <v>32</v>
      </c>
      <c r="G4" s="0" t="n">
        <v>475</v>
      </c>
      <c r="H4" s="1" t="s">
        <v>316</v>
      </c>
      <c r="I4" s="0" t="n">
        <v>20</v>
      </c>
      <c r="X4" s="13" t="s">
        <v>320</v>
      </c>
    </row>
    <row r="5" customFormat="false" ht="14.9" hidden="false" customHeight="false" outlineLevel="0" collapsed="false">
      <c r="A5" s="0" t="n">
        <f aca="false">ROW(A5)-2</f>
        <v>3</v>
      </c>
      <c r="B5" s="1" t="s">
        <v>51</v>
      </c>
      <c r="C5" s="1" t="s">
        <v>313</v>
      </c>
      <c r="D5" s="1" t="s">
        <v>321</v>
      </c>
      <c r="E5" s="0" t="s">
        <v>322</v>
      </c>
      <c r="F5" s="0" t="n">
        <v>32</v>
      </c>
      <c r="G5" s="0" t="n">
        <v>475</v>
      </c>
      <c r="H5" s="1" t="s">
        <v>323</v>
      </c>
      <c r="I5" s="0" t="n">
        <v>16</v>
      </c>
      <c r="X5" s="13" t="s">
        <v>324</v>
      </c>
    </row>
    <row r="6" customFormat="false" ht="14.9" hidden="false" customHeight="false" outlineLevel="0" collapsed="false">
      <c r="A6" s="0" t="n">
        <f aca="false">ROW(A6)-2</f>
        <v>4</v>
      </c>
      <c r="B6" s="1" t="s">
        <v>54</v>
      </c>
      <c r="C6" s="1" t="s">
        <v>313</v>
      </c>
      <c r="D6" s="1" t="s">
        <v>325</v>
      </c>
      <c r="E6" s="0" t="s">
        <v>326</v>
      </c>
      <c r="F6" s="0" t="n">
        <v>32</v>
      </c>
      <c r="G6" s="0" t="n">
        <v>475</v>
      </c>
      <c r="H6" s="1" t="s">
        <v>316</v>
      </c>
      <c r="I6" s="0" t="n">
        <v>20</v>
      </c>
      <c r="X6" s="13" t="s">
        <v>327</v>
      </c>
    </row>
    <row r="7" customFormat="false" ht="14.9" hidden="false" customHeight="false" outlineLevel="0" collapsed="false">
      <c r="A7" s="0" t="n">
        <f aca="false">ROW(A7)-2</f>
        <v>5</v>
      </c>
      <c r="B7" s="1" t="s">
        <v>54</v>
      </c>
      <c r="C7" s="1" t="s">
        <v>313</v>
      </c>
      <c r="D7" s="1" t="s">
        <v>328</v>
      </c>
      <c r="E7" s="0" t="s">
        <v>329</v>
      </c>
      <c r="F7" s="0" t="n">
        <v>32</v>
      </c>
      <c r="G7" s="0" t="n">
        <v>475</v>
      </c>
      <c r="H7" s="1" t="s">
        <v>330</v>
      </c>
      <c r="I7" s="0" t="n">
        <v>40</v>
      </c>
      <c r="X7" s="13" t="s">
        <v>331</v>
      </c>
    </row>
    <row r="8" customFormat="false" ht="14.9" hidden="false" customHeight="false" outlineLevel="0" collapsed="false">
      <c r="A8" s="0" t="n">
        <f aca="false">ROW(A8)-2</f>
        <v>6</v>
      </c>
      <c r="B8" s="1" t="s">
        <v>54</v>
      </c>
      <c r="C8" s="1" t="s">
        <v>313</v>
      </c>
      <c r="D8" s="1" t="s">
        <v>332</v>
      </c>
      <c r="E8" s="0" t="s">
        <v>333</v>
      </c>
      <c r="F8" s="0" t="n">
        <v>32</v>
      </c>
      <c r="G8" s="0" t="n">
        <v>475</v>
      </c>
      <c r="H8" s="1" t="s">
        <v>334</v>
      </c>
      <c r="I8" s="0" t="n">
        <v>20</v>
      </c>
      <c r="X8" s="13" t="s">
        <v>335</v>
      </c>
    </row>
    <row r="9" customFormat="false" ht="14.9" hidden="false" customHeight="false" outlineLevel="0" collapsed="false">
      <c r="A9" s="0" t="n">
        <f aca="false">ROW(A9)-2</f>
        <v>7</v>
      </c>
      <c r="B9" s="1" t="s">
        <v>47</v>
      </c>
      <c r="C9" s="1" t="s">
        <v>313</v>
      </c>
      <c r="D9" s="1" t="s">
        <v>336</v>
      </c>
      <c r="E9" s="0" t="s">
        <v>337</v>
      </c>
      <c r="F9" s="0" t="n">
        <v>32</v>
      </c>
      <c r="G9" s="0" t="n">
        <v>475</v>
      </c>
      <c r="H9" s="1" t="s">
        <v>316</v>
      </c>
      <c r="I9" s="0" t="n">
        <v>20</v>
      </c>
      <c r="X9" s="13" t="s">
        <v>338</v>
      </c>
    </row>
    <row r="10" customFormat="false" ht="14.9" hidden="false" customHeight="false" outlineLevel="0" collapsed="false">
      <c r="A10" s="0" t="n">
        <f aca="false">ROW(A10)-2</f>
        <v>8</v>
      </c>
      <c r="B10" s="1" t="s">
        <v>47</v>
      </c>
      <c r="C10" s="1" t="s">
        <v>313</v>
      </c>
      <c r="D10" s="1" t="s">
        <v>339</v>
      </c>
      <c r="E10" s="0" t="s">
        <v>340</v>
      </c>
      <c r="F10" s="0" t="n">
        <v>32</v>
      </c>
      <c r="G10" s="0" t="n">
        <v>475</v>
      </c>
      <c r="H10" s="1" t="s">
        <v>310</v>
      </c>
      <c r="I10" s="0" t="n">
        <v>12</v>
      </c>
      <c r="X10" s="13" t="s">
        <v>341</v>
      </c>
    </row>
    <row r="11" customFormat="false" ht="14.9" hidden="false" customHeight="false" outlineLevel="0" collapsed="false">
      <c r="A11" s="0" t="n">
        <f aca="false">ROW(A11)-2</f>
        <v>9</v>
      </c>
      <c r="B11" s="1" t="s">
        <v>47</v>
      </c>
      <c r="C11" s="1" t="s">
        <v>313</v>
      </c>
      <c r="D11" s="1" t="s">
        <v>342</v>
      </c>
      <c r="E11" s="0" t="s">
        <v>343</v>
      </c>
      <c r="F11" s="0" t="n">
        <v>32</v>
      </c>
      <c r="G11" s="0" t="n">
        <v>475</v>
      </c>
      <c r="H11" s="1" t="s">
        <v>330</v>
      </c>
      <c r="I11" s="0" t="n">
        <v>40</v>
      </c>
      <c r="X11" s="13" t="s">
        <v>344</v>
      </c>
    </row>
    <row r="12" customFormat="false" ht="14.9" hidden="false" customHeight="false" outlineLevel="0" collapsed="false">
      <c r="A12" s="0" t="n">
        <f aca="false">ROW(A12)-2</f>
        <v>10</v>
      </c>
      <c r="B12" s="1" t="s">
        <v>38</v>
      </c>
      <c r="C12" s="1" t="s">
        <v>313</v>
      </c>
      <c r="D12" s="1" t="s">
        <v>345</v>
      </c>
      <c r="E12" s="0" t="s">
        <v>346</v>
      </c>
      <c r="F12" s="0" t="n">
        <v>32</v>
      </c>
      <c r="G12" s="0" t="n">
        <v>475</v>
      </c>
      <c r="H12" s="1" t="s">
        <v>316</v>
      </c>
      <c r="I12" s="0" t="n">
        <v>20</v>
      </c>
      <c r="X12" s="13" t="s">
        <v>347</v>
      </c>
    </row>
    <row r="13" customFormat="false" ht="14.9" hidden="false" customHeight="false" outlineLevel="0" collapsed="false">
      <c r="A13" s="0" t="n">
        <f aca="false">ROW(A13)-2</f>
        <v>11</v>
      </c>
      <c r="B13" s="1" t="s">
        <v>38</v>
      </c>
      <c r="C13" s="1" t="s">
        <v>313</v>
      </c>
      <c r="D13" s="1" t="s">
        <v>348</v>
      </c>
      <c r="E13" s="0" t="s">
        <v>349</v>
      </c>
      <c r="F13" s="0" t="n">
        <v>32</v>
      </c>
      <c r="G13" s="0" t="n">
        <v>475</v>
      </c>
      <c r="H13" s="1" t="s">
        <v>350</v>
      </c>
      <c r="I13" s="0" t="n">
        <v>68</v>
      </c>
      <c r="X13" s="13" t="s">
        <v>351</v>
      </c>
    </row>
    <row r="14" customFormat="false" ht="14.9" hidden="false" customHeight="false" outlineLevel="0" collapsed="false">
      <c r="A14" s="0" t="n">
        <f aca="false">ROW(A14)-2</f>
        <v>12</v>
      </c>
      <c r="B14" s="1" t="s">
        <v>38</v>
      </c>
      <c r="C14" s="1" t="s">
        <v>313</v>
      </c>
      <c r="D14" s="1" t="s">
        <v>352</v>
      </c>
      <c r="E14" s="0" t="s">
        <v>353</v>
      </c>
      <c r="F14" s="0" t="n">
        <v>32</v>
      </c>
      <c r="G14" s="0" t="n">
        <v>475</v>
      </c>
      <c r="H14" s="1" t="s">
        <v>71</v>
      </c>
      <c r="I14" s="0" t="n">
        <v>16</v>
      </c>
      <c r="X14" s="13" t="s">
        <v>354</v>
      </c>
    </row>
    <row r="15" customFormat="false" ht="14.9" hidden="false" customHeight="false" outlineLevel="0" collapsed="false">
      <c r="A15" s="0" t="n">
        <f aca="false">ROW(A15)-2</f>
        <v>13</v>
      </c>
      <c r="B15" s="1" t="s">
        <v>63</v>
      </c>
      <c r="C15" s="1" t="s">
        <v>313</v>
      </c>
      <c r="D15" s="1" t="s">
        <v>355</v>
      </c>
      <c r="E15" s="0" t="s">
        <v>356</v>
      </c>
      <c r="F15" s="0" t="n">
        <v>32</v>
      </c>
      <c r="G15" s="0" t="n">
        <v>475</v>
      </c>
      <c r="H15" s="1" t="s">
        <v>357</v>
      </c>
      <c r="I15" s="0" t="n">
        <v>32</v>
      </c>
      <c r="X15" s="13" t="s">
        <v>358</v>
      </c>
    </row>
    <row r="16" customFormat="false" ht="14.9" hidden="false" customHeight="false" outlineLevel="0" collapsed="false">
      <c r="A16" s="0" t="n">
        <f aca="false">ROW(A16)-2</f>
        <v>14</v>
      </c>
      <c r="B16" s="1" t="s">
        <v>63</v>
      </c>
      <c r="C16" s="1" t="s">
        <v>313</v>
      </c>
      <c r="D16" s="1" t="s">
        <v>359</v>
      </c>
      <c r="E16" s="0" t="s">
        <v>360</v>
      </c>
      <c r="F16" s="0" t="n">
        <v>32</v>
      </c>
      <c r="G16" s="0" t="n">
        <v>475</v>
      </c>
      <c r="H16" s="1" t="s">
        <v>357</v>
      </c>
      <c r="I16" s="0" t="n">
        <v>32</v>
      </c>
      <c r="X16" s="13" t="s">
        <v>361</v>
      </c>
    </row>
    <row r="17" customFormat="false" ht="14.9" hidden="false" customHeight="false" outlineLevel="0" collapsed="false">
      <c r="A17" s="0" t="n">
        <f aca="false">ROW(A17)-2</f>
        <v>15</v>
      </c>
      <c r="B17" s="1" t="s">
        <v>51</v>
      </c>
      <c r="C17" s="1" t="s">
        <v>48</v>
      </c>
      <c r="D17" s="1" t="s">
        <v>362</v>
      </c>
      <c r="E17" s="0" t="s">
        <v>363</v>
      </c>
      <c r="F17" s="0" t="n">
        <v>40</v>
      </c>
      <c r="G17" s="0" t="n">
        <v>594</v>
      </c>
      <c r="H17" s="1" t="s">
        <v>316</v>
      </c>
      <c r="I17" s="0" t="n">
        <v>25</v>
      </c>
      <c r="X17" s="13" t="s">
        <v>364</v>
      </c>
    </row>
    <row r="18" customFormat="false" ht="14.9" hidden="false" customHeight="false" outlineLevel="0" collapsed="false">
      <c r="A18" s="0" t="n">
        <f aca="false">ROW(A18)-2</f>
        <v>16</v>
      </c>
      <c r="B18" s="1" t="s">
        <v>54</v>
      </c>
      <c r="C18" s="1" t="s">
        <v>48</v>
      </c>
      <c r="D18" s="1" t="s">
        <v>365</v>
      </c>
      <c r="E18" s="0" t="s">
        <v>366</v>
      </c>
      <c r="F18" s="0" t="n">
        <v>40</v>
      </c>
      <c r="G18" s="0" t="n">
        <v>594</v>
      </c>
      <c r="H18" s="1" t="s">
        <v>71</v>
      </c>
      <c r="I18" s="0" t="n">
        <v>20</v>
      </c>
      <c r="X18" s="13" t="s">
        <v>367</v>
      </c>
    </row>
    <row r="19" customFormat="false" ht="14.9" hidden="false" customHeight="false" outlineLevel="0" collapsed="false">
      <c r="A19" s="0" t="n">
        <f aca="false">ROW(A19)-2</f>
        <v>17</v>
      </c>
      <c r="B19" s="1" t="s">
        <v>38</v>
      </c>
      <c r="C19" s="1" t="s">
        <v>48</v>
      </c>
      <c r="D19" s="1" t="s">
        <v>368</v>
      </c>
      <c r="E19" s="0" t="s">
        <v>369</v>
      </c>
      <c r="F19" s="0" t="n">
        <v>40</v>
      </c>
      <c r="G19" s="0" t="n">
        <v>594</v>
      </c>
      <c r="H19" s="1" t="s">
        <v>350</v>
      </c>
      <c r="I19" s="0" t="n">
        <v>75</v>
      </c>
      <c r="X19" s="13" t="s">
        <v>370</v>
      </c>
    </row>
    <row r="20" customFormat="false" ht="14.9" hidden="false" customHeight="false" outlineLevel="0" collapsed="false">
      <c r="A20" s="0" t="n">
        <f aca="false">ROW(A20)-2</f>
        <v>18</v>
      </c>
      <c r="B20" s="1" t="s">
        <v>51</v>
      </c>
      <c r="C20" s="1" t="s">
        <v>48</v>
      </c>
      <c r="D20" s="1" t="s">
        <v>371</v>
      </c>
      <c r="E20" s="0" t="s">
        <v>372</v>
      </c>
      <c r="F20" s="0" t="n">
        <v>40</v>
      </c>
      <c r="G20" s="0" t="n">
        <v>594</v>
      </c>
      <c r="H20" s="1" t="s">
        <v>316</v>
      </c>
      <c r="I20" s="0" t="n">
        <v>25</v>
      </c>
      <c r="X20" s="13" t="s">
        <v>373</v>
      </c>
    </row>
    <row r="21" customFormat="false" ht="14.9" hidden="false" customHeight="false" outlineLevel="0" collapsed="false">
      <c r="A21" s="0" t="n">
        <f aca="false">ROW(A21)-2</f>
        <v>19</v>
      </c>
      <c r="B21" s="1" t="s">
        <v>47</v>
      </c>
      <c r="C21" s="1" t="s">
        <v>48</v>
      </c>
      <c r="D21" s="1" t="s">
        <v>374</v>
      </c>
      <c r="E21" s="0" t="s">
        <v>375</v>
      </c>
      <c r="F21" s="0" t="n">
        <v>40</v>
      </c>
      <c r="G21" s="0" t="n">
        <v>594</v>
      </c>
      <c r="H21" s="1" t="s">
        <v>330</v>
      </c>
      <c r="I21" s="0" t="n">
        <v>50</v>
      </c>
      <c r="X21" s="13" t="s">
        <v>376</v>
      </c>
    </row>
    <row r="22" customFormat="false" ht="14.9" hidden="false" customHeight="false" outlineLevel="0" collapsed="false">
      <c r="A22" s="0" t="n">
        <f aca="false">ROW(A22)-2</f>
        <v>20</v>
      </c>
      <c r="B22" s="1" t="s">
        <v>47</v>
      </c>
      <c r="C22" s="1" t="s">
        <v>48</v>
      </c>
      <c r="D22" s="1" t="s">
        <v>377</v>
      </c>
      <c r="E22" s="0" t="s">
        <v>378</v>
      </c>
      <c r="F22" s="0" t="n">
        <v>40</v>
      </c>
      <c r="G22" s="0" t="n">
        <v>594</v>
      </c>
      <c r="H22" s="1" t="s">
        <v>310</v>
      </c>
      <c r="I22" s="0" t="n">
        <v>15</v>
      </c>
      <c r="X22" s="13" t="s">
        <v>379</v>
      </c>
    </row>
    <row r="23" customFormat="false" ht="14.9" hidden="false" customHeight="false" outlineLevel="0" collapsed="false">
      <c r="A23" s="0" t="n">
        <f aca="false">ROW(A23)-2</f>
        <v>21</v>
      </c>
      <c r="B23" s="1" t="s">
        <v>63</v>
      </c>
      <c r="C23" s="1" t="s">
        <v>48</v>
      </c>
      <c r="D23" s="1" t="s">
        <v>380</v>
      </c>
      <c r="E23" s="0" t="s">
        <v>381</v>
      </c>
      <c r="F23" s="0" t="n">
        <v>40</v>
      </c>
      <c r="G23" s="0" t="n">
        <v>594</v>
      </c>
      <c r="H23" s="1" t="s">
        <v>334</v>
      </c>
      <c r="I23" s="0" t="n">
        <v>25</v>
      </c>
      <c r="J23" s="1" t="s">
        <v>334</v>
      </c>
      <c r="K23" s="0" t="n">
        <v>8</v>
      </c>
      <c r="L23" s="0" t="n">
        <v>9</v>
      </c>
      <c r="M23" s="0" t="n">
        <v>10</v>
      </c>
      <c r="N23" s="0" t="n">
        <v>11</v>
      </c>
      <c r="O23" s="0" t="n">
        <v>12.5</v>
      </c>
      <c r="X23" s="14" t="s">
        <v>382</v>
      </c>
    </row>
    <row r="24" customFormat="false" ht="14.9" hidden="false" customHeight="false" outlineLevel="0" collapsed="false">
      <c r="A24" s="0" t="n">
        <f aca="false">ROW(A24)-2</f>
        <v>22</v>
      </c>
      <c r="B24" s="1" t="s">
        <v>38</v>
      </c>
      <c r="C24" s="1" t="s">
        <v>48</v>
      </c>
      <c r="D24" s="1" t="s">
        <v>383</v>
      </c>
      <c r="E24" s="0" t="s">
        <v>384</v>
      </c>
      <c r="F24" s="0" t="n">
        <v>40</v>
      </c>
      <c r="G24" s="0" t="n">
        <v>594</v>
      </c>
      <c r="H24" s="1" t="s">
        <v>316</v>
      </c>
      <c r="I24" s="0" t="n">
        <v>25</v>
      </c>
      <c r="X24" s="13" t="s">
        <v>385</v>
      </c>
    </row>
    <row r="25" customFormat="false" ht="14.9" hidden="false" customHeight="false" outlineLevel="0" collapsed="false">
      <c r="A25" s="0" t="n">
        <f aca="false">ROW(A25)-2</f>
        <v>23</v>
      </c>
      <c r="B25" s="1" t="s">
        <v>38</v>
      </c>
      <c r="C25" s="1" t="s">
        <v>48</v>
      </c>
      <c r="D25" s="1" t="s">
        <v>386</v>
      </c>
      <c r="E25" s="0" t="s">
        <v>387</v>
      </c>
      <c r="F25" s="0" t="n">
        <v>40</v>
      </c>
      <c r="G25" s="0" t="n">
        <v>594</v>
      </c>
      <c r="H25" s="1" t="s">
        <v>350</v>
      </c>
      <c r="I25" s="0" t="n">
        <v>75</v>
      </c>
      <c r="X25" s="13" t="s">
        <v>388</v>
      </c>
    </row>
    <row r="26" customFormat="false" ht="14.9" hidden="false" customHeight="false" outlineLevel="0" collapsed="false">
      <c r="A26" s="0" t="n">
        <f aca="false">ROW(A26)-2</f>
        <v>24</v>
      </c>
      <c r="B26" s="1" t="s">
        <v>63</v>
      </c>
      <c r="C26" s="1" t="s">
        <v>48</v>
      </c>
      <c r="D26" s="1" t="s">
        <v>389</v>
      </c>
      <c r="E26" s="0" t="s">
        <v>390</v>
      </c>
      <c r="F26" s="0" t="n">
        <v>40</v>
      </c>
      <c r="G26" s="0" t="n">
        <v>594</v>
      </c>
      <c r="H26" s="1" t="s">
        <v>357</v>
      </c>
      <c r="I26" s="0" t="n">
        <v>40</v>
      </c>
      <c r="J26" s="1" t="s">
        <v>334</v>
      </c>
      <c r="K26" s="0" t="n">
        <v>8</v>
      </c>
      <c r="L26" s="0" t="n">
        <v>9.2</v>
      </c>
      <c r="M26" s="0" t="n">
        <v>10.4</v>
      </c>
      <c r="N26" s="0" t="n">
        <v>11.6</v>
      </c>
      <c r="O26" s="0" t="n">
        <v>12.8</v>
      </c>
      <c r="X26" s="14" t="s">
        <v>391</v>
      </c>
    </row>
    <row r="27" customFormat="false" ht="14.9" hidden="false" customHeight="false" outlineLevel="0" collapsed="false">
      <c r="A27" s="0" t="n">
        <f aca="false">ROW(A27)-2</f>
        <v>25</v>
      </c>
      <c r="B27" s="1" t="s">
        <v>63</v>
      </c>
      <c r="C27" s="1" t="s">
        <v>48</v>
      </c>
      <c r="D27" s="1" t="s">
        <v>392</v>
      </c>
      <c r="E27" s="0" t="s">
        <v>393</v>
      </c>
      <c r="F27" s="0" t="n">
        <v>40</v>
      </c>
      <c r="G27" s="0" t="n">
        <v>594</v>
      </c>
      <c r="H27" s="1" t="s">
        <v>316</v>
      </c>
      <c r="I27" s="0" t="n">
        <v>25</v>
      </c>
      <c r="X27" s="13" t="s">
        <v>394</v>
      </c>
    </row>
    <row r="28" customFormat="false" ht="14.9" hidden="false" customHeight="false" outlineLevel="0" collapsed="false">
      <c r="A28" s="0" t="n">
        <f aca="false">ROW(A28)-2</f>
        <v>26</v>
      </c>
      <c r="B28" s="1" t="s">
        <v>54</v>
      </c>
      <c r="C28" s="1" t="s">
        <v>48</v>
      </c>
      <c r="D28" s="1" t="s">
        <v>395</v>
      </c>
      <c r="E28" s="0" t="s">
        <v>396</v>
      </c>
      <c r="F28" s="0" t="n">
        <v>42</v>
      </c>
      <c r="G28" s="0" t="n">
        <v>624</v>
      </c>
      <c r="H28" s="1" t="s">
        <v>330</v>
      </c>
      <c r="I28" s="0" t="n">
        <v>50</v>
      </c>
      <c r="X28" s="13" t="s">
        <v>397</v>
      </c>
    </row>
    <row r="29" customFormat="false" ht="14.9" hidden="false" customHeight="false" outlineLevel="0" collapsed="false">
      <c r="A29" s="0" t="n">
        <f aca="false">ROW(A29)-2</f>
        <v>27</v>
      </c>
      <c r="B29" s="1" t="s">
        <v>51</v>
      </c>
      <c r="C29" s="1" t="s">
        <v>48</v>
      </c>
      <c r="D29" s="1" t="s">
        <v>398</v>
      </c>
      <c r="E29" s="0" t="s">
        <v>399</v>
      </c>
      <c r="F29" s="0" t="n">
        <v>42</v>
      </c>
      <c r="G29" s="0" t="n">
        <v>624</v>
      </c>
      <c r="H29" s="1" t="s">
        <v>316</v>
      </c>
      <c r="I29" s="0" t="n">
        <v>25</v>
      </c>
      <c r="X29" s="13" t="s">
        <v>400</v>
      </c>
    </row>
    <row r="30" customFormat="false" ht="14.9" hidden="false" customHeight="false" outlineLevel="0" collapsed="false">
      <c r="A30" s="0" t="n">
        <f aca="false">ROW(A30)-2</f>
        <v>28</v>
      </c>
      <c r="B30" s="1" t="s">
        <v>51</v>
      </c>
      <c r="C30" s="1" t="s">
        <v>48</v>
      </c>
      <c r="D30" s="1" t="s">
        <v>401</v>
      </c>
      <c r="E30" s="0" t="s">
        <v>402</v>
      </c>
      <c r="F30" s="0" t="n">
        <v>42</v>
      </c>
      <c r="G30" s="0" t="n">
        <v>624</v>
      </c>
      <c r="H30" s="1" t="s">
        <v>316</v>
      </c>
      <c r="I30" s="0" t="n">
        <v>25</v>
      </c>
      <c r="X30" s="13" t="s">
        <v>403</v>
      </c>
    </row>
    <row r="31" customFormat="false" ht="14.9" hidden="false" customHeight="false" outlineLevel="0" collapsed="false">
      <c r="A31" s="0" t="n">
        <f aca="false">ROW(A31)-2</f>
        <v>29</v>
      </c>
      <c r="B31" s="1" t="s">
        <v>51</v>
      </c>
      <c r="C31" s="1" t="s">
        <v>48</v>
      </c>
      <c r="D31" s="1" t="s">
        <v>404</v>
      </c>
      <c r="E31" s="0" t="s">
        <v>405</v>
      </c>
      <c r="F31" s="0" t="n">
        <v>42</v>
      </c>
      <c r="G31" s="0" t="n">
        <v>624</v>
      </c>
      <c r="H31" s="1" t="s">
        <v>330</v>
      </c>
      <c r="I31" s="0" t="n">
        <v>50</v>
      </c>
      <c r="X31" s="13" t="s">
        <v>406</v>
      </c>
    </row>
    <row r="32" customFormat="false" ht="14.9" hidden="false" customHeight="false" outlineLevel="0" collapsed="false">
      <c r="A32" s="0" t="n">
        <f aca="false">ROW(A32)-2</f>
        <v>30</v>
      </c>
      <c r="B32" s="1" t="s">
        <v>63</v>
      </c>
      <c r="C32" s="1" t="s">
        <v>48</v>
      </c>
      <c r="D32" s="1" t="s">
        <v>407</v>
      </c>
      <c r="E32" s="0" t="s">
        <v>408</v>
      </c>
      <c r="F32" s="0" t="n">
        <v>42</v>
      </c>
      <c r="G32" s="0" t="n">
        <v>624</v>
      </c>
      <c r="H32" s="1" t="s">
        <v>357</v>
      </c>
      <c r="I32" s="0" t="n">
        <v>40</v>
      </c>
      <c r="X32" s="13" t="s">
        <v>409</v>
      </c>
    </row>
    <row r="33" customFormat="false" ht="14.9" hidden="false" customHeight="false" outlineLevel="0" collapsed="false">
      <c r="A33" s="0" t="n">
        <f aca="false">ROW(A33)-2</f>
        <v>31</v>
      </c>
      <c r="B33" s="1" t="s">
        <v>54</v>
      </c>
      <c r="C33" s="1" t="s">
        <v>48</v>
      </c>
      <c r="D33" s="1" t="s">
        <v>410</v>
      </c>
      <c r="E33" s="0" t="s">
        <v>411</v>
      </c>
      <c r="F33" s="0" t="n">
        <v>42</v>
      </c>
      <c r="G33" s="0" t="n">
        <v>624</v>
      </c>
      <c r="H33" s="1" t="s">
        <v>316</v>
      </c>
      <c r="I33" s="0" t="n">
        <v>25</v>
      </c>
      <c r="J33" s="1" t="s">
        <v>412</v>
      </c>
      <c r="K33" s="0" t="n">
        <v>15</v>
      </c>
      <c r="L33" s="0" t="n">
        <v>17.5</v>
      </c>
      <c r="M33" s="0" t="n">
        <v>20</v>
      </c>
      <c r="N33" s="0" t="n">
        <v>22</v>
      </c>
      <c r="O33" s="0" t="n">
        <v>24</v>
      </c>
      <c r="X33" s="13" t="s">
        <v>413</v>
      </c>
    </row>
    <row r="34" customFormat="false" ht="14.9" hidden="false" customHeight="false" outlineLevel="0" collapsed="false">
      <c r="A34" s="0" t="n">
        <f aca="false">ROW(A34)-2</f>
        <v>32</v>
      </c>
      <c r="B34" s="1" t="s">
        <v>51</v>
      </c>
      <c r="C34" s="1" t="s">
        <v>48</v>
      </c>
      <c r="D34" s="1" t="s">
        <v>414</v>
      </c>
      <c r="E34" s="0" t="s">
        <v>415</v>
      </c>
      <c r="F34" s="0" t="n">
        <v>40</v>
      </c>
      <c r="G34" s="0" t="n">
        <v>594</v>
      </c>
      <c r="H34" s="1" t="s">
        <v>323</v>
      </c>
      <c r="I34" s="0" t="n">
        <v>20</v>
      </c>
      <c r="J34" s="1" t="s">
        <v>316</v>
      </c>
      <c r="K34" s="0" t="n">
        <v>7.5</v>
      </c>
      <c r="L34" s="0" t="n">
        <v>8.6</v>
      </c>
      <c r="M34" s="0" t="n">
        <v>9.7</v>
      </c>
      <c r="N34" s="0" t="n">
        <v>10.8</v>
      </c>
      <c r="O34" s="0" t="n">
        <v>12</v>
      </c>
      <c r="X34" s="13" t="s">
        <v>416</v>
      </c>
    </row>
    <row r="35" customFormat="false" ht="14.9" hidden="false" customHeight="false" outlineLevel="0" collapsed="false">
      <c r="A35" s="0" t="n">
        <f aca="false">ROW(A35)-2</f>
        <v>33</v>
      </c>
      <c r="B35" s="1" t="s">
        <v>54</v>
      </c>
      <c r="C35" s="1" t="s">
        <v>48</v>
      </c>
      <c r="D35" s="1" t="s">
        <v>417</v>
      </c>
      <c r="E35" s="0" t="s">
        <v>418</v>
      </c>
      <c r="F35" s="0" t="n">
        <v>40</v>
      </c>
      <c r="G35" s="0" t="n">
        <v>594</v>
      </c>
      <c r="H35" s="1" t="s">
        <v>330</v>
      </c>
      <c r="I35" s="0" t="n">
        <v>50</v>
      </c>
      <c r="X35" s="13" t="s">
        <v>419</v>
      </c>
    </row>
    <row r="36" customFormat="false" ht="14.9" hidden="false" customHeight="false" outlineLevel="0" collapsed="false">
      <c r="A36" s="0" t="n">
        <f aca="false">ROW(A36)-2</f>
        <v>34</v>
      </c>
      <c r="B36" s="1" t="s">
        <v>47</v>
      </c>
      <c r="C36" s="1" t="s">
        <v>48</v>
      </c>
      <c r="D36" s="1" t="s">
        <v>420</v>
      </c>
      <c r="E36" s="0" t="s">
        <v>421</v>
      </c>
      <c r="F36" s="0" t="n">
        <v>40</v>
      </c>
      <c r="G36" s="0" t="n">
        <v>594</v>
      </c>
      <c r="H36" s="1" t="s">
        <v>310</v>
      </c>
      <c r="I36" s="0" t="n">
        <v>15</v>
      </c>
      <c r="X36" s="14" t="s">
        <v>422</v>
      </c>
    </row>
    <row r="37" customFormat="false" ht="14.9" hidden="false" customHeight="false" outlineLevel="0" collapsed="false">
      <c r="A37" s="0" t="n">
        <f aca="false">ROW(A37)-2</f>
        <v>35</v>
      </c>
      <c r="B37" s="1" t="s">
        <v>51</v>
      </c>
      <c r="C37" s="1" t="s">
        <v>57</v>
      </c>
      <c r="D37" s="1" t="s">
        <v>423</v>
      </c>
      <c r="E37" s="0" t="s">
        <v>424</v>
      </c>
      <c r="F37" s="0" t="n">
        <v>46</v>
      </c>
      <c r="G37" s="0" t="n">
        <v>684</v>
      </c>
      <c r="H37" s="1" t="s">
        <v>323</v>
      </c>
      <c r="I37" s="0" t="n">
        <v>24</v>
      </c>
      <c r="J37" s="1" t="s">
        <v>425</v>
      </c>
      <c r="K37" s="0" t="n">
        <v>20</v>
      </c>
      <c r="L37" s="0" t="n">
        <v>25</v>
      </c>
      <c r="M37" s="0" t="n">
        <v>30</v>
      </c>
      <c r="N37" s="0" t="n">
        <v>35</v>
      </c>
      <c r="O37" s="0" t="n">
        <v>40</v>
      </c>
      <c r="X37" s="13" t="s">
        <v>426</v>
      </c>
    </row>
    <row r="38" customFormat="false" ht="14.9" hidden="false" customHeight="false" outlineLevel="0" collapsed="false">
      <c r="A38" s="0" t="n">
        <f aca="false">ROW(A38)-2</f>
        <v>36</v>
      </c>
      <c r="B38" s="1" t="s">
        <v>51</v>
      </c>
      <c r="C38" s="1" t="s">
        <v>57</v>
      </c>
      <c r="D38" s="1" t="s">
        <v>427</v>
      </c>
      <c r="E38" s="0" t="s">
        <v>428</v>
      </c>
      <c r="F38" s="0" t="n">
        <v>46</v>
      </c>
      <c r="G38" s="0" t="n">
        <v>684</v>
      </c>
      <c r="H38" s="1" t="s">
        <v>316</v>
      </c>
      <c r="I38" s="0" t="n">
        <v>30</v>
      </c>
      <c r="X38" s="13" t="s">
        <v>429</v>
      </c>
    </row>
    <row r="39" customFormat="false" ht="14.9" hidden="false" customHeight="false" outlineLevel="0" collapsed="false">
      <c r="A39" s="0" t="n">
        <f aca="false">ROW(A39)-2</f>
        <v>37</v>
      </c>
      <c r="B39" s="1" t="s">
        <v>47</v>
      </c>
      <c r="C39" s="1" t="s">
        <v>57</v>
      </c>
      <c r="D39" s="1" t="s">
        <v>430</v>
      </c>
      <c r="E39" s="0" t="s">
        <v>431</v>
      </c>
      <c r="F39" s="0" t="n">
        <v>46</v>
      </c>
      <c r="G39" s="0" t="n">
        <v>684</v>
      </c>
      <c r="H39" s="1" t="s">
        <v>310</v>
      </c>
      <c r="I39" s="0" t="n">
        <v>18</v>
      </c>
      <c r="X39" s="13" t="s">
        <v>432</v>
      </c>
    </row>
    <row r="40" customFormat="false" ht="14.9" hidden="false" customHeight="false" outlineLevel="0" collapsed="false">
      <c r="A40" s="0" t="n">
        <f aca="false">ROW(A40)-2</f>
        <v>38</v>
      </c>
      <c r="B40" s="1" t="s">
        <v>47</v>
      </c>
      <c r="C40" s="1" t="s">
        <v>57</v>
      </c>
      <c r="D40" s="1" t="s">
        <v>433</v>
      </c>
      <c r="E40" s="0" t="s">
        <v>434</v>
      </c>
      <c r="F40" s="0" t="n">
        <v>46</v>
      </c>
      <c r="G40" s="0" t="n">
        <v>684</v>
      </c>
      <c r="H40" s="1" t="s">
        <v>310</v>
      </c>
      <c r="I40" s="0" t="n">
        <v>18</v>
      </c>
      <c r="X40" s="13" t="s">
        <v>435</v>
      </c>
    </row>
    <row r="41" customFormat="false" ht="14.9" hidden="false" customHeight="false" outlineLevel="0" collapsed="false">
      <c r="A41" s="0" t="n">
        <f aca="false">ROW(A41)-2</f>
        <v>39</v>
      </c>
      <c r="B41" s="1" t="s">
        <v>38</v>
      </c>
      <c r="C41" s="1" t="s">
        <v>57</v>
      </c>
      <c r="D41" s="1" t="s">
        <v>436</v>
      </c>
      <c r="E41" s="0" t="s">
        <v>437</v>
      </c>
      <c r="F41" s="0" t="n">
        <v>46</v>
      </c>
      <c r="G41" s="0" t="n">
        <v>684</v>
      </c>
      <c r="H41" s="1" t="s">
        <v>71</v>
      </c>
      <c r="I41" s="0" t="n">
        <v>24</v>
      </c>
      <c r="J41" s="1" t="s">
        <v>316</v>
      </c>
      <c r="K41" s="0" t="n">
        <v>12</v>
      </c>
      <c r="L41" s="0" t="n">
        <v>15</v>
      </c>
      <c r="M41" s="0" t="n">
        <v>18</v>
      </c>
      <c r="N41" s="0" t="n">
        <v>21</v>
      </c>
      <c r="O41" s="0" t="n">
        <v>24</v>
      </c>
      <c r="X41" s="13" t="s">
        <v>438</v>
      </c>
    </row>
    <row r="42" customFormat="false" ht="14.9" hidden="false" customHeight="false" outlineLevel="0" collapsed="false">
      <c r="A42" s="0" t="n">
        <f aca="false">ROW(A42)-2</f>
        <v>40</v>
      </c>
      <c r="B42" s="1" t="s">
        <v>51</v>
      </c>
      <c r="C42" s="1" t="s">
        <v>57</v>
      </c>
      <c r="D42" s="1" t="s">
        <v>439</v>
      </c>
      <c r="E42" s="0" t="s">
        <v>440</v>
      </c>
      <c r="F42" s="0" t="n">
        <v>48</v>
      </c>
      <c r="G42" s="0" t="n">
        <v>713</v>
      </c>
      <c r="H42" s="1" t="s">
        <v>323</v>
      </c>
      <c r="I42" s="0" t="n">
        <v>24</v>
      </c>
      <c r="J42" s="1" t="s">
        <v>412</v>
      </c>
      <c r="K42" s="0" t="n">
        <v>25</v>
      </c>
      <c r="L42" s="0" t="n">
        <v>31.5</v>
      </c>
      <c r="M42" s="0" t="n">
        <v>38</v>
      </c>
      <c r="N42" s="0" t="n">
        <v>44.5</v>
      </c>
      <c r="O42" s="0" t="n">
        <v>50</v>
      </c>
      <c r="X42" s="13" t="s">
        <v>441</v>
      </c>
    </row>
    <row r="43" customFormat="false" ht="14.9" hidden="false" customHeight="false" outlineLevel="0" collapsed="false">
      <c r="A43" s="0" t="n">
        <f aca="false">ROW(A43)-2</f>
        <v>41</v>
      </c>
      <c r="B43" s="1" t="s">
        <v>54</v>
      </c>
      <c r="C43" s="1" t="s">
        <v>57</v>
      </c>
      <c r="D43" s="1" t="s">
        <v>442</v>
      </c>
      <c r="E43" s="0" t="s">
        <v>443</v>
      </c>
      <c r="F43" s="0" t="n">
        <v>46</v>
      </c>
      <c r="G43" s="0" t="n">
        <v>684</v>
      </c>
      <c r="H43" s="1" t="s">
        <v>71</v>
      </c>
      <c r="I43" s="0" t="n">
        <v>24</v>
      </c>
      <c r="X43" s="13" t="s">
        <v>444</v>
      </c>
    </row>
    <row r="44" customFormat="false" ht="14.9" hidden="false" customHeight="false" outlineLevel="0" collapsed="false">
      <c r="A44" s="0" t="n">
        <f aca="false">ROW(A44)-2</f>
        <v>42</v>
      </c>
      <c r="B44" s="1" t="s">
        <v>51</v>
      </c>
      <c r="C44" s="1" t="s">
        <v>57</v>
      </c>
      <c r="D44" s="1" t="s">
        <v>445</v>
      </c>
      <c r="E44" s="0" t="s">
        <v>446</v>
      </c>
      <c r="F44" s="0" t="n">
        <v>48</v>
      </c>
      <c r="G44" s="0" t="n">
        <v>713</v>
      </c>
      <c r="H44" s="1" t="s">
        <v>447</v>
      </c>
      <c r="I44" s="0" t="n">
        <v>48</v>
      </c>
      <c r="J44" s="1" t="s">
        <v>323</v>
      </c>
      <c r="K44" s="0" t="n">
        <v>15</v>
      </c>
      <c r="L44" s="0" t="n">
        <v>18.8</v>
      </c>
      <c r="M44" s="0" t="n">
        <v>22.6</v>
      </c>
      <c r="N44" s="0" t="n">
        <v>26.4</v>
      </c>
      <c r="O44" s="0" t="n">
        <v>30</v>
      </c>
      <c r="X44" s="13" t="s">
        <v>448</v>
      </c>
    </row>
    <row r="45" customFormat="false" ht="14.9" hidden="false" customHeight="false" outlineLevel="0" collapsed="false">
      <c r="A45" s="0" t="n">
        <f aca="false">ROW(A45)-2</f>
        <v>43</v>
      </c>
      <c r="B45" s="1" t="s">
        <v>54</v>
      </c>
      <c r="C45" s="1" t="s">
        <v>48</v>
      </c>
      <c r="D45" s="1" t="s">
        <v>449</v>
      </c>
      <c r="E45" s="0" t="s">
        <v>450</v>
      </c>
      <c r="F45" s="0" t="n">
        <v>42</v>
      </c>
      <c r="G45" s="0" t="n">
        <v>624</v>
      </c>
      <c r="H45" s="1" t="s">
        <v>330</v>
      </c>
      <c r="I45" s="0" t="n">
        <v>50</v>
      </c>
      <c r="X45" s="13" t="s">
        <v>451</v>
      </c>
    </row>
    <row r="46" customFormat="false" ht="14.9" hidden="false" customHeight="false" outlineLevel="0" collapsed="false">
      <c r="A46" s="0" t="n">
        <f aca="false">ROW(A46)-2</f>
        <v>44</v>
      </c>
      <c r="B46" s="1" t="s">
        <v>38</v>
      </c>
      <c r="C46" s="1" t="s">
        <v>48</v>
      </c>
      <c r="D46" s="1" t="s">
        <v>452</v>
      </c>
      <c r="E46" s="0" t="s">
        <v>453</v>
      </c>
      <c r="F46" s="0" t="n">
        <v>42</v>
      </c>
      <c r="G46" s="0" t="n">
        <v>624</v>
      </c>
      <c r="H46" s="1" t="s">
        <v>316</v>
      </c>
      <c r="I46" s="0" t="n">
        <v>25</v>
      </c>
      <c r="X46" s="13" t="s">
        <v>454</v>
      </c>
    </row>
    <row r="47" customFormat="false" ht="14.9" hidden="false" customHeight="false" outlineLevel="0" collapsed="false">
      <c r="A47" s="0" t="n">
        <f aca="false">ROW(A47)-2</f>
        <v>45</v>
      </c>
      <c r="B47" s="1" t="s">
        <v>51</v>
      </c>
      <c r="C47" s="1" t="s">
        <v>48</v>
      </c>
      <c r="D47" s="1" t="s">
        <v>455</v>
      </c>
      <c r="E47" s="0" t="s">
        <v>456</v>
      </c>
      <c r="F47" s="0" t="n">
        <v>40</v>
      </c>
      <c r="G47" s="0" t="n">
        <v>594</v>
      </c>
      <c r="H47" s="1" t="s">
        <v>316</v>
      </c>
      <c r="I47" s="0" t="n">
        <v>25</v>
      </c>
      <c r="J47" s="1" t="s">
        <v>316</v>
      </c>
      <c r="K47" s="0" t="n">
        <v>6</v>
      </c>
      <c r="L47" s="0" t="n">
        <v>6.9</v>
      </c>
      <c r="M47" s="0" t="n">
        <v>7.8</v>
      </c>
      <c r="N47" s="0" t="n">
        <v>8.7</v>
      </c>
      <c r="O47" s="0" t="n">
        <v>9.6</v>
      </c>
      <c r="P47" s="1" t="s">
        <v>140</v>
      </c>
      <c r="Q47" s="1" t="s">
        <v>142</v>
      </c>
      <c r="R47" s="1" t="s">
        <v>457</v>
      </c>
      <c r="S47" s="0" t="n">
        <v>15</v>
      </c>
      <c r="T47" s="0" t="n">
        <v>17.2</v>
      </c>
      <c r="U47" s="0" t="n">
        <v>19.5</v>
      </c>
      <c r="V47" s="0" t="n">
        <v>21.8</v>
      </c>
      <c r="W47" s="0" t="n">
        <v>24</v>
      </c>
      <c r="X47" s="13" t="s">
        <v>458</v>
      </c>
    </row>
    <row r="48" customFormat="false" ht="14.9" hidden="false" customHeight="false" outlineLevel="0" collapsed="false">
      <c r="A48" s="0" t="n">
        <f aca="false">ROW(A48)-2</f>
        <v>46</v>
      </c>
      <c r="B48" s="1" t="s">
        <v>47</v>
      </c>
      <c r="C48" s="1" t="s">
        <v>57</v>
      </c>
      <c r="D48" s="1" t="s">
        <v>459</v>
      </c>
      <c r="E48" s="0" t="s">
        <v>460</v>
      </c>
      <c r="F48" s="0" t="n">
        <v>48</v>
      </c>
      <c r="G48" s="0" t="n">
        <v>713</v>
      </c>
      <c r="H48" s="1" t="s">
        <v>310</v>
      </c>
      <c r="I48" s="0" t="n">
        <v>18</v>
      </c>
      <c r="X48" s="13" t="s">
        <v>461</v>
      </c>
    </row>
    <row r="49" customFormat="false" ht="14.9" hidden="false" customHeight="false" outlineLevel="0" collapsed="false">
      <c r="A49" s="0" t="n">
        <f aca="false">ROW(A49)-2</f>
        <v>47</v>
      </c>
      <c r="B49" s="1" t="s">
        <v>38</v>
      </c>
      <c r="C49" s="1" t="s">
        <v>57</v>
      </c>
      <c r="D49" s="1" t="s">
        <v>462</v>
      </c>
      <c r="E49" s="0" t="s">
        <v>463</v>
      </c>
      <c r="F49" s="0" t="n">
        <v>48</v>
      </c>
      <c r="G49" s="0" t="n">
        <v>713</v>
      </c>
      <c r="H49" s="1" t="s">
        <v>350</v>
      </c>
      <c r="I49" s="0" t="n">
        <v>90</v>
      </c>
      <c r="X49" s="13" t="s">
        <v>464</v>
      </c>
    </row>
    <row r="50" customFormat="false" ht="14.9" hidden="false" customHeight="false" outlineLevel="0" collapsed="false">
      <c r="A50" s="0" t="n">
        <f aca="false">ROW(A50)-2</f>
        <v>48</v>
      </c>
      <c r="B50" s="1" t="s">
        <v>63</v>
      </c>
      <c r="C50" s="1" t="s">
        <v>48</v>
      </c>
      <c r="D50" s="1" t="s">
        <v>465</v>
      </c>
      <c r="E50" s="0" t="s">
        <v>466</v>
      </c>
      <c r="F50" s="0" t="n">
        <v>42</v>
      </c>
      <c r="G50" s="0" t="n">
        <v>624</v>
      </c>
      <c r="H50" s="1" t="s">
        <v>316</v>
      </c>
      <c r="I50" s="0" t="n">
        <v>25</v>
      </c>
      <c r="X50" s="13" t="s">
        <v>467</v>
      </c>
    </row>
    <row r="51" customFormat="false" ht="14.9" hidden="false" customHeight="false" outlineLevel="0" collapsed="false">
      <c r="A51" s="0" t="n">
        <f aca="false">ROW(A51)-2</f>
        <v>49</v>
      </c>
      <c r="B51" s="1" t="s">
        <v>63</v>
      </c>
      <c r="C51" s="1" t="s">
        <v>57</v>
      </c>
      <c r="D51" s="1" t="s">
        <v>468</v>
      </c>
      <c r="E51" s="0" t="s">
        <v>469</v>
      </c>
      <c r="F51" s="0" t="n">
        <v>48</v>
      </c>
      <c r="G51" s="0" t="n">
        <v>713</v>
      </c>
      <c r="H51" s="1" t="s">
        <v>310</v>
      </c>
      <c r="I51" s="0" t="n">
        <v>18</v>
      </c>
      <c r="X51" s="13" t="s">
        <v>470</v>
      </c>
    </row>
    <row r="52" customFormat="false" ht="14.9" hidden="false" customHeight="false" outlineLevel="0" collapsed="false">
      <c r="A52" s="0" t="n">
        <f aca="false">ROW(A52)-2</f>
        <v>50</v>
      </c>
      <c r="B52" s="1" t="s">
        <v>38</v>
      </c>
      <c r="C52" s="1" t="s">
        <v>57</v>
      </c>
      <c r="D52" s="1" t="s">
        <v>471</v>
      </c>
      <c r="E52" s="0" t="s">
        <v>472</v>
      </c>
      <c r="F52" s="0" t="n">
        <v>48</v>
      </c>
      <c r="G52" s="0" t="n">
        <v>713</v>
      </c>
      <c r="H52" s="1" t="s">
        <v>316</v>
      </c>
      <c r="I52" s="0" t="n">
        <v>30</v>
      </c>
      <c r="X52" s="13" t="s">
        <v>473</v>
      </c>
    </row>
    <row r="53" customFormat="false" ht="14.9" hidden="false" customHeight="false" outlineLevel="0" collapsed="false">
      <c r="A53" s="0" t="n">
        <f aca="false">ROW(A53)-2</f>
        <v>51</v>
      </c>
      <c r="B53" s="1" t="s">
        <v>38</v>
      </c>
      <c r="C53" s="1" t="s">
        <v>57</v>
      </c>
      <c r="D53" s="1" t="s">
        <v>474</v>
      </c>
      <c r="E53" s="0" t="s">
        <v>475</v>
      </c>
      <c r="F53" s="0" t="n">
        <v>48</v>
      </c>
      <c r="G53" s="0" t="n">
        <v>713</v>
      </c>
      <c r="H53" s="1" t="s">
        <v>316</v>
      </c>
      <c r="I53" s="0" t="n">
        <v>30</v>
      </c>
      <c r="X53" s="13" t="s">
        <v>476</v>
      </c>
    </row>
    <row r="54" customFormat="false" ht="14.9" hidden="false" customHeight="false" outlineLevel="0" collapsed="false">
      <c r="A54" s="0" t="n">
        <f aca="false">ROW(A54)-2</f>
        <v>52</v>
      </c>
      <c r="B54" s="1" t="s">
        <v>47</v>
      </c>
      <c r="C54" s="1" t="s">
        <v>57</v>
      </c>
      <c r="D54" s="1" t="s">
        <v>477</v>
      </c>
      <c r="E54" s="0" t="s">
        <v>478</v>
      </c>
      <c r="F54" s="0" t="n">
        <v>48</v>
      </c>
      <c r="G54" s="0" t="n">
        <v>713</v>
      </c>
      <c r="H54" s="1" t="s">
        <v>310</v>
      </c>
      <c r="I54" s="0" t="n">
        <v>18</v>
      </c>
      <c r="X54" s="13" t="s">
        <v>479</v>
      </c>
    </row>
    <row r="55" customFormat="false" ht="14.9" hidden="false" customHeight="false" outlineLevel="0" collapsed="false">
      <c r="A55" s="0" t="n">
        <f aca="false">ROW(A55)-2</f>
        <v>53</v>
      </c>
      <c r="B55" s="1" t="s">
        <v>51</v>
      </c>
      <c r="C55" s="1" t="s">
        <v>48</v>
      </c>
      <c r="D55" s="1" t="s">
        <v>480</v>
      </c>
      <c r="E55" s="0" t="s">
        <v>481</v>
      </c>
      <c r="F55" s="0" t="n">
        <v>40</v>
      </c>
      <c r="G55" s="0" t="n">
        <v>594</v>
      </c>
      <c r="H55" s="1" t="s">
        <v>323</v>
      </c>
      <c r="I55" s="0" t="n">
        <v>20</v>
      </c>
      <c r="X55" s="13" t="s">
        <v>482</v>
      </c>
    </row>
    <row r="56" customFormat="false" ht="14.9" hidden="false" customHeight="false" outlineLevel="0" collapsed="false">
      <c r="A56" s="0" t="n">
        <f aca="false">ROW(A56)-2</f>
        <v>54</v>
      </c>
      <c r="B56" s="1" t="s">
        <v>38</v>
      </c>
      <c r="C56" s="1" t="s">
        <v>57</v>
      </c>
      <c r="D56" s="1" t="s">
        <v>483</v>
      </c>
      <c r="E56" s="0" t="s">
        <v>484</v>
      </c>
      <c r="F56" s="0" t="n">
        <v>50</v>
      </c>
      <c r="G56" s="0" t="n">
        <v>743</v>
      </c>
      <c r="H56" s="1" t="s">
        <v>323</v>
      </c>
      <c r="I56" s="0" t="n">
        <v>24</v>
      </c>
      <c r="J56" s="1" t="s">
        <v>447</v>
      </c>
      <c r="K56" s="0" t="n">
        <v>50</v>
      </c>
      <c r="L56" s="0" t="n">
        <v>57</v>
      </c>
      <c r="M56" s="0" t="n">
        <v>65</v>
      </c>
      <c r="N56" s="0" t="n">
        <v>72</v>
      </c>
      <c r="O56" s="0" t="n">
        <v>80</v>
      </c>
      <c r="X56" s="13" t="s">
        <v>485</v>
      </c>
    </row>
    <row r="57" customFormat="false" ht="14.9" hidden="false" customHeight="false" outlineLevel="0" collapsed="false">
      <c r="A57" s="0" t="n">
        <f aca="false">ROW(A57)-2</f>
        <v>55</v>
      </c>
      <c r="B57" s="1" t="s">
        <v>51</v>
      </c>
      <c r="C57" s="1" t="s">
        <v>57</v>
      </c>
      <c r="D57" s="1" t="s">
        <v>486</v>
      </c>
      <c r="E57" s="0" t="s">
        <v>487</v>
      </c>
      <c r="F57" s="0" t="n">
        <v>48</v>
      </c>
      <c r="G57" s="0" t="n">
        <v>713</v>
      </c>
      <c r="H57" s="1" t="s">
        <v>447</v>
      </c>
      <c r="I57" s="0" t="n">
        <v>48</v>
      </c>
      <c r="J57" s="1" t="s">
        <v>323</v>
      </c>
      <c r="K57" s="0" t="n">
        <v>10</v>
      </c>
      <c r="L57" s="0" t="n">
        <v>11.5</v>
      </c>
      <c r="M57" s="0" t="n">
        <v>13</v>
      </c>
      <c r="N57" s="0" t="n">
        <v>14.5</v>
      </c>
      <c r="O57" s="0" t="n">
        <v>16</v>
      </c>
      <c r="P57" s="1" t="s">
        <v>130</v>
      </c>
      <c r="Q57" s="1" t="s">
        <v>131</v>
      </c>
      <c r="R57" s="1" t="s">
        <v>311</v>
      </c>
      <c r="S57" s="0" t="n">
        <v>40</v>
      </c>
      <c r="T57" s="0" t="n">
        <v>46</v>
      </c>
      <c r="U57" s="0" t="n">
        <v>52</v>
      </c>
      <c r="V57" s="0" t="n">
        <v>58</v>
      </c>
      <c r="W57" s="0" t="n">
        <v>64</v>
      </c>
      <c r="X57" s="13" t="s">
        <v>488</v>
      </c>
    </row>
    <row r="58" customFormat="false" ht="14.9" hidden="false" customHeight="false" outlineLevel="0" collapsed="false">
      <c r="A58" s="0" t="n">
        <f aca="false">ROW(A58)-2</f>
        <v>56</v>
      </c>
      <c r="B58" s="1" t="s">
        <v>54</v>
      </c>
      <c r="C58" s="1" t="s">
        <v>57</v>
      </c>
      <c r="D58" s="1" t="s">
        <v>489</v>
      </c>
      <c r="E58" s="0" t="s">
        <v>490</v>
      </c>
      <c r="F58" s="0" t="n">
        <v>48</v>
      </c>
      <c r="G58" s="0" t="n">
        <v>713</v>
      </c>
      <c r="H58" s="1" t="s">
        <v>316</v>
      </c>
      <c r="I58" s="0" t="n">
        <v>30</v>
      </c>
      <c r="X58" s="13" t="s">
        <v>491</v>
      </c>
    </row>
    <row r="59" customFormat="false" ht="14.9" hidden="false" customHeight="false" outlineLevel="0" collapsed="false">
      <c r="A59" s="0" t="n">
        <f aca="false">ROW(A59)-2</f>
        <v>57</v>
      </c>
      <c r="B59" s="1" t="s">
        <v>51</v>
      </c>
      <c r="C59" s="1" t="s">
        <v>57</v>
      </c>
      <c r="D59" s="1" t="s">
        <v>492</v>
      </c>
      <c r="E59" s="0" t="s">
        <v>493</v>
      </c>
      <c r="F59" s="0" t="n">
        <v>48</v>
      </c>
      <c r="G59" s="0" t="n">
        <v>713</v>
      </c>
      <c r="H59" s="1" t="s">
        <v>323</v>
      </c>
      <c r="I59" s="0" t="n">
        <v>24</v>
      </c>
      <c r="J59" s="1" t="s">
        <v>447</v>
      </c>
      <c r="K59" s="0" t="n">
        <v>50</v>
      </c>
      <c r="L59" s="0" t="n">
        <v>57.5</v>
      </c>
      <c r="M59" s="0" t="n">
        <v>65</v>
      </c>
      <c r="N59" s="0" t="n">
        <v>72.5</v>
      </c>
      <c r="O59" s="0" t="n">
        <v>80</v>
      </c>
      <c r="X59" s="13" t="s">
        <v>494</v>
      </c>
    </row>
    <row r="60" customFormat="false" ht="14.15" hidden="false" customHeight="false" outlineLevel="0" collapsed="false">
      <c r="A60" s="0" t="n">
        <f aca="false">ROW(A60)-2</f>
        <v>58</v>
      </c>
      <c r="B60" s="1" t="s">
        <v>51</v>
      </c>
      <c r="C60" s="1" t="s">
        <v>57</v>
      </c>
      <c r="D60" s="1" t="s">
        <v>495</v>
      </c>
      <c r="E60" s="0" t="s">
        <v>496</v>
      </c>
      <c r="F60" s="0" t="n">
        <v>48</v>
      </c>
      <c r="G60" s="0" t="n">
        <v>713</v>
      </c>
      <c r="H60" s="1" t="s">
        <v>447</v>
      </c>
      <c r="I60" s="0" t="n">
        <v>48</v>
      </c>
      <c r="J60" s="1" t="s">
        <v>447</v>
      </c>
      <c r="K60" s="0" t="n">
        <v>30</v>
      </c>
      <c r="L60" s="0" t="n">
        <v>34.5</v>
      </c>
      <c r="M60" s="0" t="n">
        <v>39</v>
      </c>
      <c r="N60" s="0" t="n">
        <v>43.5</v>
      </c>
      <c r="O60" s="0" t="n">
        <v>48</v>
      </c>
      <c r="X60" s="13" t="s">
        <v>497</v>
      </c>
    </row>
    <row r="61" customFormat="false" ht="14.9" hidden="false" customHeight="false" outlineLevel="0" collapsed="false">
      <c r="A61" s="0" t="n">
        <f aca="false">ROW(A61)-2</f>
        <v>59</v>
      </c>
      <c r="B61" s="1" t="s">
        <v>47</v>
      </c>
      <c r="C61" s="1" t="s">
        <v>48</v>
      </c>
      <c r="D61" s="1" t="s">
        <v>498</v>
      </c>
      <c r="E61" s="0" t="s">
        <v>499</v>
      </c>
      <c r="F61" s="0" t="n">
        <v>42</v>
      </c>
      <c r="G61" s="0" t="n">
        <v>624</v>
      </c>
      <c r="H61" s="1" t="s">
        <v>310</v>
      </c>
      <c r="I61" s="0" t="n">
        <v>15</v>
      </c>
      <c r="X61" s="13" t="s">
        <v>500</v>
      </c>
    </row>
  </sheetData>
  <dataValidations count="5">
    <dataValidation allowBlank="true" errorStyle="stop" operator="equal" showDropDown="false" showErrorMessage="true" showInputMessage="false" sqref="B1:AMN1 K2:N59 S2:V59 K95:N1061 S95:V1061" type="none">
      <formula1>0</formula1>
      <formula2>0</formula2>
    </dataValidation>
    <dataValidation allowBlank="true" errorStyle="stop" operator="equal" showDropDown="false" showErrorMessage="true" showInputMessage="false" sqref="B2:B59 B95:B1061" type="list">
      <formula1>define!$B:$B</formula1>
      <formula2>0</formula2>
    </dataValidation>
    <dataValidation allowBlank="true" errorStyle="stop" operator="equal" showDropDown="false" showErrorMessage="true" showInputMessage="false" sqref="C2:C59 C95:C1061" type="list">
      <formula1>define!$C:$C</formula1>
      <formula2>0</formula2>
    </dataValidation>
    <dataValidation allowBlank="true" errorStyle="stop" operator="equal" showDropDown="false" showErrorMessage="true" showInputMessage="false" sqref="H2:H59 H95:H1061" type="list">
      <formula1>define!$A:$A</formula1>
      <formula2>0</formula2>
    </dataValidation>
    <dataValidation allowBlank="true" errorStyle="stop" operator="equal" showDropDown="false" showErrorMessage="true" showInputMessage="false" sqref="J2:J59 J95:J1061" type="list">
      <formula1>define!$A:$A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0" width="4.21"/>
    <col collapsed="false" customWidth="true" hidden="false" outlineLevel="0" max="2" min="2" style="0" width="21.88"/>
    <col collapsed="false" customWidth="true" hidden="false" outlineLevel="0" max="3" min="3" style="0" width="23.25"/>
    <col collapsed="false" customWidth="true" hidden="false" outlineLevel="0" max="4" min="4" style="0" width="11.76"/>
    <col collapsed="false" customWidth="true" hidden="false" outlineLevel="0" max="5" min="5" style="0" width="4.21"/>
  </cols>
  <sheetData>
    <row r="1" customFormat="false" ht="12.8" hidden="false" customHeight="false" outlineLevel="0" collapsed="false">
      <c r="J1" s="15"/>
      <c r="L1" s="1" t="s">
        <v>501</v>
      </c>
      <c r="N1" s="1" t="s">
        <v>502</v>
      </c>
      <c r="W1" s="1" t="s">
        <v>502</v>
      </c>
    </row>
    <row r="2" customFormat="false" ht="12.8" hidden="false" customHeight="false" outlineLevel="0" collapsed="false">
      <c r="A2" s="1" t="s">
        <v>113</v>
      </c>
      <c r="B2" s="1" t="s">
        <v>503</v>
      </c>
      <c r="C2" s="1" t="s">
        <v>504</v>
      </c>
      <c r="D2" s="1" t="s">
        <v>505</v>
      </c>
      <c r="E2" s="1" t="s">
        <v>506</v>
      </c>
      <c r="F2" s="1" t="s">
        <v>507</v>
      </c>
      <c r="G2" s="1" t="s">
        <v>508</v>
      </c>
      <c r="H2" s="1" t="s">
        <v>509</v>
      </c>
      <c r="I2" s="1" t="s">
        <v>510</v>
      </c>
      <c r="J2" s="15" t="s">
        <v>511</v>
      </c>
      <c r="K2" s="1" t="s">
        <v>506</v>
      </c>
      <c r="L2" s="1" t="s">
        <v>510</v>
      </c>
      <c r="M2" s="1" t="s">
        <v>506</v>
      </c>
      <c r="O2" s="1" t="s">
        <v>16</v>
      </c>
      <c r="P2" s="1" t="s">
        <v>508</v>
      </c>
      <c r="Q2" s="1" t="s">
        <v>509</v>
      </c>
      <c r="R2" s="1" t="s">
        <v>510</v>
      </c>
      <c r="S2" s="1" t="s">
        <v>512</v>
      </c>
      <c r="T2" s="1" t="s">
        <v>506</v>
      </c>
      <c r="U2" s="1" t="s">
        <v>510</v>
      </c>
      <c r="V2" s="1" t="s">
        <v>506</v>
      </c>
      <c r="X2" s="1" t="s">
        <v>16</v>
      </c>
      <c r="Y2" s="1" t="s">
        <v>508</v>
      </c>
      <c r="Z2" s="1" t="s">
        <v>509</v>
      </c>
      <c r="AA2" s="1" t="s">
        <v>510</v>
      </c>
      <c r="AB2" s="1" t="s">
        <v>512</v>
      </c>
      <c r="AC2" s="1" t="s">
        <v>506</v>
      </c>
      <c r="AD2" s="1" t="s">
        <v>510</v>
      </c>
      <c r="AE2" s="1" t="s">
        <v>506</v>
      </c>
      <c r="AG2" s="1" t="s">
        <v>16</v>
      </c>
    </row>
    <row r="3" customFormat="false" ht="12.8" hidden="false" customHeight="false" outlineLevel="0" collapsed="false">
      <c r="A3" s="0" t="n">
        <f aca="false">ROW(A3)-3</f>
        <v>0</v>
      </c>
      <c r="B3" s="1" t="s">
        <v>513</v>
      </c>
      <c r="C3" s="0" t="s">
        <v>514</v>
      </c>
      <c r="D3" s="1" t="s">
        <v>330</v>
      </c>
      <c r="E3" s="0" t="n">
        <v>20</v>
      </c>
      <c r="F3" s="1" t="s">
        <v>135</v>
      </c>
    </row>
    <row r="4" customFormat="false" ht="12.8" hidden="false" customHeight="false" outlineLevel="0" collapsed="false">
      <c r="A4" s="0" t="n">
        <f aca="false">ROW(A4)-3</f>
        <v>1</v>
      </c>
      <c r="B4" s="1" t="s">
        <v>515</v>
      </c>
      <c r="C4" s="0" t="s">
        <v>516</v>
      </c>
      <c r="D4" s="1" t="s">
        <v>323</v>
      </c>
      <c r="E4" s="0" t="n">
        <v>8</v>
      </c>
      <c r="F4" s="1" t="s">
        <v>517</v>
      </c>
    </row>
    <row r="5" customFormat="false" ht="12.8" hidden="false" customHeight="false" outlineLevel="0" collapsed="false">
      <c r="A5" s="0" t="n">
        <f aca="false">ROW(A5)-3</f>
        <v>2</v>
      </c>
      <c r="B5" s="1" t="s">
        <v>518</v>
      </c>
      <c r="C5" s="0" t="s">
        <v>519</v>
      </c>
      <c r="D5" s="1" t="s">
        <v>71</v>
      </c>
      <c r="E5" s="0" t="n">
        <v>8</v>
      </c>
      <c r="F5" s="1" t="s">
        <v>517</v>
      </c>
    </row>
    <row r="6" customFormat="false" ht="12.8" hidden="false" customHeight="false" outlineLevel="0" collapsed="false">
      <c r="A6" s="0" t="n">
        <f aca="false">ROW(A6)-3</f>
        <v>3</v>
      </c>
      <c r="B6" s="1" t="s">
        <v>520</v>
      </c>
      <c r="C6" s="0" t="s">
        <v>521</v>
      </c>
      <c r="D6" s="1" t="s">
        <v>310</v>
      </c>
      <c r="E6" s="0" t="n">
        <v>6</v>
      </c>
      <c r="F6" s="1" t="s">
        <v>522</v>
      </c>
    </row>
    <row r="7" customFormat="false" ht="12.8" hidden="false" customHeight="false" outlineLevel="0" collapsed="false">
      <c r="A7" s="0" t="n">
        <f aca="false">ROW(A7)-3</f>
        <v>4</v>
      </c>
      <c r="B7" s="1" t="s">
        <v>523</v>
      </c>
      <c r="C7" s="0" t="s">
        <v>524</v>
      </c>
      <c r="D7" s="1" t="s">
        <v>350</v>
      </c>
      <c r="E7" s="0" t="n">
        <v>30</v>
      </c>
      <c r="F7" s="1" t="s">
        <v>525</v>
      </c>
    </row>
    <row r="8" customFormat="false" ht="12.8" hidden="false" customHeight="false" outlineLevel="0" collapsed="false">
      <c r="A8" s="0" t="n">
        <f aca="false">ROW(A8)-3</f>
        <v>5</v>
      </c>
      <c r="B8" s="1" t="s">
        <v>526</v>
      </c>
      <c r="C8" s="0" t="s">
        <v>527</v>
      </c>
      <c r="D8" s="1" t="s">
        <v>316</v>
      </c>
      <c r="E8" s="0" t="n">
        <v>10</v>
      </c>
      <c r="F8" s="1" t="s">
        <v>517</v>
      </c>
    </row>
    <row r="9" customFormat="false" ht="12.8" hidden="false" customHeight="false" outlineLevel="0" collapsed="false">
      <c r="A9" s="0" t="n">
        <f aca="false">ROW(A9)-3</f>
        <v>6</v>
      </c>
      <c r="B9" s="1" t="s">
        <v>528</v>
      </c>
      <c r="C9" s="0" t="s">
        <v>529</v>
      </c>
      <c r="D9" s="1" t="s">
        <v>357</v>
      </c>
      <c r="E9" s="0" t="n">
        <v>16</v>
      </c>
      <c r="F9" s="1" t="s">
        <v>530</v>
      </c>
    </row>
    <row r="10" customFormat="false" ht="12.8" hidden="false" customHeight="false" outlineLevel="0" collapsed="false">
      <c r="A10" s="0" t="n">
        <f aca="false">ROW(A10)-3</f>
        <v>7</v>
      </c>
      <c r="B10" s="1" t="s">
        <v>531</v>
      </c>
      <c r="C10" s="0" t="s">
        <v>532</v>
      </c>
      <c r="D10" s="1" t="s">
        <v>533</v>
      </c>
      <c r="E10" s="0" t="n">
        <v>10</v>
      </c>
      <c r="F10" s="1" t="s">
        <v>534</v>
      </c>
    </row>
    <row r="11" customFormat="false" ht="12.8" hidden="false" customHeight="false" outlineLevel="0" collapsed="false">
      <c r="A11" s="0" t="n">
        <f aca="false">ROW(A11)-3</f>
        <v>8</v>
      </c>
      <c r="B11" s="1" t="s">
        <v>535</v>
      </c>
      <c r="C11" s="0" t="s">
        <v>536</v>
      </c>
      <c r="D11" s="1" t="s">
        <v>537</v>
      </c>
      <c r="E11" s="0" t="n">
        <v>10</v>
      </c>
      <c r="F11" s="1" t="s">
        <v>534</v>
      </c>
    </row>
    <row r="12" customFormat="false" ht="12.8" hidden="false" customHeight="false" outlineLevel="0" collapsed="false">
      <c r="A12" s="0" t="n">
        <f aca="false">ROW(A12)-3</f>
        <v>9</v>
      </c>
      <c r="B12" s="1" t="s">
        <v>538</v>
      </c>
      <c r="C12" s="0" t="s">
        <v>539</v>
      </c>
      <c r="D12" s="1" t="s">
        <v>311</v>
      </c>
      <c r="E12" s="0" t="n">
        <v>10</v>
      </c>
      <c r="F12" s="1" t="s">
        <v>534</v>
      </c>
    </row>
    <row r="13" customFormat="false" ht="12.8" hidden="false" customHeight="false" outlineLevel="0" collapsed="false">
      <c r="A13" s="0" t="n">
        <f aca="false">ROW(A13)-3</f>
        <v>10</v>
      </c>
      <c r="B13" s="1" t="s">
        <v>540</v>
      </c>
      <c r="C13" s="0" t="s">
        <v>541</v>
      </c>
      <c r="D13" s="1" t="s">
        <v>412</v>
      </c>
      <c r="E13" s="0" t="n">
        <v>10</v>
      </c>
      <c r="F13" s="1" t="s">
        <v>534</v>
      </c>
    </row>
    <row r="14" customFormat="false" ht="12.8" hidden="false" customHeight="false" outlineLevel="0" collapsed="false">
      <c r="A14" s="0" t="n">
        <f aca="false">ROW(A14)-3</f>
        <v>11</v>
      </c>
      <c r="B14" s="1" t="s">
        <v>542</v>
      </c>
      <c r="C14" s="0" t="s">
        <v>543</v>
      </c>
      <c r="D14" s="1" t="s">
        <v>425</v>
      </c>
      <c r="E14" s="0" t="n">
        <v>10</v>
      </c>
      <c r="F14" s="1" t="s">
        <v>534</v>
      </c>
    </row>
    <row r="15" customFormat="false" ht="12.8" hidden="false" customHeight="false" outlineLevel="0" collapsed="false">
      <c r="A15" s="0" t="n">
        <f aca="false">ROW(A15)-3</f>
        <v>12</v>
      </c>
      <c r="B15" s="1" t="s">
        <v>544</v>
      </c>
      <c r="C15" s="0" t="s">
        <v>545</v>
      </c>
      <c r="D15" s="1" t="s">
        <v>546</v>
      </c>
      <c r="E15" s="0" t="n">
        <v>15</v>
      </c>
      <c r="F15" s="1" t="s">
        <v>546</v>
      </c>
    </row>
    <row r="16" customFormat="false" ht="12.8" hidden="false" customHeight="false" outlineLevel="0" collapsed="false">
      <c r="A16" s="0" t="n">
        <f aca="false">ROW(A16)-3</f>
        <v>13</v>
      </c>
      <c r="B16" s="1" t="s">
        <v>547</v>
      </c>
      <c r="C16" s="0" t="s">
        <v>548</v>
      </c>
      <c r="D16" s="1" t="s">
        <v>350</v>
      </c>
      <c r="E16" s="0" t="n">
        <v>30</v>
      </c>
      <c r="F16" s="1" t="s">
        <v>525</v>
      </c>
      <c r="G16" s="1" t="s">
        <v>549</v>
      </c>
      <c r="H16" s="1" t="s">
        <v>550</v>
      </c>
      <c r="I16" s="1" t="s">
        <v>551</v>
      </c>
      <c r="J16" s="1" t="s">
        <v>551</v>
      </c>
      <c r="K16" s="1" t="s">
        <v>551</v>
      </c>
      <c r="L16" s="1" t="s">
        <v>533</v>
      </c>
      <c r="M16" s="0" t="n">
        <v>15</v>
      </c>
      <c r="N16" s="0" t="n">
        <v>1</v>
      </c>
      <c r="O16" s="0" t="n">
        <v>1</v>
      </c>
      <c r="P16" s="1" t="s">
        <v>549</v>
      </c>
      <c r="Q16" s="1" t="s">
        <v>550</v>
      </c>
      <c r="R16" s="1" t="s">
        <v>551</v>
      </c>
      <c r="S16" s="1" t="s">
        <v>551</v>
      </c>
      <c r="T16" s="1" t="s">
        <v>551</v>
      </c>
      <c r="U16" s="1" t="s">
        <v>311</v>
      </c>
      <c r="V16" s="0" t="n">
        <v>15</v>
      </c>
      <c r="W16" s="0" t="n">
        <v>1</v>
      </c>
      <c r="X16" s="0" t="n">
        <v>1</v>
      </c>
      <c r="Y16" s="1" t="s">
        <v>552</v>
      </c>
      <c r="Z16" s="1" t="s">
        <v>550</v>
      </c>
    </row>
    <row r="17" customFormat="false" ht="12.8" hidden="false" customHeight="false" outlineLevel="0" collapsed="false">
      <c r="A17" s="0" t="n">
        <f aca="false">ROW(A17)-3</f>
        <v>14</v>
      </c>
      <c r="B17" s="1" t="s">
        <v>553</v>
      </c>
      <c r="C17" s="0" t="s">
        <v>554</v>
      </c>
      <c r="D17" s="1" t="s">
        <v>447</v>
      </c>
      <c r="E17" s="0" t="n">
        <v>16</v>
      </c>
      <c r="F17" s="1" t="s">
        <v>525</v>
      </c>
      <c r="G17" s="1" t="s">
        <v>549</v>
      </c>
      <c r="H17" s="1" t="s">
        <v>550</v>
      </c>
      <c r="I17" s="1" t="s">
        <v>555</v>
      </c>
      <c r="J17" s="1" t="s">
        <v>556</v>
      </c>
      <c r="K17" s="0" t="n">
        <v>115</v>
      </c>
      <c r="L17" s="1" t="s">
        <v>447</v>
      </c>
      <c r="M17" s="0" t="n">
        <v>30</v>
      </c>
      <c r="N17" s="0" t="n">
        <v>1</v>
      </c>
      <c r="O17" s="0" t="n">
        <v>1</v>
      </c>
      <c r="P17" s="1" t="s">
        <v>552</v>
      </c>
      <c r="Q17" s="1" t="s">
        <v>550</v>
      </c>
      <c r="R17" s="1" t="s">
        <v>551</v>
      </c>
      <c r="S17" s="1" t="s">
        <v>551</v>
      </c>
      <c r="T17" s="1" t="s">
        <v>551</v>
      </c>
      <c r="U17" s="1" t="s">
        <v>323</v>
      </c>
      <c r="V17" s="0" t="n">
        <v>12</v>
      </c>
      <c r="W17" s="0" t="n">
        <v>1</v>
      </c>
      <c r="X17" s="0" t="n">
        <v>1</v>
      </c>
    </row>
    <row r="18" customFormat="false" ht="12.8" hidden="false" customHeight="false" outlineLevel="0" collapsed="false">
      <c r="A18" s="0" t="n">
        <f aca="false">ROW(A18)-3</f>
        <v>15</v>
      </c>
      <c r="B18" s="1" t="s">
        <v>557</v>
      </c>
      <c r="C18" s="0" t="s">
        <v>558</v>
      </c>
      <c r="D18" s="1" t="s">
        <v>316</v>
      </c>
      <c r="E18" s="0" t="n">
        <v>10</v>
      </c>
      <c r="F18" s="1" t="s">
        <v>135</v>
      </c>
      <c r="G18" s="1" t="s">
        <v>552</v>
      </c>
      <c r="H18" s="1" t="s">
        <v>559</v>
      </c>
      <c r="I18" s="1" t="s">
        <v>551</v>
      </c>
      <c r="J18" s="1" t="s">
        <v>551</v>
      </c>
      <c r="K18" s="1" t="s">
        <v>551</v>
      </c>
      <c r="L18" s="1" t="s">
        <v>457</v>
      </c>
      <c r="M18" s="0" t="n">
        <v>8</v>
      </c>
      <c r="N18" s="0" t="n">
        <v>1</v>
      </c>
      <c r="O18" s="0" t="n">
        <v>3</v>
      </c>
    </row>
    <row r="19" customFormat="false" ht="12.8" hidden="false" customHeight="false" outlineLevel="0" collapsed="false">
      <c r="A19" s="0" t="n">
        <f aca="false">ROW(A19)-3</f>
        <v>16</v>
      </c>
      <c r="B19" s="1" t="s">
        <v>560</v>
      </c>
      <c r="C19" s="0" t="s">
        <v>561</v>
      </c>
      <c r="D19" s="1" t="s">
        <v>555</v>
      </c>
      <c r="E19" s="0" t="n">
        <v>8</v>
      </c>
      <c r="F19" s="1" t="s">
        <v>525</v>
      </c>
      <c r="G19" s="1" t="s">
        <v>552</v>
      </c>
      <c r="H19" s="1" t="s">
        <v>550</v>
      </c>
      <c r="I19" s="1" t="s">
        <v>551</v>
      </c>
      <c r="J19" s="1" t="s">
        <v>551</v>
      </c>
      <c r="K19" s="1" t="s">
        <v>551</v>
      </c>
      <c r="L19" s="1" t="s">
        <v>350</v>
      </c>
      <c r="M19" s="0" t="n">
        <v>45</v>
      </c>
      <c r="N19" s="0" t="n">
        <v>1</v>
      </c>
      <c r="O19" s="0" t="n">
        <v>1</v>
      </c>
      <c r="P19" s="1" t="s">
        <v>552</v>
      </c>
      <c r="Q19" s="1" t="s">
        <v>550</v>
      </c>
      <c r="R19" s="1" t="s">
        <v>551</v>
      </c>
      <c r="S19" s="1" t="s">
        <v>551</v>
      </c>
      <c r="T19" s="1" t="s">
        <v>551</v>
      </c>
      <c r="U19" s="1" t="s">
        <v>537</v>
      </c>
      <c r="V19" s="0" t="n">
        <v>25</v>
      </c>
      <c r="W19" s="0" t="n">
        <v>1</v>
      </c>
      <c r="X19" s="0" t="n">
        <v>1</v>
      </c>
    </row>
    <row r="20" customFormat="false" ht="12.8" hidden="false" customHeight="false" outlineLevel="0" collapsed="false">
      <c r="A20" s="0" t="n">
        <f aca="false">ROW(A20)-3</f>
        <v>17</v>
      </c>
      <c r="B20" s="1" t="s">
        <v>562</v>
      </c>
      <c r="C20" s="0" t="s">
        <v>563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2.804687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564</v>
      </c>
      <c r="B1" s="1" t="s">
        <v>565</v>
      </c>
      <c r="C1" s="1" t="s">
        <v>292</v>
      </c>
    </row>
    <row r="2" customFormat="false" ht="12.8" hidden="false" customHeight="false" outlineLevel="0" collapsed="false">
      <c r="A2" s="1" t="s">
        <v>334</v>
      </c>
      <c r="B2" s="1" t="s">
        <v>51</v>
      </c>
      <c r="C2" s="1" t="s">
        <v>57</v>
      </c>
    </row>
    <row r="3" customFormat="false" ht="12.8" hidden="false" customHeight="false" outlineLevel="0" collapsed="false">
      <c r="A3" s="1" t="s">
        <v>566</v>
      </c>
      <c r="B3" s="1" t="s">
        <v>38</v>
      </c>
      <c r="C3" s="1" t="s">
        <v>48</v>
      </c>
    </row>
    <row r="4" customFormat="false" ht="12.8" hidden="false" customHeight="false" outlineLevel="0" collapsed="false">
      <c r="A4" s="1" t="s">
        <v>316</v>
      </c>
      <c r="B4" s="1" t="s">
        <v>47</v>
      </c>
      <c r="C4" s="1" t="s">
        <v>313</v>
      </c>
    </row>
    <row r="5" customFormat="false" ht="12.8" hidden="false" customHeight="false" outlineLevel="0" collapsed="false">
      <c r="A5" s="1" t="s">
        <v>567</v>
      </c>
      <c r="B5" s="1" t="s">
        <v>63</v>
      </c>
    </row>
    <row r="6" customFormat="false" ht="12.8" hidden="false" customHeight="false" outlineLevel="0" collapsed="false">
      <c r="A6" s="1" t="s">
        <v>357</v>
      </c>
      <c r="B6" s="1" t="s">
        <v>54</v>
      </c>
    </row>
    <row r="7" customFormat="false" ht="12.8" hidden="false" customHeight="false" outlineLevel="0" collapsed="false">
      <c r="A7" s="1" t="s">
        <v>568</v>
      </c>
    </row>
    <row r="8" customFormat="false" ht="12.8" hidden="false" customHeight="false" outlineLevel="0" collapsed="false">
      <c r="A8" s="1" t="s">
        <v>310</v>
      </c>
    </row>
    <row r="9" customFormat="false" ht="12.8" hidden="false" customHeight="false" outlineLevel="0" collapsed="false">
      <c r="A9" s="1" t="s">
        <v>323</v>
      </c>
    </row>
    <row r="10" customFormat="false" ht="12.8" hidden="false" customHeight="false" outlineLevel="0" collapsed="false">
      <c r="A10" s="1" t="s">
        <v>447</v>
      </c>
    </row>
    <row r="11" customFormat="false" ht="12.8" hidden="false" customHeight="false" outlineLevel="0" collapsed="false">
      <c r="A11" s="1" t="s">
        <v>350</v>
      </c>
    </row>
    <row r="12" customFormat="false" ht="12.8" hidden="false" customHeight="false" outlineLevel="0" collapsed="false">
      <c r="A12" s="1" t="s">
        <v>555</v>
      </c>
    </row>
    <row r="13" customFormat="false" ht="12.8" hidden="false" customHeight="false" outlineLevel="0" collapsed="false">
      <c r="A13" s="1" t="s">
        <v>71</v>
      </c>
    </row>
    <row r="14" customFormat="false" ht="12.8" hidden="false" customHeight="false" outlineLevel="0" collapsed="false">
      <c r="A14" s="1" t="s">
        <v>569</v>
      </c>
    </row>
    <row r="15" customFormat="false" ht="12.8" hidden="false" customHeight="false" outlineLevel="0" collapsed="false">
      <c r="A15" s="1" t="s">
        <v>330</v>
      </c>
    </row>
    <row r="16" customFormat="false" ht="12.8" hidden="false" customHeight="false" outlineLevel="0" collapsed="false">
      <c r="A16" s="1" t="s">
        <v>425</v>
      </c>
    </row>
    <row r="17" customFormat="false" ht="12.8" hidden="false" customHeight="false" outlineLevel="0" collapsed="false">
      <c r="A17" s="1" t="s">
        <v>533</v>
      </c>
    </row>
    <row r="18" customFormat="false" ht="12.8" hidden="false" customHeight="false" outlineLevel="0" collapsed="false">
      <c r="A18" s="1" t="s">
        <v>412</v>
      </c>
    </row>
    <row r="19" customFormat="false" ht="12.8" hidden="false" customHeight="false" outlineLevel="0" collapsed="false">
      <c r="A19" s="1" t="s">
        <v>311</v>
      </c>
    </row>
    <row r="20" customFormat="false" ht="12.8" hidden="false" customHeight="false" outlineLevel="0" collapsed="false">
      <c r="A20" s="1" t="s">
        <v>537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30"/>
  <sheetViews>
    <sheetView showFormulas="false" showGridLines="true" showRowColHeaders="true" showZeros="true" rightToLeft="false" tabSelected="false" showOutlineSymbols="true" defaultGridColor="true" view="normal" topLeftCell="H1" colorId="64" zoomScale="90" zoomScaleNormal="90" zoomScalePageLayoutView="100" workbookViewId="0">
      <selection pane="topLeft" activeCell="L5" activeCellId="0" sqref="L5"/>
    </sheetView>
  </sheetViews>
  <sheetFormatPr defaultColWidth="12.8046875" defaultRowHeight="12.8" customHeight="true" zeroHeight="false" outlineLevelRow="0" outlineLevelCol="0"/>
  <sheetData>
    <row r="1" customFormat="false" ht="12.8" hidden="false" customHeight="false" outlineLevel="0" collapsed="false">
      <c r="A1" s="16"/>
      <c r="B1" s="17" t="s">
        <v>570</v>
      </c>
      <c r="C1" s="18" t="n">
        <v>1</v>
      </c>
      <c r="D1" s="18" t="n">
        <v>2</v>
      </c>
      <c r="E1" s="18" t="n">
        <v>3</v>
      </c>
      <c r="F1" s="18" t="n">
        <v>4</v>
      </c>
      <c r="G1" s="18" t="n">
        <v>5</v>
      </c>
      <c r="H1" s="18" t="n">
        <v>6</v>
      </c>
      <c r="I1" s="18" t="n">
        <v>7</v>
      </c>
      <c r="J1" s="18" t="n">
        <v>8</v>
      </c>
      <c r="K1" s="18" t="n">
        <v>9</v>
      </c>
      <c r="L1" s="18" t="n">
        <v>10</v>
      </c>
      <c r="M1" s="18" t="n">
        <v>11</v>
      </c>
      <c r="N1" s="18" t="n">
        <v>12</v>
      </c>
      <c r="O1" s="18" t="n">
        <v>13</v>
      </c>
      <c r="P1" s="18" t="n">
        <v>14</v>
      </c>
      <c r="Q1" s="18" t="n">
        <v>15</v>
      </c>
      <c r="R1" s="18" t="n">
        <v>16</v>
      </c>
      <c r="S1" s="18" t="n">
        <v>17</v>
      </c>
      <c r="T1" s="18" t="n">
        <v>18</v>
      </c>
      <c r="U1" s="18" t="n">
        <v>19</v>
      </c>
      <c r="V1" s="18" t="n">
        <v>20</v>
      </c>
      <c r="W1" s="18" t="n">
        <v>21</v>
      </c>
      <c r="X1" s="18" t="n">
        <v>22</v>
      </c>
      <c r="Y1" s="18" t="n">
        <v>23</v>
      </c>
      <c r="Z1" s="18" t="n">
        <v>24</v>
      </c>
      <c r="AA1" s="18" t="n">
        <v>25</v>
      </c>
      <c r="AB1" s="18" t="n">
        <v>26</v>
      </c>
      <c r="AC1" s="18" t="n">
        <v>27</v>
      </c>
      <c r="AD1" s="18" t="n">
        <v>28</v>
      </c>
      <c r="AE1" s="18" t="n">
        <v>29</v>
      </c>
      <c r="AF1" s="18" t="n">
        <v>30</v>
      </c>
      <c r="AG1" s="18" t="n">
        <v>31</v>
      </c>
      <c r="AH1" s="18" t="n">
        <v>32</v>
      </c>
      <c r="AI1" s="18" t="n">
        <v>33</v>
      </c>
      <c r="AJ1" s="18" t="n">
        <v>34</v>
      </c>
      <c r="AK1" s="18" t="n">
        <v>35</v>
      </c>
      <c r="AL1" s="18" t="n">
        <v>36</v>
      </c>
      <c r="AM1" s="18" t="n">
        <v>37</v>
      </c>
      <c r="AN1" s="18" t="n">
        <v>38</v>
      </c>
      <c r="AO1" s="18" t="n">
        <v>39</v>
      </c>
      <c r="AP1" s="18" t="n">
        <v>40</v>
      </c>
      <c r="AQ1" s="18" t="n">
        <v>41</v>
      </c>
      <c r="AR1" s="18" t="n">
        <v>42</v>
      </c>
      <c r="AS1" s="18" t="n">
        <v>43</v>
      </c>
      <c r="AT1" s="18" t="n">
        <v>44</v>
      </c>
      <c r="AU1" s="18" t="n">
        <v>45</v>
      </c>
      <c r="AV1" s="18" t="n">
        <v>46</v>
      </c>
      <c r="AW1" s="18" t="n">
        <v>47</v>
      </c>
      <c r="AX1" s="18" t="n">
        <v>48</v>
      </c>
      <c r="AY1" s="18" t="n">
        <v>49</v>
      </c>
      <c r="AZ1" s="18" t="n">
        <v>50</v>
      </c>
      <c r="BA1" s="18" t="n">
        <v>51</v>
      </c>
      <c r="BB1" s="18" t="n">
        <v>52</v>
      </c>
      <c r="BC1" s="18" t="n">
        <v>53</v>
      </c>
      <c r="BD1" s="18" t="n">
        <v>54</v>
      </c>
      <c r="BE1" s="18" t="n">
        <v>55</v>
      </c>
      <c r="BF1" s="18" t="n">
        <v>56</v>
      </c>
      <c r="BG1" s="18" t="n">
        <v>57</v>
      </c>
      <c r="BH1" s="18" t="n">
        <v>58</v>
      </c>
      <c r="BI1" s="18" t="n">
        <v>59</v>
      </c>
      <c r="BJ1" s="18" t="n">
        <v>60</v>
      </c>
    </row>
    <row r="2" customFormat="false" ht="12.8" hidden="false" customHeight="false" outlineLevel="0" collapsed="false">
      <c r="B2" s="19" t="s">
        <v>571</v>
      </c>
      <c r="C2" s="9" t="n">
        <v>1</v>
      </c>
      <c r="D2" s="9" t="n">
        <v>1.08</v>
      </c>
      <c r="E2" s="9" t="n">
        <v>1.16</v>
      </c>
      <c r="F2" s="9" t="n">
        <v>1.24</v>
      </c>
      <c r="G2" s="9" t="n">
        <v>1.32</v>
      </c>
      <c r="H2" s="9" t="n">
        <v>1.42</v>
      </c>
      <c r="I2" s="9" t="n">
        <v>1.52</v>
      </c>
      <c r="J2" s="9" t="n">
        <v>1.64</v>
      </c>
      <c r="K2" s="9" t="n">
        <v>1.76</v>
      </c>
      <c r="L2" s="9" t="n">
        <v>1.88</v>
      </c>
      <c r="M2" s="9" t="n">
        <v>2</v>
      </c>
      <c r="N2" s="9" t="n">
        <v>2.14</v>
      </c>
      <c r="O2" s="9" t="n">
        <v>2.28</v>
      </c>
      <c r="P2" s="9" t="n">
        <v>2.42</v>
      </c>
      <c r="Q2" s="9" t="n">
        <v>2.58</v>
      </c>
      <c r="R2" s="9" t="n">
        <v>2.74</v>
      </c>
      <c r="S2" s="9" t="n">
        <v>2.9</v>
      </c>
      <c r="T2" s="9" t="n">
        <v>3.06</v>
      </c>
      <c r="U2" s="9" t="n">
        <v>3.24</v>
      </c>
      <c r="V2" s="9" t="n">
        <v>3.44</v>
      </c>
      <c r="W2" s="9" t="n">
        <v>3.62</v>
      </c>
      <c r="X2" s="9" t="n">
        <v>3.82</v>
      </c>
      <c r="Y2" s="9" t="n">
        <v>4.02</v>
      </c>
      <c r="Z2" s="9" t="n">
        <v>4.22</v>
      </c>
      <c r="AA2" s="9" t="n">
        <v>4.44</v>
      </c>
      <c r="AB2" s="9" t="n">
        <v>4.66</v>
      </c>
      <c r="AC2" s="9" t="n">
        <v>4.9</v>
      </c>
      <c r="AD2" s="9" t="n">
        <v>5.12</v>
      </c>
      <c r="AE2" s="9" t="n">
        <v>5.36</v>
      </c>
      <c r="AF2" s="9" t="n">
        <v>5.62</v>
      </c>
      <c r="AG2" s="9" t="n">
        <v>5.86</v>
      </c>
      <c r="AH2" s="9" t="n">
        <v>6.12</v>
      </c>
      <c r="AI2" s="9" t="n">
        <v>6.38</v>
      </c>
      <c r="AJ2" s="9" t="n">
        <v>6.66</v>
      </c>
      <c r="AK2" s="9" t="n">
        <v>6.94</v>
      </c>
      <c r="AL2" s="9" t="n">
        <v>7.22</v>
      </c>
      <c r="AM2" s="9" t="n">
        <v>7.5</v>
      </c>
      <c r="AN2" s="9" t="n">
        <v>7.8</v>
      </c>
      <c r="AO2" s="9" t="n">
        <v>8.1</v>
      </c>
      <c r="AP2" s="9" t="n">
        <v>8.42</v>
      </c>
      <c r="AQ2" s="9" t="n">
        <v>8.72</v>
      </c>
      <c r="AR2" s="9" t="n">
        <v>9.04</v>
      </c>
      <c r="AS2" s="9" t="n">
        <v>9.38</v>
      </c>
      <c r="AT2" s="9" t="n">
        <v>9.7</v>
      </c>
      <c r="AU2" s="9" t="n">
        <v>10.04</v>
      </c>
      <c r="AV2" s="9" t="n">
        <v>10.38</v>
      </c>
      <c r="AW2" s="9" t="n">
        <v>10.74</v>
      </c>
      <c r="AX2" s="9" t="n">
        <v>11.1</v>
      </c>
      <c r="AY2" s="9" t="n">
        <v>11.46</v>
      </c>
      <c r="AZ2" s="9" t="n">
        <v>11.84</v>
      </c>
      <c r="BA2" s="9" t="n">
        <v>12.2</v>
      </c>
      <c r="BB2" s="9" t="n">
        <v>12.58</v>
      </c>
      <c r="BC2" s="9" t="n">
        <v>12.98</v>
      </c>
      <c r="BD2" s="9" t="n">
        <v>13.38</v>
      </c>
      <c r="BE2" s="9" t="n">
        <v>13.78</v>
      </c>
      <c r="BF2" s="9" t="n">
        <v>14.18</v>
      </c>
      <c r="BG2" s="9" t="n">
        <v>14.6</v>
      </c>
      <c r="BH2" s="9" t="n">
        <v>15.02</v>
      </c>
      <c r="BI2" s="9" t="n">
        <v>15.44</v>
      </c>
      <c r="BJ2" s="9" t="n">
        <v>15.88</v>
      </c>
    </row>
    <row r="3" customFormat="false" ht="12.8" hidden="false" customHeight="false" outlineLevel="0" collapsed="false">
      <c r="B3" s="19" t="s">
        <v>572</v>
      </c>
      <c r="C3" s="9" t="n">
        <v>1</v>
      </c>
      <c r="D3" s="9" t="n">
        <f aca="false">D2-C2</f>
        <v>0.0800000000000001</v>
      </c>
      <c r="E3" s="9" t="n">
        <f aca="false">E2-D2</f>
        <v>0.0799999999999999</v>
      </c>
      <c r="F3" s="9" t="n">
        <f aca="false">F2-E2</f>
        <v>0.0800000000000001</v>
      </c>
      <c r="G3" s="9" t="n">
        <f aca="false">G2-F2</f>
        <v>0.0800000000000001</v>
      </c>
      <c r="H3" s="9" t="n">
        <f aca="false">H2-G2</f>
        <v>0.0999999999999999</v>
      </c>
      <c r="I3" s="9" t="n">
        <f aca="false">I2-H2</f>
        <v>0.1</v>
      </c>
      <c r="J3" s="9" t="n">
        <f aca="false">J2-I2</f>
        <v>0.12</v>
      </c>
      <c r="K3" s="9" t="n">
        <f aca="false">K2-J2</f>
        <v>0.12</v>
      </c>
      <c r="L3" s="9" t="n">
        <f aca="false">L2-K2</f>
        <v>0.12</v>
      </c>
      <c r="M3" s="9" t="n">
        <f aca="false">M2-L2</f>
        <v>0.12</v>
      </c>
      <c r="N3" s="9" t="n">
        <f aca="false">N2-M2</f>
        <v>0.14</v>
      </c>
      <c r="O3" s="9" t="n">
        <f aca="false">O2-N2</f>
        <v>0.14</v>
      </c>
      <c r="P3" s="9" t="n">
        <f aca="false">P2-O2</f>
        <v>0.14</v>
      </c>
      <c r="Q3" s="9" t="n">
        <f aca="false">Q2-P2</f>
        <v>0.16</v>
      </c>
      <c r="R3" s="9" t="n">
        <f aca="false">R2-Q2</f>
        <v>0.16</v>
      </c>
      <c r="S3" s="9" t="n">
        <f aca="false">S2-R2</f>
        <v>0.16</v>
      </c>
      <c r="T3" s="9" t="n">
        <f aca="false">T2-S2</f>
        <v>0.16</v>
      </c>
      <c r="U3" s="9" t="n">
        <f aca="false">U2-T2</f>
        <v>0.18</v>
      </c>
      <c r="V3" s="9" t="n">
        <f aca="false">V2-U2</f>
        <v>0.2</v>
      </c>
      <c r="W3" s="9" t="n">
        <f aca="false">W2-V2</f>
        <v>0.18</v>
      </c>
      <c r="X3" s="9" t="n">
        <f aca="false">X2-W2</f>
        <v>0.2</v>
      </c>
      <c r="Y3" s="9" t="n">
        <f aca="false">Y2-X2</f>
        <v>0.2</v>
      </c>
      <c r="Z3" s="9" t="n">
        <f aca="false">Z2-Y2</f>
        <v>0.2</v>
      </c>
      <c r="AA3" s="9" t="n">
        <f aca="false">AA2-Z2</f>
        <v>0.220000000000001</v>
      </c>
      <c r="AB3" s="9" t="n">
        <f aca="false">AB2-AA2</f>
        <v>0.22</v>
      </c>
      <c r="AC3" s="9" t="n">
        <f aca="false">AC2-AB2</f>
        <v>0.24</v>
      </c>
      <c r="AD3" s="9" t="n">
        <f aca="false">AD2-AC2</f>
        <v>0.22</v>
      </c>
      <c r="AE3" s="9" t="n">
        <f aca="false">AE2-AD2</f>
        <v>0.24</v>
      </c>
      <c r="AF3" s="9" t="n">
        <f aca="false">AF2-AE2</f>
        <v>0.26</v>
      </c>
      <c r="AG3" s="9" t="n">
        <f aca="false">AG2-AF2</f>
        <v>0.24</v>
      </c>
      <c r="AH3" s="9" t="n">
        <f aca="false">AH2-AG2</f>
        <v>0.26</v>
      </c>
      <c r="AI3" s="9" t="n">
        <f aca="false">AI2-AH2</f>
        <v>0.26</v>
      </c>
      <c r="AJ3" s="9" t="n">
        <f aca="false">AJ2-AI2</f>
        <v>0.28</v>
      </c>
      <c r="AK3" s="9" t="n">
        <f aca="false">AK2-AJ2</f>
        <v>0.28</v>
      </c>
      <c r="AL3" s="9" t="n">
        <f aca="false">AL2-AK2</f>
        <v>0.279999999999999</v>
      </c>
      <c r="AM3" s="9" t="n">
        <f aca="false">AM2-AL2</f>
        <v>0.28</v>
      </c>
      <c r="AN3" s="9" t="n">
        <f aca="false">AN2-AM2</f>
        <v>0.3</v>
      </c>
      <c r="AO3" s="9" t="n">
        <f aca="false">AO2-AN2</f>
        <v>0.3</v>
      </c>
      <c r="AP3" s="9" t="n">
        <f aca="false">AP2-AO2</f>
        <v>0.32</v>
      </c>
      <c r="AQ3" s="9" t="n">
        <f aca="false">AQ2-AP2</f>
        <v>0.300000000000001</v>
      </c>
      <c r="AR3" s="9" t="n">
        <f aca="false">AR2-AQ2</f>
        <v>0.319999999999999</v>
      </c>
      <c r="AS3" s="9" t="n">
        <f aca="false">AS2-AR2</f>
        <v>0.340000000000002</v>
      </c>
      <c r="AT3" s="9" t="n">
        <f aca="false">AT2-AS2</f>
        <v>0.319999999999999</v>
      </c>
      <c r="AU3" s="9" t="n">
        <f aca="false">AU2-AT2</f>
        <v>0.34</v>
      </c>
      <c r="AV3" s="9" t="n">
        <f aca="false">AV2-AU2</f>
        <v>0.340000000000002</v>
      </c>
      <c r="AW3" s="9" t="n">
        <f aca="false">AW2-AV2</f>
        <v>0.359999999999999</v>
      </c>
      <c r="AX3" s="9" t="n">
        <f aca="false">AX2-AW2</f>
        <v>0.359999999999999</v>
      </c>
      <c r="AY3" s="9" t="n">
        <f aca="false">AY2-AX2</f>
        <v>0.360000000000001</v>
      </c>
      <c r="AZ3" s="9" t="n">
        <f aca="false">AZ2-AY2</f>
        <v>0.379999999999999</v>
      </c>
      <c r="BA3" s="9" t="n">
        <f aca="false">BA2-AZ2</f>
        <v>0.359999999999999</v>
      </c>
      <c r="BB3" s="9" t="n">
        <f aca="false">BB2-BA2</f>
        <v>0.380000000000001</v>
      </c>
      <c r="BC3" s="9" t="n">
        <f aca="false">BC2-BB2</f>
        <v>0.4</v>
      </c>
      <c r="BD3" s="9" t="n">
        <f aca="false">BD2-BC2</f>
        <v>0.4</v>
      </c>
      <c r="BE3" s="9" t="n">
        <f aca="false">BE2-BD2</f>
        <v>0.399999999999999</v>
      </c>
      <c r="BF3" s="9" t="n">
        <f aca="false">BF2-BE2</f>
        <v>0.4</v>
      </c>
      <c r="BG3" s="9" t="n">
        <f aca="false">BG2-BF2</f>
        <v>0.42</v>
      </c>
      <c r="BH3" s="9" t="n">
        <f aca="false">BH2-BG2</f>
        <v>0.42</v>
      </c>
      <c r="BI3" s="9" t="n">
        <f aca="false">BI2-BH2</f>
        <v>0.42</v>
      </c>
      <c r="BJ3" s="9" t="n">
        <f aca="false">BJ2-BI2</f>
        <v>0.440000000000001</v>
      </c>
    </row>
    <row r="4" customFormat="false" ht="12.8" hidden="false" customHeight="false" outlineLevel="0" collapsed="false">
      <c r="A4" s="16" t="s">
        <v>573</v>
      </c>
      <c r="B4" s="17" t="n">
        <v>50</v>
      </c>
      <c r="C4" s="18" t="n">
        <f aca="false">$B4*C$2</f>
        <v>50</v>
      </c>
      <c r="D4" s="18" t="n">
        <f aca="false">$B4*D2</f>
        <v>54</v>
      </c>
      <c r="E4" s="18" t="n">
        <f aca="false">$B4*E2</f>
        <v>58</v>
      </c>
      <c r="F4" s="18" t="n">
        <f aca="false">$B4*F2</f>
        <v>62</v>
      </c>
      <c r="G4" s="18" t="n">
        <f aca="false">$B4*G2</f>
        <v>66</v>
      </c>
      <c r="H4" s="18" t="n">
        <f aca="false">$B4*H2</f>
        <v>71</v>
      </c>
      <c r="I4" s="18" t="n">
        <f aca="false">$B4*I2</f>
        <v>76</v>
      </c>
      <c r="J4" s="18" t="n">
        <f aca="false">$B4*J2</f>
        <v>82</v>
      </c>
      <c r="K4" s="18" t="n">
        <f aca="false">$B4*K2</f>
        <v>88</v>
      </c>
      <c r="L4" s="18" t="n">
        <f aca="false">$B4*L2</f>
        <v>94</v>
      </c>
      <c r="M4" s="18" t="n">
        <f aca="false">$B4*M2</f>
        <v>100</v>
      </c>
      <c r="N4" s="18" t="n">
        <f aca="false">$B4*N2</f>
        <v>107</v>
      </c>
      <c r="O4" s="18" t="n">
        <f aca="false">$B4*O2</f>
        <v>114</v>
      </c>
      <c r="P4" s="18" t="n">
        <f aca="false">$B4*P2</f>
        <v>121</v>
      </c>
      <c r="Q4" s="18" t="n">
        <f aca="false">$B4*Q2</f>
        <v>129</v>
      </c>
      <c r="R4" s="18" t="n">
        <f aca="false">$B4*R2</f>
        <v>137</v>
      </c>
      <c r="S4" s="18" t="n">
        <f aca="false">$B4*S2</f>
        <v>145</v>
      </c>
      <c r="T4" s="18" t="n">
        <f aca="false">$B4*T2</f>
        <v>153</v>
      </c>
      <c r="U4" s="18" t="n">
        <f aca="false">$B4*U2</f>
        <v>162</v>
      </c>
      <c r="V4" s="18" t="n">
        <f aca="false">$B4*V2</f>
        <v>172</v>
      </c>
      <c r="W4" s="18" t="n">
        <f aca="false">$B4*W2</f>
        <v>181</v>
      </c>
      <c r="X4" s="18" t="n">
        <f aca="false">$B4*X2</f>
        <v>191</v>
      </c>
      <c r="Y4" s="18" t="n">
        <f aca="false">$B4*Y2</f>
        <v>201</v>
      </c>
      <c r="Z4" s="18" t="n">
        <f aca="false">$B4*Z2</f>
        <v>211</v>
      </c>
      <c r="AA4" s="18" t="n">
        <f aca="false">$B4*AA2</f>
        <v>222</v>
      </c>
      <c r="AB4" s="18" t="n">
        <f aca="false">$B4*AB2</f>
        <v>233</v>
      </c>
      <c r="AC4" s="18" t="n">
        <f aca="false">$B4*AC2</f>
        <v>245</v>
      </c>
      <c r="AD4" s="18" t="n">
        <f aca="false">$B4*AD2</f>
        <v>256</v>
      </c>
      <c r="AE4" s="18" t="n">
        <f aca="false">$B4*AE2</f>
        <v>268</v>
      </c>
      <c r="AF4" s="18" t="n">
        <f aca="false">$B4*AF2</f>
        <v>281</v>
      </c>
      <c r="AG4" s="18" t="n">
        <f aca="false">$B4*AG2</f>
        <v>293</v>
      </c>
      <c r="AH4" s="18" t="n">
        <f aca="false">$B4*AH2</f>
        <v>306</v>
      </c>
      <c r="AI4" s="18" t="n">
        <f aca="false">$B4*AI2</f>
        <v>319</v>
      </c>
      <c r="AJ4" s="18" t="n">
        <f aca="false">$B4*AJ2</f>
        <v>333</v>
      </c>
      <c r="AK4" s="18" t="n">
        <f aca="false">$B4*AK2</f>
        <v>347</v>
      </c>
      <c r="AL4" s="18" t="n">
        <f aca="false">$B4*AL2</f>
        <v>361</v>
      </c>
      <c r="AM4" s="18" t="n">
        <f aca="false">$B4*AM2</f>
        <v>375</v>
      </c>
      <c r="AN4" s="18" t="n">
        <f aca="false">$B4*AN2</f>
        <v>390</v>
      </c>
      <c r="AO4" s="18" t="n">
        <f aca="false">$B4*AO2</f>
        <v>405</v>
      </c>
      <c r="AP4" s="18" t="n">
        <f aca="false">$B4*AP2</f>
        <v>421</v>
      </c>
      <c r="AQ4" s="18" t="n">
        <f aca="false">$B4*AQ2</f>
        <v>436</v>
      </c>
      <c r="AR4" s="18" t="n">
        <f aca="false">$B4*AR2</f>
        <v>452</v>
      </c>
      <c r="AS4" s="18" t="n">
        <f aca="false">$B4*AS2</f>
        <v>469</v>
      </c>
      <c r="AT4" s="18" t="n">
        <f aca="false">$B4*AT2</f>
        <v>485</v>
      </c>
      <c r="AU4" s="18" t="n">
        <f aca="false">$B4*AU2</f>
        <v>502</v>
      </c>
      <c r="AV4" s="18" t="n">
        <f aca="false">$B4*AV2</f>
        <v>519</v>
      </c>
      <c r="AW4" s="18" t="n">
        <f aca="false">$B4*AW2</f>
        <v>537</v>
      </c>
      <c r="AX4" s="18" t="n">
        <f aca="false">$B4*AX2</f>
        <v>555</v>
      </c>
      <c r="AY4" s="18" t="n">
        <f aca="false">$B4*AY2</f>
        <v>573</v>
      </c>
      <c r="AZ4" s="18" t="n">
        <f aca="false">$B4*AZ2</f>
        <v>592</v>
      </c>
      <c r="BA4" s="18" t="n">
        <f aca="false">$B4*BA2</f>
        <v>610</v>
      </c>
      <c r="BB4" s="18" t="n">
        <f aca="false">$B4*BB2</f>
        <v>629</v>
      </c>
      <c r="BC4" s="18" t="n">
        <f aca="false">$B4*BC2</f>
        <v>649</v>
      </c>
      <c r="BD4" s="18" t="n">
        <f aca="false">$B4*BD2</f>
        <v>669</v>
      </c>
      <c r="BE4" s="18" t="n">
        <f aca="false">$B4*BE2</f>
        <v>689</v>
      </c>
      <c r="BF4" s="18" t="n">
        <f aca="false">$B4*BF2</f>
        <v>709</v>
      </c>
      <c r="BG4" s="18" t="n">
        <f aca="false">$B4*BG2</f>
        <v>730</v>
      </c>
      <c r="BH4" s="18" t="n">
        <f aca="false">$B4*BH2</f>
        <v>751</v>
      </c>
      <c r="BI4" s="18" t="n">
        <f aca="false">$B4*BI2</f>
        <v>772</v>
      </c>
      <c r="BJ4" s="18" t="n">
        <f aca="false">$B4*BJ2</f>
        <v>794</v>
      </c>
    </row>
    <row r="5" customFormat="false" ht="12.8" hidden="false" customHeight="false" outlineLevel="0" collapsed="false">
      <c r="A5" s="0" t="s">
        <v>574</v>
      </c>
      <c r="B5" s="9" t="n">
        <v>45</v>
      </c>
      <c r="C5" s="18" t="n">
        <f aca="false">$B5*C$2</f>
        <v>45</v>
      </c>
      <c r="D5" s="18" t="n">
        <f aca="false">$B5*D$2</f>
        <v>48.6</v>
      </c>
      <c r="E5" s="18" t="n">
        <f aca="false">$B5*E$2</f>
        <v>52.2</v>
      </c>
      <c r="F5" s="18" t="n">
        <f aca="false">$B5*F$2</f>
        <v>55.8</v>
      </c>
      <c r="G5" s="18" t="n">
        <f aca="false">$B5*G$2</f>
        <v>59.4</v>
      </c>
      <c r="H5" s="18" t="n">
        <f aca="false">$B5*H$2</f>
        <v>63.9</v>
      </c>
      <c r="I5" s="18" t="n">
        <f aca="false">$B5*I$2</f>
        <v>68.4</v>
      </c>
      <c r="J5" s="18" t="n">
        <f aca="false">$B5*J$2</f>
        <v>73.8</v>
      </c>
      <c r="K5" s="18" t="n">
        <f aca="false">$B5*K$2</f>
        <v>79.2</v>
      </c>
      <c r="L5" s="18" t="n">
        <f aca="false">$B5*L$2</f>
        <v>84.6</v>
      </c>
      <c r="M5" s="18" t="n">
        <f aca="false">$B5*M$2</f>
        <v>90</v>
      </c>
      <c r="N5" s="18" t="n">
        <f aca="false">$B5*N$2</f>
        <v>96.3</v>
      </c>
      <c r="O5" s="18" t="n">
        <f aca="false">$B5*O$2</f>
        <v>102.6</v>
      </c>
      <c r="P5" s="18" t="n">
        <f aca="false">$B5*P$2</f>
        <v>108.9</v>
      </c>
      <c r="Q5" s="18" t="n">
        <f aca="false">$B5*Q$2</f>
        <v>116.1</v>
      </c>
      <c r="R5" s="18" t="n">
        <f aca="false">$B5*R$2</f>
        <v>123.3</v>
      </c>
      <c r="S5" s="18" t="n">
        <f aca="false">$B5*S$2</f>
        <v>130.5</v>
      </c>
      <c r="T5" s="18" t="n">
        <f aca="false">$B5*T$2</f>
        <v>137.7</v>
      </c>
      <c r="U5" s="18" t="n">
        <f aca="false">$B5*U$2</f>
        <v>145.8</v>
      </c>
      <c r="V5" s="18" t="n">
        <f aca="false">$B5*V$2</f>
        <v>154.8</v>
      </c>
      <c r="W5" s="18" t="n">
        <f aca="false">$B5*W$2</f>
        <v>162.9</v>
      </c>
      <c r="X5" s="18" t="n">
        <f aca="false">$B5*X$2</f>
        <v>171.9</v>
      </c>
      <c r="Y5" s="18" t="n">
        <f aca="false">$B5*Y$2</f>
        <v>180.9</v>
      </c>
      <c r="Z5" s="18" t="n">
        <f aca="false">$B5*Z$2</f>
        <v>189.9</v>
      </c>
      <c r="AA5" s="18" t="n">
        <f aca="false">$B5*AA$2</f>
        <v>199.8</v>
      </c>
      <c r="AB5" s="18" t="n">
        <f aca="false">$B5*AB$2</f>
        <v>209.7</v>
      </c>
      <c r="AC5" s="18" t="n">
        <f aca="false">$B5*AC$2</f>
        <v>220.5</v>
      </c>
      <c r="AD5" s="18" t="n">
        <f aca="false">$B5*AD$2</f>
        <v>230.4</v>
      </c>
      <c r="AE5" s="18" t="n">
        <f aca="false">$B5*AE$2</f>
        <v>241.2</v>
      </c>
      <c r="AF5" s="18" t="n">
        <f aca="false">$B5*AF$2</f>
        <v>252.9</v>
      </c>
      <c r="AG5" s="18" t="n">
        <f aca="false">$B5*AG$2</f>
        <v>263.7</v>
      </c>
      <c r="AH5" s="18" t="n">
        <f aca="false">$B5*AH$2</f>
        <v>275.4</v>
      </c>
      <c r="AI5" s="18" t="n">
        <f aca="false">$B5*AI$2</f>
        <v>287.1</v>
      </c>
      <c r="AJ5" s="18" t="n">
        <f aca="false">$B5*AJ$2</f>
        <v>299.7</v>
      </c>
      <c r="AK5" s="18" t="n">
        <f aca="false">$B5*AK$2</f>
        <v>312.3</v>
      </c>
      <c r="AL5" s="18" t="n">
        <f aca="false">$B5*AL$2</f>
        <v>324.9</v>
      </c>
      <c r="AM5" s="18" t="n">
        <f aca="false">$B5*AM$2</f>
        <v>337.5</v>
      </c>
      <c r="AN5" s="18" t="n">
        <f aca="false">$B5*AN$2</f>
        <v>351</v>
      </c>
      <c r="AO5" s="18" t="n">
        <f aca="false">$B5*AO$2</f>
        <v>364.5</v>
      </c>
      <c r="AP5" s="18" t="n">
        <f aca="false">$B5*AP$2</f>
        <v>378.9</v>
      </c>
      <c r="AQ5" s="18" t="n">
        <f aca="false">$B5*AQ$2</f>
        <v>392.4</v>
      </c>
      <c r="AR5" s="18" t="n">
        <f aca="false">$B5*AR$2</f>
        <v>406.8</v>
      </c>
      <c r="AS5" s="18" t="n">
        <f aca="false">$B5*AS$2</f>
        <v>422.1</v>
      </c>
      <c r="AT5" s="18" t="n">
        <f aca="false">$B5*AT$2</f>
        <v>436.5</v>
      </c>
      <c r="AU5" s="18" t="n">
        <f aca="false">$B5*AU$2</f>
        <v>451.8</v>
      </c>
      <c r="AV5" s="18" t="n">
        <f aca="false">$B5*AV$2</f>
        <v>467.1</v>
      </c>
      <c r="AW5" s="18" t="n">
        <f aca="false">$B5*AW$2</f>
        <v>483.3</v>
      </c>
      <c r="AX5" s="18" t="n">
        <f aca="false">$B5*AX$2</f>
        <v>499.5</v>
      </c>
      <c r="AY5" s="18" t="n">
        <f aca="false">$B5*AY$2</f>
        <v>515.7</v>
      </c>
      <c r="AZ5" s="18" t="n">
        <f aca="false">$B5*AZ$2</f>
        <v>532.8</v>
      </c>
      <c r="BA5" s="18" t="n">
        <f aca="false">$B5*BA$2</f>
        <v>549</v>
      </c>
      <c r="BB5" s="18" t="n">
        <f aca="false">$B5*BB$2</f>
        <v>566.1</v>
      </c>
      <c r="BC5" s="18" t="n">
        <f aca="false">$B5*BC$2</f>
        <v>584.1</v>
      </c>
      <c r="BD5" s="18" t="n">
        <f aca="false">$B5*BD$2</f>
        <v>602.1</v>
      </c>
      <c r="BE5" s="18" t="n">
        <f aca="false">$B5*BE$2</f>
        <v>620.1</v>
      </c>
      <c r="BF5" s="18" t="n">
        <f aca="false">$B5*BF$2</f>
        <v>638.1</v>
      </c>
      <c r="BG5" s="18" t="n">
        <f aca="false">$B5*BG$2</f>
        <v>657</v>
      </c>
      <c r="BH5" s="18" t="n">
        <f aca="false">$B5*BH$2</f>
        <v>675.9</v>
      </c>
      <c r="BI5" s="18" t="n">
        <f aca="false">$B5*BI$2</f>
        <v>694.8</v>
      </c>
      <c r="BJ5" s="18" t="n">
        <f aca="false">$B5*BJ$2</f>
        <v>714.6</v>
      </c>
    </row>
    <row r="6" customFormat="false" ht="12.8" hidden="false" customHeight="false" outlineLevel="0" collapsed="false">
      <c r="B6" s="9" t="n">
        <v>60</v>
      </c>
      <c r="C6" s="18" t="n">
        <f aca="false">$B6*C$2</f>
        <v>60</v>
      </c>
      <c r="D6" s="18" t="n">
        <f aca="false">$B6*D$2</f>
        <v>64.8</v>
      </c>
      <c r="E6" s="18" t="n">
        <f aca="false">$B6*E$2</f>
        <v>69.6</v>
      </c>
      <c r="F6" s="18" t="n">
        <f aca="false">$B6*F$2</f>
        <v>74.4</v>
      </c>
      <c r="G6" s="18" t="n">
        <f aca="false">$B6*G$2</f>
        <v>79.2</v>
      </c>
      <c r="H6" s="18" t="n">
        <f aca="false">$B6*H$2</f>
        <v>85.2</v>
      </c>
      <c r="I6" s="18" t="n">
        <f aca="false">$B6*I$2</f>
        <v>91.2</v>
      </c>
      <c r="J6" s="18" t="n">
        <f aca="false">$B6*J$2</f>
        <v>98.4</v>
      </c>
      <c r="K6" s="18" t="n">
        <f aca="false">$B6*K$2</f>
        <v>105.6</v>
      </c>
      <c r="L6" s="18" t="n">
        <f aca="false">$B6*L$2</f>
        <v>112.8</v>
      </c>
      <c r="M6" s="18" t="n">
        <f aca="false">$B6*M$2</f>
        <v>120</v>
      </c>
      <c r="N6" s="18" t="n">
        <f aca="false">$B6*N$2</f>
        <v>128.4</v>
      </c>
      <c r="O6" s="18" t="n">
        <f aca="false">$B6*O$2</f>
        <v>136.8</v>
      </c>
      <c r="P6" s="18" t="n">
        <f aca="false">$B6*P$2</f>
        <v>145.2</v>
      </c>
      <c r="Q6" s="18" t="n">
        <f aca="false">$B6*Q$2</f>
        <v>154.8</v>
      </c>
      <c r="R6" s="18" t="n">
        <f aca="false">$B6*R$2</f>
        <v>164.4</v>
      </c>
      <c r="S6" s="18" t="n">
        <f aca="false">$B6*S$2</f>
        <v>174</v>
      </c>
      <c r="T6" s="18" t="n">
        <f aca="false">$B6*T$2</f>
        <v>183.6</v>
      </c>
      <c r="U6" s="18" t="n">
        <f aca="false">$B6*U$2</f>
        <v>194.4</v>
      </c>
      <c r="V6" s="18" t="n">
        <f aca="false">$B6*V$2</f>
        <v>206.4</v>
      </c>
      <c r="W6" s="18" t="n">
        <f aca="false">$B6*W$2</f>
        <v>217.2</v>
      </c>
      <c r="X6" s="18" t="n">
        <f aca="false">$B6*X$2</f>
        <v>229.2</v>
      </c>
      <c r="Y6" s="18" t="n">
        <f aca="false">$B6*Y$2</f>
        <v>241.2</v>
      </c>
      <c r="Z6" s="18" t="n">
        <f aca="false">$B6*Z$2</f>
        <v>253.2</v>
      </c>
      <c r="AA6" s="18" t="n">
        <f aca="false">$B6*AA$2</f>
        <v>266.4</v>
      </c>
      <c r="AB6" s="18" t="n">
        <f aca="false">$B6*AB$2</f>
        <v>279.6</v>
      </c>
      <c r="AC6" s="18" t="n">
        <f aca="false">$B6*AC$2</f>
        <v>294</v>
      </c>
      <c r="AD6" s="18" t="n">
        <f aca="false">$B6*AD$2</f>
        <v>307.2</v>
      </c>
      <c r="AE6" s="18" t="n">
        <f aca="false">$B6*AE$2</f>
        <v>321.6</v>
      </c>
      <c r="AF6" s="18" t="n">
        <f aca="false">$B6*AF$2</f>
        <v>337.2</v>
      </c>
      <c r="AG6" s="18" t="n">
        <f aca="false">$B6*AG$2</f>
        <v>351.6</v>
      </c>
      <c r="AH6" s="18" t="n">
        <f aca="false">$B6*AH$2</f>
        <v>367.2</v>
      </c>
      <c r="AI6" s="18" t="n">
        <f aca="false">$B6*AI$2</f>
        <v>382.8</v>
      </c>
      <c r="AJ6" s="18" t="n">
        <f aca="false">$B6*AJ$2</f>
        <v>399.6</v>
      </c>
      <c r="AK6" s="18" t="n">
        <f aca="false">$B6*AK$2</f>
        <v>416.4</v>
      </c>
      <c r="AL6" s="18" t="n">
        <f aca="false">$B6*AL$2</f>
        <v>433.2</v>
      </c>
      <c r="AM6" s="18" t="n">
        <f aca="false">$B6*AM$2</f>
        <v>450</v>
      </c>
      <c r="AN6" s="18" t="n">
        <f aca="false">$B6*AN$2</f>
        <v>468</v>
      </c>
      <c r="AO6" s="18" t="n">
        <f aca="false">$B6*AO$2</f>
        <v>486</v>
      </c>
      <c r="AP6" s="18" t="n">
        <f aca="false">$B6*AP$2</f>
        <v>505.2</v>
      </c>
      <c r="AQ6" s="18" t="n">
        <f aca="false">$B6*AQ$2</f>
        <v>523.2</v>
      </c>
      <c r="AR6" s="18" t="n">
        <f aca="false">$B6*AR$2</f>
        <v>542.4</v>
      </c>
      <c r="AS6" s="18" t="n">
        <f aca="false">$B6*AS$2</f>
        <v>562.8</v>
      </c>
      <c r="AT6" s="18" t="n">
        <f aca="false">$B6*AT$2</f>
        <v>582</v>
      </c>
      <c r="AU6" s="18" t="n">
        <f aca="false">$B6*AU$2</f>
        <v>602.4</v>
      </c>
      <c r="AV6" s="18" t="n">
        <f aca="false">$B6*AV$2</f>
        <v>622.8</v>
      </c>
      <c r="AW6" s="18" t="n">
        <f aca="false">$B6*AW$2</f>
        <v>644.4</v>
      </c>
      <c r="AX6" s="18" t="n">
        <f aca="false">$B6*AX$2</f>
        <v>666</v>
      </c>
      <c r="AY6" s="18" t="n">
        <f aca="false">$B6*AY$2</f>
        <v>687.6</v>
      </c>
      <c r="AZ6" s="18" t="n">
        <f aca="false">$B6*AZ$2</f>
        <v>710.4</v>
      </c>
      <c r="BA6" s="18" t="n">
        <f aca="false">$B6*BA$2</f>
        <v>732</v>
      </c>
      <c r="BB6" s="18" t="n">
        <f aca="false">$B6*BB$2</f>
        <v>754.8</v>
      </c>
      <c r="BC6" s="18" t="n">
        <f aca="false">$B6*BC$2</f>
        <v>778.8</v>
      </c>
      <c r="BD6" s="18" t="n">
        <f aca="false">$B6*BD$2</f>
        <v>802.8</v>
      </c>
      <c r="BE6" s="18" t="n">
        <f aca="false">$B6*BE$2</f>
        <v>826.8</v>
      </c>
      <c r="BF6" s="18" t="n">
        <f aca="false">$B6*BF$2</f>
        <v>850.8</v>
      </c>
      <c r="BG6" s="18" t="n">
        <f aca="false">$B6*BG$2</f>
        <v>876</v>
      </c>
      <c r="BH6" s="18" t="n">
        <f aca="false">$B6*BH$2</f>
        <v>901.2</v>
      </c>
      <c r="BI6" s="18" t="n">
        <f aca="false">$B6*BI$2</f>
        <v>926.4</v>
      </c>
      <c r="BJ6" s="18" t="n">
        <f aca="false">$B6*BJ$2</f>
        <v>952.8</v>
      </c>
    </row>
    <row r="8" customFormat="false" ht="12.8" hidden="false" customHeight="false" outlineLevel="0" collapsed="false">
      <c r="B8" s="0" t="s">
        <v>575</v>
      </c>
      <c r="C8" s="0" t="s">
        <v>576</v>
      </c>
      <c r="D8" s="0" t="s">
        <v>577</v>
      </c>
      <c r="E8" s="0" t="s">
        <v>578</v>
      </c>
      <c r="F8" s="0" t="s">
        <v>579</v>
      </c>
    </row>
    <row r="9" customFormat="false" ht="12.8" hidden="false" customHeight="false" outlineLevel="0" collapsed="false">
      <c r="B9" s="0" t="n">
        <v>1470</v>
      </c>
      <c r="C9" s="2" t="n">
        <v>0.626</v>
      </c>
      <c r="D9" s="0" t="n">
        <v>45</v>
      </c>
      <c r="E9" s="0" t="n">
        <v>60</v>
      </c>
      <c r="F9" s="0" t="n">
        <v>794</v>
      </c>
    </row>
    <row r="11" customFormat="false" ht="12.8" hidden="false" customHeight="false" outlineLevel="0" collapsed="false">
      <c r="A11" s="0" t="s">
        <v>580</v>
      </c>
      <c r="C11" s="0" t="s">
        <v>581</v>
      </c>
      <c r="D11" s="0" t="s">
        <v>576</v>
      </c>
      <c r="E11" s="0" t="s">
        <v>582</v>
      </c>
      <c r="F11" s="0" t="s">
        <v>583</v>
      </c>
      <c r="G11" s="0" t="s">
        <v>584</v>
      </c>
      <c r="H11" s="0" t="s">
        <v>585</v>
      </c>
      <c r="I11" s="0" t="s">
        <v>586</v>
      </c>
      <c r="J11" s="0" t="s">
        <v>587</v>
      </c>
    </row>
    <row r="12" customFormat="false" ht="12.8" hidden="false" customHeight="false" outlineLevel="0" collapsed="false">
      <c r="A12" s="20" t="n">
        <f aca="false">C12*D12*E12*F12*G12*H12*I12*J12</f>
        <v>870.863742550656</v>
      </c>
      <c r="B12" s="21" t="s">
        <v>588</v>
      </c>
      <c r="C12" s="20" t="n">
        <f aca="false">C18</f>
        <v>1470</v>
      </c>
      <c r="D12" s="2" t="n">
        <f aca="false">C9</f>
        <v>0.626</v>
      </c>
      <c r="E12" s="2" t="n">
        <v>1</v>
      </c>
      <c r="F12" s="2" t="n">
        <v>1</v>
      </c>
      <c r="G12" s="2" t="n">
        <v>1</v>
      </c>
      <c r="H12" s="2" t="n">
        <v>1</v>
      </c>
      <c r="I12" s="8" t="n">
        <f aca="false">I15</f>
        <v>0.946364719904648</v>
      </c>
      <c r="J12" s="2" t="n">
        <v>1</v>
      </c>
    </row>
    <row r="13" customFormat="false" ht="12.8" hidden="false" customHeight="false" outlineLevel="0" collapsed="false">
      <c r="C13" s="22" t="s">
        <v>589</v>
      </c>
      <c r="I13" s="22" t="s">
        <v>589</v>
      </c>
    </row>
    <row r="14" customFormat="false" ht="12.8" hidden="false" customHeight="false" outlineLevel="0" collapsed="false">
      <c r="C14" s="22" t="s">
        <v>589</v>
      </c>
      <c r="I14" s="22" t="s">
        <v>589</v>
      </c>
      <c r="J14" s="0" t="s">
        <v>590</v>
      </c>
      <c r="K14" s="0" t="s">
        <v>591</v>
      </c>
    </row>
    <row r="15" customFormat="false" ht="12.8" hidden="false" customHeight="false" outlineLevel="0" collapsed="false">
      <c r="C15" s="22" t="s">
        <v>589</v>
      </c>
      <c r="I15" s="8" t="n">
        <f aca="false">J15/(J15+K15)</f>
        <v>0.946364719904648</v>
      </c>
      <c r="J15" s="0" t="n">
        <f aca="false">F9</f>
        <v>794</v>
      </c>
      <c r="K15" s="0" t="n">
        <f aca="false">IF(K18&lt;0,0,K18)</f>
        <v>45</v>
      </c>
    </row>
    <row r="16" customFormat="false" ht="12.8" hidden="false" customHeight="false" outlineLevel="0" collapsed="false">
      <c r="C16" s="22" t="s">
        <v>589</v>
      </c>
      <c r="K16" s="22" t="s">
        <v>589</v>
      </c>
    </row>
    <row r="17" customFormat="false" ht="12.8" hidden="false" customHeight="false" outlineLevel="0" collapsed="false">
      <c r="C17" s="22" t="s">
        <v>589</v>
      </c>
      <c r="D17" s="0" t="s">
        <v>575</v>
      </c>
      <c r="E17" s="0" t="s">
        <v>592</v>
      </c>
      <c r="F17" s="0" t="s">
        <v>593</v>
      </c>
      <c r="G17" s="0" t="s">
        <v>594</v>
      </c>
      <c r="H17" s="0" t="s">
        <v>595</v>
      </c>
      <c r="K17" s="22" t="s">
        <v>589</v>
      </c>
      <c r="L17" s="0" t="s">
        <v>596</v>
      </c>
      <c r="M17" s="0" t="s">
        <v>597</v>
      </c>
      <c r="N17" s="0" t="s">
        <v>598</v>
      </c>
      <c r="O17" s="0" t="s">
        <v>599</v>
      </c>
    </row>
    <row r="18" customFormat="false" ht="12.8" hidden="false" customHeight="false" outlineLevel="0" collapsed="false">
      <c r="C18" s="0" t="n">
        <f aca="false">(D18*(E18)+F18)*G18+H18</f>
        <v>1470</v>
      </c>
      <c r="D18" s="0" t="n">
        <f aca="false">B9</f>
        <v>1470</v>
      </c>
      <c r="E18" s="2" t="n">
        <v>1</v>
      </c>
      <c r="F18" s="0" t="n">
        <v>0</v>
      </c>
      <c r="G18" s="2" t="n">
        <v>1</v>
      </c>
      <c r="H18" s="0" t="n">
        <v>0</v>
      </c>
      <c r="K18" s="0" t="n">
        <f aca="false">(L18*(1-M18)*(1-N18))-O18</f>
        <v>45</v>
      </c>
      <c r="L18" s="0" t="n">
        <f aca="false">L21</f>
        <v>45</v>
      </c>
      <c r="M18" s="2" t="n">
        <v>0</v>
      </c>
      <c r="N18" s="2" t="n">
        <v>0</v>
      </c>
      <c r="O18" s="0" t="n">
        <v>0</v>
      </c>
    </row>
    <row r="20" customFormat="false" ht="12.8" hidden="false" customHeight="false" outlineLevel="0" collapsed="false">
      <c r="M20" s="0" t="s">
        <v>600</v>
      </c>
      <c r="N20" s="0" t="s">
        <v>601</v>
      </c>
      <c r="O20" s="0" t="s">
        <v>572</v>
      </c>
    </row>
    <row r="21" customFormat="false" ht="12.8" hidden="false" customHeight="false" outlineLevel="0" collapsed="false">
      <c r="L21" s="0" t="n">
        <f aca="false">M21+(M21*O21*(N21-1))</f>
        <v>45</v>
      </c>
      <c r="M21" s="0" t="n">
        <f aca="false">D9</f>
        <v>45</v>
      </c>
      <c r="N21" s="0" t="n">
        <v>1</v>
      </c>
      <c r="O21" s="3" t="n">
        <f aca="false">M26</f>
        <v>0.252203389830508</v>
      </c>
    </row>
    <row r="23" customFormat="false" ht="12.8" hidden="false" customHeight="false" outlineLevel="0" collapsed="false">
      <c r="A23" s="0" t="s">
        <v>602</v>
      </c>
      <c r="B23" s="0" t="s">
        <v>578</v>
      </c>
      <c r="C23" s="0" t="s">
        <v>603</v>
      </c>
      <c r="D23" s="0" t="s">
        <v>586</v>
      </c>
      <c r="E23" s="0" t="s">
        <v>591</v>
      </c>
    </row>
    <row r="24" customFormat="false" ht="12.8" hidden="false" customHeight="false" outlineLevel="0" collapsed="false">
      <c r="B24" s="0" t="n">
        <v>1</v>
      </c>
      <c r="C24" s="0" t="n">
        <v>870.86</v>
      </c>
      <c r="D24" s="0" t="n">
        <f aca="false">$C24/$C$12/$D$12/$E$12/$F$12/$G$12/$H$12/$J$12</f>
        <v>0.946360652887353</v>
      </c>
      <c r="E24" s="0" t="n">
        <f aca="false">($J$15/D24)-$J$15</f>
        <v>45.0036056312151</v>
      </c>
    </row>
    <row r="25" customFormat="false" ht="12.8" hidden="false" customHeight="false" outlineLevel="0" collapsed="false">
      <c r="A25" s="0" t="n">
        <v>45</v>
      </c>
      <c r="B25" s="0" t="n">
        <v>10</v>
      </c>
      <c r="C25" s="0" t="n">
        <v>832</v>
      </c>
      <c r="D25" s="0" t="n">
        <f aca="false">$C25/$C$12/$D$12/$E$12/$F$12/$G$12/$H$12/$J$12</f>
        <v>0.904131620699398</v>
      </c>
      <c r="E25" s="0" t="n">
        <f aca="false">($J$15/D25)-$J$15</f>
        <v>84.1907211538461</v>
      </c>
      <c r="F25" s="0" t="n">
        <f aca="false">E25-$A$25</f>
        <v>39.1907211538461</v>
      </c>
      <c r="G25" s="0" t="n">
        <f aca="false">F25/9</f>
        <v>4.35452457264957</v>
      </c>
      <c r="H25" s="0" t="n">
        <f aca="false">G25/A25</f>
        <v>0.0967672127255459</v>
      </c>
    </row>
    <row r="26" customFormat="false" ht="12.8" hidden="false" customHeight="false" outlineLevel="0" collapsed="false">
      <c r="B26" s="0" t="n">
        <v>20</v>
      </c>
      <c r="C26" s="0" t="n">
        <v>771</v>
      </c>
      <c r="D26" s="0" t="n">
        <f aca="false">$C26/$C$12/$D$12/$E$12/$F$12/$G$12/$H$12/$J$12</f>
        <v>0.837843124470235</v>
      </c>
      <c r="E26" s="0" t="n">
        <f aca="false">($J$15/D26)-$J$15</f>
        <v>153.671439688716</v>
      </c>
      <c r="F26" s="0" t="n">
        <f aca="false">E26-$A$25</f>
        <v>108.671439688716</v>
      </c>
      <c r="G26" s="0" t="n">
        <f aca="false">F26/10</f>
        <v>10.8671439688716</v>
      </c>
      <c r="M26" s="0" t="n">
        <f aca="false">(952.8-60)/59/60</f>
        <v>0.252203389830508</v>
      </c>
    </row>
    <row r="27" customFormat="false" ht="12.8" hidden="false" customHeight="false" outlineLevel="0" collapsed="false">
      <c r="B27" s="0" t="n">
        <v>30</v>
      </c>
      <c r="C27" s="0" t="n">
        <v>698</v>
      </c>
      <c r="D27" s="0" t="n">
        <f aca="false">$C27/$C$12/$D$12/$E$12/$F$12/$G$12/$H$12/$J$12</f>
        <v>0.758514268327139</v>
      </c>
      <c r="E27" s="0" t="n">
        <f aca="false">($J$15/D27)-$J$15</f>
        <v>252.783209169054</v>
      </c>
      <c r="F27" s="0" t="n">
        <f aca="false">E27-$A$25</f>
        <v>207.783209169054</v>
      </c>
      <c r="G27" s="0" t="n">
        <f aca="false">F27/10</f>
        <v>20.7783209169054</v>
      </c>
    </row>
    <row r="28" customFormat="false" ht="12.8" hidden="false" customHeight="false" outlineLevel="0" collapsed="false">
      <c r="B28" s="0" t="n">
        <v>40</v>
      </c>
      <c r="C28" s="0" t="n">
        <v>623</v>
      </c>
      <c r="D28" s="0" t="n">
        <f aca="false">$C28/$C$12/$D$12/$E$12/$F$12/$G$12/$H$12/$J$12</f>
        <v>0.677012018865054</v>
      </c>
      <c r="E28" s="0" t="n">
        <f aca="false">($J$15/D28)-$J$15</f>
        <v>378.800449438202</v>
      </c>
      <c r="F28" s="0" t="n">
        <f aca="false">E28-$A$25</f>
        <v>333.800449438202</v>
      </c>
      <c r="G28" s="0" t="n">
        <f aca="false">F28/10</f>
        <v>33.3800449438202</v>
      </c>
    </row>
    <row r="29" customFormat="false" ht="12.8" hidden="false" customHeight="false" outlineLevel="0" collapsed="false">
      <c r="B29" s="0" t="n">
        <v>50</v>
      </c>
      <c r="C29" s="0" t="n">
        <v>551</v>
      </c>
      <c r="D29" s="0" t="n">
        <f aca="false">$C29/$C$12/$D$12/$E$12/$F$12/$G$12/$H$12/$J$12</f>
        <v>0.598769859381452</v>
      </c>
      <c r="E29" s="0" t="n">
        <f aca="false">($J$15/D29)-$J$15</f>
        <v>532.052050816697</v>
      </c>
      <c r="F29" s="0" t="n">
        <f aca="false">E29-$A$25</f>
        <v>487.052050816697</v>
      </c>
      <c r="G29" s="0" t="n">
        <f aca="false">F29/10</f>
        <v>48.7052050816697</v>
      </c>
    </row>
    <row r="30" customFormat="false" ht="12.8" hidden="false" customHeight="false" outlineLevel="0" collapsed="false">
      <c r="B30" s="0" t="n">
        <v>60</v>
      </c>
      <c r="C30" s="0" t="n">
        <v>485</v>
      </c>
      <c r="D30" s="0" t="n">
        <f aca="false">$C30/$C$12/$D$12/$E$12/$F$12/$G$12/$H$12/$J$12</f>
        <v>0.527047879854817</v>
      </c>
      <c r="E30" s="0" t="n">
        <f aca="false">($J$15/D30)-$J$15</f>
        <v>712.504494845361</v>
      </c>
      <c r="F30" s="0" t="n">
        <f aca="false">E30-$A$25</f>
        <v>667.504494845361</v>
      </c>
      <c r="G30" s="0" t="n">
        <f aca="false">F30/10</f>
        <v>66.7504494845361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15705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2025-02-09T18:36:48Z</dcterms:created>
  <dc:creator/>
  <dc:description/>
  <dc:language>ja-JP</dc:language>
  <cp:lastModifiedBy/>
  <dcterms:modified xsi:type="dcterms:W3CDTF">2025-03-17T01:07:19Z</dcterms:modified>
  <cp:revision>52</cp:revision>
  <dc:subject/>
  <dc:title/>
</cp:coreProperties>
</file>