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_rels/sheet10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1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test" sheetId="1" state="visible" r:id="rId3"/>
    <sheet name="agents" sheetId="2" state="visible" r:id="rId4"/>
    <sheet name="agents_Lv60" sheetId="3" state="visible" r:id="rId5"/>
    <sheet name="agent calcration" sheetId="4" state="visible" r:id="rId6"/>
    <sheet name="skills" sheetId="5" state="visible" r:id="rId7"/>
    <sheet name="w-Engines" sheetId="6" state="visible" r:id="rId8"/>
    <sheet name="disc-driver" sheetId="7" state="visible" r:id="rId9"/>
    <sheet name="effects" sheetId="8" state="visible" r:id="rId10"/>
    <sheet name="define" sheetId="9" state="visible" r:id="rId11"/>
    <sheet name="Sheet9" sheetId="10" state="visible" r:id="rId1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<sst xmlns="http://schemas.openxmlformats.org/spreadsheetml/2006/main" count="3070" uniqueCount="964">
  <si>
    <t xml:space="preserve">ATK</t>
  </si>
  <si>
    <t xml:space="preserve">Character</t>
  </si>
  <si>
    <t xml:space="preserve">W-Engine</t>
  </si>
  <si>
    <t xml:space="preserve">disc1</t>
  </si>
  <si>
    <t xml:space="preserve">disc2</t>
  </si>
  <si>
    <t xml:space="preserve">disc3</t>
  </si>
  <si>
    <t xml:space="preserve">disc4</t>
  </si>
  <si>
    <t xml:space="preserve">disc5</t>
  </si>
  <si>
    <t xml:space="preserve">disc6</t>
  </si>
  <si>
    <t xml:space="preserve">discTtl</t>
  </si>
  <si>
    <t xml:space="preserve">@1lv</t>
  </si>
  <si>
    <t xml:space="preserve">@1</t>
  </si>
  <si>
    <t xml:space="preserve">base</t>
  </si>
  <si>
    <t xml:space="preserve">inc</t>
  </si>
  <si>
    <t xml:space="preserve">implove</t>
  </si>
  <si>
    <t xml:space="preserve">step</t>
  </si>
  <si>
    <t xml:space="preserve">max</t>
  </si>
  <si>
    <t xml:space="preserve">Level</t>
  </si>
  <si>
    <t xml:space="preserve">raw</t>
  </si>
  <si>
    <t xml:space="preserve">rounddown</t>
  </si>
  <si>
    <t xml:space="preserve">inGame</t>
  </si>
  <si>
    <t xml:space="preserve">CRIT Rate</t>
  </si>
  <si>
    <t xml:space="preserve">CRIT Dmg</t>
  </si>
  <si>
    <t xml:space="preserve">ID</t>
  </si>
  <si>
    <t xml:space="preserve">Class</t>
  </si>
  <si>
    <t xml:space="preserve">Rank</t>
  </si>
  <si>
    <t xml:space="preserve">Attribute</t>
  </si>
  <si>
    <t xml:space="preserve">Name</t>
  </si>
  <si>
    <t xml:space="preserve">Stat</t>
  </si>
  <si>
    <t xml:space="preserve">Core Skill</t>
  </si>
  <si>
    <t xml:space="preserve">Primary</t>
  </si>
  <si>
    <t xml:space="preserve">Secondary</t>
  </si>
  <si>
    <t xml:space="preserve">EN</t>
  </si>
  <si>
    <t xml:space="preserve">JP</t>
  </si>
  <si>
    <t xml:space="preserve">HP</t>
  </si>
  <si>
    <t xml:space="preserve">DEF</t>
  </si>
  <si>
    <t xml:space="preserve">Impact</t>
  </si>
  <si>
    <t xml:space="preserve">CRIT</t>
  </si>
  <si>
    <t xml:space="preserve">Anomaly</t>
  </si>
  <si>
    <t xml:space="preserve">Penetrate</t>
  </si>
  <si>
    <t xml:space="preserve">EN Regen</t>
  </si>
  <si>
    <t xml:space="preserve">Odd</t>
  </si>
  <si>
    <t xml:space="preserve">Even</t>
  </si>
  <si>
    <t xml:space="preserve">Rate</t>
  </si>
  <si>
    <t xml:space="preserve">Dmg</t>
  </si>
  <si>
    <t xml:space="preserve">Buildup</t>
  </si>
  <si>
    <t xml:space="preserve">Proficiency</t>
  </si>
  <si>
    <t xml:space="preserve">Stun</t>
  </si>
  <si>
    <t xml:space="preserve">A</t>
  </si>
  <si>
    <t xml:space="preserve">Electric</t>
  </si>
  <si>
    <t xml:space="preserve">アンビー・デマラ</t>
  </si>
  <si>
    <t xml:space="preserve">Attack</t>
  </si>
  <si>
    <t xml:space="preserve">Physical</t>
  </si>
  <si>
    <t xml:space="preserve">ビリー・キッド</t>
  </si>
  <si>
    <t xml:space="preserve">Support</t>
  </si>
  <si>
    <t xml:space="preserve">Ether</t>
  </si>
  <si>
    <t xml:space="preserve">ニコ・デマラ</t>
  </si>
  <si>
    <t xml:space="preserve">S</t>
  </si>
  <si>
    <t xml:space="preserve">猫宮又奈</t>
  </si>
  <si>
    <t xml:space="preserve">Fire</t>
  </si>
  <si>
    <r>
      <rPr>
        <sz val="10"/>
        <rFont val="ＭＳ Ｐゴシック"/>
        <family val="2"/>
        <charset val="128"/>
      </rPr>
      <t xml:space="preserve">「</t>
    </r>
    <r>
      <rPr>
        <sz val="10"/>
        <rFont val="Arial"/>
        <family val="2"/>
        <charset val="128"/>
      </rPr>
      <t xml:space="preserve">11</t>
    </r>
    <r>
      <rPr>
        <sz val="10"/>
        <rFont val="ＭＳ Ｐゴシック"/>
        <family val="2"/>
        <charset val="128"/>
      </rPr>
      <t xml:space="preserve">号」</t>
    </r>
  </si>
  <si>
    <t xml:space="preserve">カリン・ウィクス</t>
  </si>
  <si>
    <t xml:space="preserve">アンドー・イワノフ</t>
  </si>
  <si>
    <t xml:space="preserve">Defense</t>
  </si>
  <si>
    <t xml:space="preserve">ベン・ビガー</t>
  </si>
  <si>
    <t xml:space="preserve">クレタ・ベロボーグ</t>
  </si>
  <si>
    <t xml:space="preserve">グレース・ハワード</t>
  </si>
  <si>
    <t xml:space="preserve">Ice</t>
  </si>
  <si>
    <t xml:space="preserve">フォン・ライカン</t>
  </si>
  <si>
    <t xml:space="preserve">エレン・ジョー</t>
  </si>
  <si>
    <t xml:space="preserve">アレクサンドリナ・セバスチャン</t>
  </si>
  <si>
    <t xml:space="preserve">pen-r</t>
  </si>
  <si>
    <t xml:space="preserve">atk</t>
  </si>
  <si>
    <t xml:space="preserve">朱鳶</t>
  </si>
  <si>
    <t xml:space="preserve">蒼角</t>
  </si>
  <si>
    <t xml:space="preserve">ルシアーナ・デ・モンテフィーノ</t>
  </si>
  <si>
    <t xml:space="preserve">パイパー・ウィール</t>
  </si>
  <si>
    <t xml:space="preserve">青衣</t>
  </si>
  <si>
    <t xml:space="preserve">ジェーン・ドゥ</t>
  </si>
  <si>
    <t xml:space="preserve">セス・ローウェル</t>
  </si>
  <si>
    <t xml:space="preserve">キング・シーザー</t>
  </si>
  <si>
    <t xml:space="preserve">バーニス・ホワイト</t>
  </si>
  <si>
    <t xml:space="preserve">月城柳</t>
  </si>
  <si>
    <t xml:space="preserve">ライト</t>
  </si>
  <si>
    <t xml:space="preserve">Frost</t>
  </si>
  <si>
    <t xml:space="preserve">星見雅</t>
  </si>
  <si>
    <t xml:space="preserve">浅羽悠真</t>
  </si>
  <si>
    <t xml:space="preserve">アストラ・ヤオ</t>
  </si>
  <si>
    <t xml:space="preserve">イヴリン・シュヴァリエ</t>
  </si>
  <si>
    <t xml:space="preserve">Role</t>
  </si>
  <si>
    <t xml:space="preserve">Rarity</t>
  </si>
  <si>
    <t xml:space="preserve">Element</t>
  </si>
  <si>
    <t xml:space="preserve">Faction</t>
  </si>
  <si>
    <t xml:space="preserve">Short-name</t>
  </si>
  <si>
    <t xml:space="preserve">hp</t>
  </si>
  <si>
    <t xml:space="preserve">def</t>
  </si>
  <si>
    <t xml:space="preserve">imp</t>
  </si>
  <si>
    <t xml:space="preserve">cHit</t>
  </si>
  <si>
    <t xml:space="preserve">cDmg</t>
  </si>
  <si>
    <t xml:space="preserve">aBld</t>
  </si>
  <si>
    <t xml:space="preserve">aPrf</t>
  </si>
  <si>
    <t xml:space="preserve">pen</t>
  </si>
  <si>
    <t xml:space="preserve">eReg</t>
  </si>
  <si>
    <t xml:space="preserve">val</t>
  </si>
  <si>
    <t xml:space="preserve">Anby Demara</t>
  </si>
  <si>
    <t xml:space="preserve">Anby</t>
  </si>
  <si>
    <t xml:space="preserve">アンビー</t>
  </si>
  <si>
    <t xml:space="preserve">Billy Kid</t>
  </si>
  <si>
    <t xml:space="preserve">Billy</t>
  </si>
  <si>
    <t xml:space="preserve">ビリー</t>
  </si>
  <si>
    <t xml:space="preserve">Nicole Demara</t>
  </si>
  <si>
    <t xml:space="preserve">Nico</t>
  </si>
  <si>
    <t xml:space="preserve">ニコ</t>
  </si>
  <si>
    <t xml:space="preserve">Nekomiya Mana</t>
  </si>
  <si>
    <t xml:space="preserve">Nekomata</t>
  </si>
  <si>
    <t xml:space="preserve">猫又</t>
  </si>
  <si>
    <t xml:space="preserve">Soldier 11</t>
  </si>
  <si>
    <t xml:space="preserve">S11</t>
  </si>
  <si>
    <t xml:space="preserve">11号</t>
  </si>
  <si>
    <t xml:space="preserve">Corin Wickes</t>
  </si>
  <si>
    <t xml:space="preserve">Corin</t>
  </si>
  <si>
    <t xml:space="preserve">カリン</t>
  </si>
  <si>
    <t xml:space="preserve">Anton Ivanov</t>
  </si>
  <si>
    <t xml:space="preserve">Anton</t>
  </si>
  <si>
    <t xml:space="preserve">アンドー</t>
  </si>
  <si>
    <t xml:space="preserve">Ben Bigger</t>
  </si>
  <si>
    <t xml:space="preserve">Ben</t>
  </si>
  <si>
    <t xml:space="preserve">ベンさん</t>
  </si>
  <si>
    <t xml:space="preserve">Koleda Belobog</t>
  </si>
  <si>
    <t xml:space="preserve">Koleda</t>
  </si>
  <si>
    <t xml:space="preserve">クレタ</t>
  </si>
  <si>
    <t xml:space="preserve">Grace Howard</t>
  </si>
  <si>
    <t xml:space="preserve">Grace</t>
  </si>
  <si>
    <t xml:space="preserve">グレース</t>
  </si>
  <si>
    <t xml:space="preserve">Von Lycaon</t>
  </si>
  <si>
    <t xml:space="preserve">Lycaon</t>
  </si>
  <si>
    <t xml:space="preserve">ライカン</t>
  </si>
  <si>
    <t xml:space="preserve">Ellen Joe</t>
  </si>
  <si>
    <t xml:space="preserve">Ellen</t>
  </si>
  <si>
    <t xml:space="preserve">エレン</t>
  </si>
  <si>
    <t xml:space="preserve">Alexandrina Sebastian</t>
  </si>
  <si>
    <t xml:space="preserve">Rina</t>
  </si>
  <si>
    <t xml:space="preserve">リナ</t>
  </si>
  <si>
    <t xml:space="preserve">Zhu Yuan</t>
  </si>
  <si>
    <t xml:space="preserve">Sokaku</t>
  </si>
  <si>
    <t xml:space="preserve">Luciana de Montefio</t>
  </si>
  <si>
    <t xml:space="preserve">Lucy</t>
  </si>
  <si>
    <t xml:space="preserve">ルーシー</t>
  </si>
  <si>
    <t xml:space="preserve">Piper Wheel</t>
  </si>
  <si>
    <t xml:space="preserve">Piper</t>
  </si>
  <si>
    <t xml:space="preserve">パイパー</t>
  </si>
  <si>
    <t xml:space="preserve">Qingyi</t>
  </si>
  <si>
    <t xml:space="preserve">Jane Doe</t>
  </si>
  <si>
    <t xml:space="preserve">Jane</t>
  </si>
  <si>
    <t xml:space="preserve">ジェーン</t>
  </si>
  <si>
    <t xml:space="preserve">Seth Lowell</t>
  </si>
  <si>
    <t xml:space="preserve">Seth</t>
  </si>
  <si>
    <t xml:space="preserve">セス</t>
  </si>
  <si>
    <t xml:space="preserve">Caesar King</t>
  </si>
  <si>
    <t xml:space="preserve">Caesar</t>
  </si>
  <si>
    <t xml:space="preserve">シーザー</t>
  </si>
  <si>
    <t xml:space="preserve">Burnice White</t>
  </si>
  <si>
    <t xml:space="preserve">Burnice</t>
  </si>
  <si>
    <t xml:space="preserve">バーニス</t>
  </si>
  <si>
    <t xml:space="preserve">Tsukishiro Yanagi</t>
  </si>
  <si>
    <t xml:space="preserve">Yanagi</t>
  </si>
  <si>
    <t xml:space="preserve">柳</t>
  </si>
  <si>
    <t xml:space="preserve">Lighter</t>
  </si>
  <si>
    <t xml:space="preserve">Hoshimi Miyabi</t>
  </si>
  <si>
    <t xml:space="preserve">Miyabi</t>
  </si>
  <si>
    <t xml:space="preserve">雅</t>
  </si>
  <si>
    <t xml:space="preserve">Asaba Harumasa</t>
  </si>
  <si>
    <t xml:space="preserve">Harumasa</t>
  </si>
  <si>
    <t xml:space="preserve">悠真</t>
  </si>
  <si>
    <t xml:space="preserve">Astra Yao</t>
  </si>
  <si>
    <t xml:space="preserve">Astra</t>
  </si>
  <si>
    <t xml:space="preserve">アストラ</t>
  </si>
  <si>
    <t xml:space="preserve">Evelyn Chevalier</t>
  </si>
  <si>
    <t xml:space="preserve">Evelyn</t>
  </si>
  <si>
    <t xml:space="preserve">イヴリン</t>
  </si>
  <si>
    <t xml:space="preserve">Soldier 0 – Anby</t>
  </si>
  <si>
    <r>
      <rPr>
        <sz val="10"/>
        <rFont val="Arial"/>
        <family val="2"/>
        <charset val="128"/>
      </rPr>
      <t xml:space="preserve">0</t>
    </r>
    <r>
      <rPr>
        <sz val="10"/>
        <rFont val="ＭＳ Ｐゴシック"/>
        <family val="2"/>
        <charset val="128"/>
      </rPr>
      <t xml:space="preserve">号・アンビー</t>
    </r>
  </si>
  <si>
    <t xml:space="preserve">0 Anby</t>
  </si>
  <si>
    <t xml:space="preserve">Sアンビー</t>
  </si>
  <si>
    <t xml:space="preserve">Pulchra Fellini</t>
  </si>
  <si>
    <t xml:space="preserve">プルクラ・フェリーニ</t>
  </si>
  <si>
    <t xml:space="preserve">Pulchra</t>
  </si>
  <si>
    <t xml:space="preserve">プルクラ</t>
  </si>
  <si>
    <t xml:space="preserve">Trigger</t>
  </si>
  <si>
    <t xml:space="preserve">「トリガー」</t>
  </si>
  <si>
    <t xml:space="preserve">トリガー</t>
  </si>
  <si>
    <t xml:space="preserve">Vivian Banshee</t>
  </si>
  <si>
    <t xml:space="preserve">ビビアン・バンシー</t>
  </si>
  <si>
    <t xml:space="preserve">Vivian</t>
  </si>
  <si>
    <t xml:space="preserve">ビビアン</t>
  </si>
  <si>
    <t xml:space="preserve">Hugo Vlad</t>
  </si>
  <si>
    <t xml:space="preserve">ヒューゴ・ヴラド</t>
  </si>
  <si>
    <t xml:space="preserve">Hugo</t>
  </si>
  <si>
    <t xml:space="preserve">ヒューゴ</t>
  </si>
  <si>
    <t xml:space="preserve">Ju Fufu</t>
  </si>
  <si>
    <t xml:space="preserve">橘福福</t>
  </si>
  <si>
    <t xml:space="preserve">Fufu</t>
  </si>
  <si>
    <t xml:space="preserve">フーフー</t>
  </si>
  <si>
    <t xml:space="preserve">Pan Yinhu</t>
  </si>
  <si>
    <t xml:space="preserve">潘引壺</t>
  </si>
  <si>
    <t xml:space="preserve">Pan</t>
  </si>
  <si>
    <t xml:space="preserve">パン</t>
  </si>
  <si>
    <t xml:space="preserve">Yixuan</t>
  </si>
  <si>
    <t xml:space="preserve">儀玄</t>
  </si>
  <si>
    <t xml:space="preserve">Ukinami Yuzuha</t>
  </si>
  <si>
    <t xml:space="preserve">浮波柚葉</t>
  </si>
  <si>
    <t xml:space="preserve">Yuzuha</t>
  </si>
  <si>
    <t xml:space="preserve">柚葉</t>
  </si>
  <si>
    <t xml:space="preserve">Alice Thymefield</t>
  </si>
  <si>
    <t xml:space="preserve">アリス・タイムフィールド</t>
  </si>
  <si>
    <t xml:space="preserve">Alice</t>
  </si>
  <si>
    <t xml:space="preserve">アリス</t>
  </si>
  <si>
    <t xml:space="preserve">Lv</t>
  </si>
  <si>
    <t xml:space="preserve">HP Inc</t>
  </si>
  <si>
    <t xml:space="preserve">ATK Inc</t>
  </si>
  <si>
    <t xml:space="preserve">DEF Inc</t>
  </si>
  <si>
    <t xml:space="preserve">Anm Buildup</t>
  </si>
  <si>
    <t xml:space="preserve">Anm Proficiency</t>
  </si>
  <si>
    <t xml:space="preserve">Type</t>
  </si>
  <si>
    <t xml:space="preserve">Lv1</t>
  </si>
  <si>
    <t xml:space="preserve">Lv2</t>
  </si>
  <si>
    <t xml:space="preserve">Lv3</t>
  </si>
  <si>
    <t xml:space="preserve">Lv4</t>
  </si>
  <si>
    <t xml:space="preserve">Lv5</t>
  </si>
  <si>
    <t xml:space="preserve">Lv6</t>
  </si>
  <si>
    <t xml:space="preserve">id</t>
  </si>
  <si>
    <t xml:space="preserve">CharID</t>
  </si>
  <si>
    <t xml:space="preserve">Group</t>
  </si>
  <si>
    <t xml:space="preserve">En</t>
  </si>
  <si>
    <t xml:space="preserve">Jp</t>
  </si>
  <si>
    <t xml:space="preserve">Combination</t>
  </si>
  <si>
    <t xml:space="preserve">Base</t>
  </si>
  <si>
    <t xml:space="preserve">Number</t>
  </si>
  <si>
    <t xml:space="preserve">Growth</t>
  </si>
  <si>
    <t xml:space="preserve">basic</t>
  </si>
  <si>
    <t xml:space="preserve">normal</t>
  </si>
  <si>
    <t xml:space="preserve">ボルトターボ</t>
  </si>
  <si>
    <t xml:space="preserve">slash</t>
  </si>
  <si>
    <t xml:space="preserve">derived</t>
  </si>
  <si>
    <r>
      <rPr>
        <sz val="10"/>
        <rFont val="ＭＳ Ｐゴシック"/>
        <family val="2"/>
        <charset val="128"/>
      </rPr>
      <t xml:space="preserve">落雷</t>
    </r>
    <r>
      <rPr>
        <sz val="10"/>
        <rFont val="Arial"/>
        <family val="2"/>
        <charset val="128"/>
      </rPr>
      <t xml:space="preserve">(</t>
    </r>
    <r>
      <rPr>
        <sz val="10"/>
        <rFont val="ＭＳ Ｐゴシック"/>
        <family val="2"/>
        <charset val="128"/>
      </rPr>
      <t xml:space="preserve">ボルトターボ</t>
    </r>
    <r>
      <rPr>
        <sz val="10"/>
        <rFont val="Arial"/>
        <family val="2"/>
        <charset val="128"/>
      </rPr>
      <t xml:space="preserve">3</t>
    </r>
    <r>
      <rPr>
        <sz val="10"/>
        <rFont val="ＭＳ Ｐゴシック"/>
        <family val="2"/>
        <charset val="128"/>
      </rPr>
      <t xml:space="preserve">段目から派生</t>
    </r>
    <r>
      <rPr>
        <sz val="10"/>
        <rFont val="Arial"/>
        <family val="2"/>
        <charset val="128"/>
      </rPr>
      <t xml:space="preserve">)</t>
    </r>
  </si>
  <si>
    <t xml:space="preserve">strike</t>
  </si>
  <si>
    <t xml:space="preserve">dodge</t>
  </si>
  <si>
    <t xml:space="preserve">dash</t>
  </si>
  <si>
    <t xml:space="preserve">電弧斬り</t>
  </si>
  <si>
    <t xml:space="preserve">counter</t>
  </si>
  <si>
    <t xml:space="preserve">迅雷</t>
  </si>
  <si>
    <t xml:space="preserve">assist</t>
  </si>
  <si>
    <t xml:space="preserve">quick</t>
  </si>
  <si>
    <t xml:space="preserve">雷呼</t>
  </si>
  <si>
    <t xml:space="preserve">follow</t>
  </si>
  <si>
    <t xml:space="preserve">スピニングサンダー</t>
  </si>
  <si>
    <t xml:space="preserve">special</t>
  </si>
  <si>
    <t xml:space="preserve">雷光斬り</t>
  </si>
  <si>
    <t xml:space="preserve">enhance</t>
  </si>
  <si>
    <t xml:space="preserve">蒼雷斬り</t>
  </si>
  <si>
    <t xml:space="preserve">chain</t>
  </si>
  <si>
    <t xml:space="preserve">ソレノイドエンジン</t>
  </si>
  <si>
    <t xml:space="preserve">ultimate</t>
  </si>
  <si>
    <t xml:space="preserve">オーバードライブエンジン</t>
  </si>
  <si>
    <t xml:space="preserve">出力全開</t>
  </si>
  <si>
    <t xml:space="preserve">pierce</t>
  </si>
  <si>
    <r>
      <rPr>
        <sz val="10"/>
        <rFont val="ＭＳ Ｐゴシック"/>
        <family val="2"/>
        <charset val="128"/>
      </rPr>
      <t xml:space="preserve">出力全開</t>
    </r>
    <r>
      <rPr>
        <sz val="10"/>
        <rFont val="Arial"/>
        <family val="2"/>
        <charset val="128"/>
      </rPr>
      <t xml:space="preserve">(</t>
    </r>
    <r>
      <rPr>
        <sz val="10"/>
        <rFont val="ＭＳ Ｐゴシック"/>
        <family val="2"/>
        <charset val="128"/>
      </rPr>
      <t xml:space="preserve">しゃがみ撃ち</t>
    </r>
    <r>
      <rPr>
        <sz val="10"/>
        <rFont val="Arial"/>
        <family val="2"/>
        <charset val="128"/>
      </rPr>
      <t xml:space="preserve">)</t>
    </r>
  </si>
  <si>
    <t xml:space="preserve">スターライトジャッジメント</t>
  </si>
  <si>
    <t xml:space="preserve">フェアな決闘</t>
  </si>
  <si>
    <t xml:space="preserve">スターライト・絆の力</t>
  </si>
  <si>
    <t xml:space="preserve">急所エイム</t>
  </si>
  <si>
    <t xml:space="preserve">大人しくしてろ！</t>
  </si>
  <si>
    <t xml:space="preserve">スイーパー・タイム</t>
  </si>
  <si>
    <t xml:space="preserve">スターライトグローリー</t>
  </si>
  <si>
    <t xml:space="preserve">スターライト・ここに輝く！</t>
  </si>
  <si>
    <t xml:space="preserve">邪兎の連打</t>
  </si>
  <si>
    <t xml:space="preserve">邪兎の連打（弾）</t>
  </si>
  <si>
    <r>
      <rPr>
        <sz val="10"/>
        <rFont val="ＭＳ Ｐゴシック"/>
        <family val="2"/>
        <charset val="128"/>
      </rPr>
      <t xml:space="preserve">思うがままに</t>
    </r>
    <r>
      <rPr>
        <sz val="10"/>
        <rFont val="Arial"/>
        <family val="2"/>
        <charset val="128"/>
      </rPr>
      <t xml:space="preserve">(</t>
    </r>
    <r>
      <rPr>
        <sz val="10"/>
        <rFont val="ＭＳ Ｐゴシック"/>
        <family val="2"/>
        <charset val="128"/>
      </rPr>
      <t xml:space="preserve">弾</t>
    </r>
    <r>
      <rPr>
        <sz val="10"/>
        <rFont val="Arial"/>
        <family val="2"/>
        <charset val="128"/>
      </rPr>
      <t xml:space="preserve">)</t>
    </r>
  </si>
  <si>
    <t xml:space="preserve">開けてびっくり（前方）</t>
  </si>
  <si>
    <r>
      <rPr>
        <sz val="10"/>
        <rFont val="ＭＳ Ｐゴシック"/>
        <family val="2"/>
        <charset val="128"/>
      </rPr>
      <t xml:space="preserve">開けてびっくり（前方</t>
    </r>
    <r>
      <rPr>
        <sz val="10"/>
        <rFont val="Arial"/>
        <family val="2"/>
        <charset val="128"/>
      </rPr>
      <t xml:space="preserve">/</t>
    </r>
    <r>
      <rPr>
        <sz val="10"/>
        <rFont val="ＭＳ Ｐゴシック"/>
        <family val="2"/>
        <charset val="128"/>
      </rPr>
      <t xml:space="preserve">弾）</t>
    </r>
  </si>
  <si>
    <t xml:space="preserve">開けてびっくり（後方）</t>
  </si>
  <si>
    <t xml:space="preserve">牽制砲撃</t>
  </si>
  <si>
    <t xml:space="preserve">救急砲撃</t>
  </si>
  <si>
    <t xml:space="preserve">邪兎の出番！</t>
  </si>
  <si>
    <t xml:space="preserve">シュガーボム</t>
  </si>
  <si>
    <t xml:space="preserve">シュガーボムサンド</t>
  </si>
  <si>
    <t xml:space="preserve">高級エーテルボム</t>
  </si>
  <si>
    <t xml:space="preserve">特製エーテルグレネード</t>
  </si>
  <si>
    <t xml:space="preserve">風花</t>
  </si>
  <si>
    <t xml:space="preserve">charge</t>
  </si>
  <si>
    <t xml:space="preserve">霜月</t>
  </si>
  <si>
    <t xml:space="preserve">冬蜂</t>
  </si>
  <si>
    <t xml:space="preserve">寒雀</t>
  </si>
  <si>
    <t xml:space="preserve">花信風</t>
  </si>
  <si>
    <t xml:space="preserve">返り花</t>
  </si>
  <si>
    <t xml:space="preserve">深雪</t>
  </si>
  <si>
    <t xml:space="preserve">飛雪</t>
  </si>
  <si>
    <t xml:space="preserve">春来たる</t>
  </si>
  <si>
    <t xml:space="preserve">なごり雪</t>
  </si>
  <si>
    <t xml:space="preserve">猫の引っ掻き</t>
  </si>
  <si>
    <t xml:space="preserve">赤き刃</t>
  </si>
  <si>
    <t xml:space="preserve">どこを見てるの？</t>
  </si>
  <si>
    <t xml:space="preserve">ファントムクロー</t>
  </si>
  <si>
    <t xml:space="preserve">猫の手貸すぞ☆</t>
  </si>
  <si>
    <t xml:space="preserve">迅影</t>
  </si>
  <si>
    <t xml:space="preserve">奇襲</t>
  </si>
  <si>
    <t xml:space="preserve">めちゃコワ奇襲！</t>
  </si>
  <si>
    <t xml:space="preserve">クロースワイプ</t>
  </si>
  <si>
    <t xml:space="preserve">クロースマッシュ</t>
  </si>
  <si>
    <t xml:space="preserve">抜刀散火</t>
  </si>
  <si>
    <t xml:space="preserve">火力鎮圧</t>
  </si>
  <si>
    <t xml:space="preserve">熾火</t>
  </si>
  <si>
    <t xml:space="preserve">逆火</t>
  </si>
  <si>
    <t xml:space="preserve">火力支援</t>
  </si>
  <si>
    <t xml:space="preserve">再燃</t>
  </si>
  <si>
    <t xml:space="preserve">烈火</t>
  </si>
  <si>
    <t xml:space="preserve">燃え盛る烈火</t>
  </si>
  <si>
    <t xml:space="preserve">滾る烈火</t>
  </si>
  <si>
    <t xml:space="preserve">轟く烈火</t>
  </si>
  <si>
    <t xml:space="preserve">お掃除開始</t>
  </si>
  <si>
    <t xml:space="preserve">『断』</t>
  </si>
  <si>
    <t xml:space="preserve">『捨』</t>
  </si>
  <si>
    <t xml:space="preserve">応急処置</t>
  </si>
  <si>
    <t xml:space="preserve">テキパキお掃除</t>
  </si>
  <si>
    <t xml:space="preserve">強力清掃</t>
  </si>
  <si>
    <t xml:space="preserve">スカートの裾に注意</t>
  </si>
  <si>
    <t xml:space="preserve">ごめんなさい…</t>
  </si>
  <si>
    <t xml:space="preserve">も、申し訳ございません！</t>
  </si>
  <si>
    <t xml:space="preserve">熱血準備体操</t>
  </si>
  <si>
    <t xml:space="preserve">熱血準備体操（爆発状態）</t>
  </si>
  <si>
    <t xml:space="preserve">正面衝突</t>
  </si>
  <si>
    <t xml:space="preserve">拳骨応酬</t>
  </si>
  <si>
    <t xml:space="preserve">オーバーロード・ドリルブレイク（爆発状態）</t>
  </si>
  <si>
    <t xml:space="preserve">肩を並べて</t>
  </si>
  <si>
    <t xml:space="preserve">極限突進</t>
  </si>
  <si>
    <t xml:space="preserve">回れ、兄弟！</t>
  </si>
  <si>
    <t xml:space="preserve">バースト・ドリルブレイク（爆発状態）</t>
  </si>
  <si>
    <t xml:space="preserve">兄弟、天を衝け！</t>
  </si>
  <si>
    <t xml:space="preserve">回れ回れ！</t>
  </si>
  <si>
    <t xml:space="preserve">回れ！回れ！！回れ！！！</t>
  </si>
  <si>
    <t xml:space="preserve">帳尻合わせ</t>
  </si>
  <si>
    <t xml:space="preserve">経費で落とす</t>
  </si>
  <si>
    <t xml:space="preserve">精算</t>
  </si>
  <si>
    <t xml:space="preserve">共同取り立て</t>
  </si>
  <si>
    <t xml:space="preserve">債務不履行罰則</t>
  </si>
  <si>
    <t xml:space="preserve">債「拳」格付</t>
  </si>
  <si>
    <t xml:space="preserve">債「拳」弁砕</t>
  </si>
  <si>
    <r>
      <rPr>
        <sz val="10"/>
        <rFont val="ＭＳ Ｐゴシック"/>
        <family val="2"/>
        <charset val="128"/>
      </rPr>
      <t xml:space="preserve">債「拳」弁砕</t>
    </r>
    <r>
      <rPr>
        <sz val="10"/>
        <rFont val="Arial"/>
        <family val="2"/>
        <charset val="128"/>
      </rPr>
      <t xml:space="preserve">(</t>
    </r>
    <r>
      <rPr>
        <sz val="10"/>
        <rFont val="ＭＳ Ｐゴシック"/>
        <family val="2"/>
        <charset val="128"/>
      </rPr>
      <t xml:space="preserve">ガード</t>
    </r>
    <r>
      <rPr>
        <sz val="10"/>
        <rFont val="Arial"/>
        <family val="2"/>
        <charset val="128"/>
      </rPr>
      <t xml:space="preserve">)</t>
    </r>
  </si>
  <si>
    <t xml:space="preserve">押印、決裁</t>
  </si>
  <si>
    <t xml:space="preserve">債「拳」、利息付き弁砕</t>
  </si>
  <si>
    <t xml:space="preserve">打ち砕いて、ぶちのめす</t>
  </si>
  <si>
    <r>
      <rPr>
        <sz val="10"/>
        <rFont val="ＭＳ Ｐゴシック"/>
        <family val="2"/>
        <charset val="128"/>
      </rPr>
      <t xml:space="preserve">打ち砕いて、ぶちのめす</t>
    </r>
    <r>
      <rPr>
        <sz val="10"/>
        <rFont val="Arial"/>
        <family val="2"/>
        <charset val="128"/>
      </rPr>
      <t xml:space="preserve">(</t>
    </r>
    <r>
      <rPr>
        <sz val="10"/>
        <rFont val="ＭＳ Ｐゴシック"/>
        <family val="2"/>
        <charset val="128"/>
      </rPr>
      <t xml:space="preserve">熔炉昇温</t>
    </r>
    <r>
      <rPr>
        <sz val="10"/>
        <rFont val="Arial"/>
        <family val="2"/>
        <charset val="128"/>
      </rPr>
      <t xml:space="preserve">)</t>
    </r>
  </si>
  <si>
    <r>
      <rPr>
        <sz val="10"/>
        <rFont val="ＭＳ Ｐゴシック"/>
        <family val="2"/>
        <charset val="128"/>
      </rPr>
      <t xml:space="preserve">打ち砕いて、ぶちのめす</t>
    </r>
    <r>
      <rPr>
        <sz val="10"/>
        <rFont val="Arial"/>
        <family val="2"/>
        <charset val="128"/>
      </rPr>
      <t xml:space="preserve">(</t>
    </r>
    <r>
      <rPr>
        <sz val="10"/>
        <rFont val="ＭＳ Ｐゴシック"/>
        <family val="2"/>
        <charset val="128"/>
      </rPr>
      <t xml:space="preserve">協力攻撃</t>
    </r>
    <r>
      <rPr>
        <sz val="10"/>
        <rFont val="Arial"/>
        <family val="2"/>
        <charset val="128"/>
      </rPr>
      <t xml:space="preserve">)</t>
    </r>
  </si>
  <si>
    <t xml:space="preserve">震えろ</t>
  </si>
  <si>
    <t xml:space="preserve">見くびるな！</t>
  </si>
  <si>
    <t xml:space="preserve">あたしがやる！</t>
  </si>
  <si>
    <t xml:space="preserve">鐘打</t>
  </si>
  <si>
    <t xml:space="preserve">爆破！ハンマータイム</t>
  </si>
  <si>
    <t xml:space="preserve">沸騰溶炉</t>
  </si>
  <si>
    <t xml:space="preserve">天崩・地裂</t>
  </si>
  <si>
    <t xml:space="preserve">地の底にぶちこんでやる！</t>
  </si>
  <si>
    <r>
      <rPr>
        <sz val="10"/>
        <rFont val="ＭＳ Ｐゴシック"/>
        <family val="2"/>
        <charset val="128"/>
      </rPr>
      <t xml:space="preserve">地の底にぶちこんでやる！</t>
    </r>
    <r>
      <rPr>
        <sz val="10"/>
        <rFont val="Arial"/>
        <family val="2"/>
        <charset val="128"/>
      </rPr>
      <t xml:space="preserve">(</t>
    </r>
    <r>
      <rPr>
        <sz val="10"/>
        <rFont val="ＭＳ Ｐゴシック"/>
        <family val="2"/>
        <charset val="128"/>
      </rPr>
      <t xml:space="preserve">協力攻撃</t>
    </r>
    <r>
      <rPr>
        <sz val="10"/>
        <rFont val="Arial"/>
        <family val="2"/>
        <charset val="128"/>
      </rPr>
      <t xml:space="preserve">)</t>
    </r>
  </si>
  <si>
    <t xml:space="preserve">高圧ネイルガン</t>
  </si>
  <si>
    <r>
      <rPr>
        <sz val="10"/>
        <rFont val="ＭＳ Ｐゴシック"/>
        <family val="2"/>
        <charset val="128"/>
      </rPr>
      <t xml:space="preserve">高圧ネイルガン</t>
    </r>
    <r>
      <rPr>
        <sz val="10"/>
        <rFont val="Arial"/>
        <family val="2"/>
        <charset val="128"/>
      </rPr>
      <t xml:space="preserve">(</t>
    </r>
    <r>
      <rPr>
        <sz val="10"/>
        <rFont val="ＭＳ Ｐゴシック"/>
        <family val="2"/>
        <charset val="128"/>
      </rPr>
      <t xml:space="preserve">ステップ射撃</t>
    </r>
    <r>
      <rPr>
        <sz val="10"/>
        <rFont val="Arial"/>
        <family val="2"/>
        <charset val="128"/>
      </rPr>
      <t xml:space="preserve">)</t>
    </r>
  </si>
  <si>
    <t xml:space="preserve">抜き打ち検査</t>
  </si>
  <si>
    <t xml:space="preserve">違反罰則</t>
  </si>
  <si>
    <t xml:space="preserve">ヒヤリハット対策</t>
  </si>
  <si>
    <t xml:space="preserve">反撃の電気針</t>
  </si>
  <si>
    <t xml:space="preserve">障害撤去</t>
  </si>
  <si>
    <t xml:space="preserve">規格外障害撤去</t>
  </si>
  <si>
    <t xml:space="preserve">共同施工</t>
  </si>
  <si>
    <t xml:space="preserve">発破作業中立入禁止</t>
  </si>
  <si>
    <t xml:space="preserve">月下遊猟</t>
  </si>
  <si>
    <r>
      <rPr>
        <sz val="10"/>
        <rFont val="ＭＳ Ｐゴシック"/>
        <family val="2"/>
        <charset val="128"/>
      </rPr>
      <t xml:space="preserve">月下遊猟</t>
    </r>
    <r>
      <rPr>
        <sz val="10"/>
        <rFont val="Arial"/>
        <family val="2"/>
        <charset val="128"/>
      </rPr>
      <t xml:space="preserve">(</t>
    </r>
    <r>
      <rPr>
        <sz val="10"/>
        <rFont val="ＭＳ Ｐゴシック"/>
        <family val="2"/>
        <charset val="128"/>
      </rPr>
      <t xml:space="preserve">チャージ</t>
    </r>
    <r>
      <rPr>
        <sz val="10"/>
        <rFont val="Arial"/>
        <family val="2"/>
        <charset val="128"/>
      </rPr>
      <t xml:space="preserve">)</t>
    </r>
  </si>
  <si>
    <t xml:space="preserve">清潔を保つ</t>
  </si>
  <si>
    <t xml:space="preserve">礼儀の躾</t>
  </si>
  <si>
    <t xml:space="preserve">群狼</t>
  </si>
  <si>
    <t xml:space="preserve">復讐の反攻</t>
  </si>
  <si>
    <t xml:space="preserve">狩人の刻</t>
  </si>
  <si>
    <r>
      <rPr>
        <sz val="10"/>
        <rFont val="ＭＳ Ｐゴシック"/>
        <family val="2"/>
        <charset val="128"/>
      </rPr>
      <t xml:space="preserve">狩人の刻</t>
    </r>
    <r>
      <rPr>
        <sz val="10"/>
        <rFont val="Arial"/>
        <family val="2"/>
        <charset val="128"/>
      </rPr>
      <t xml:space="preserve">(</t>
    </r>
    <r>
      <rPr>
        <sz val="10"/>
        <rFont val="ＭＳ Ｐゴシック"/>
        <family val="2"/>
        <charset val="128"/>
      </rPr>
      <t xml:space="preserve">チャージ</t>
    </r>
    <r>
      <rPr>
        <sz val="10"/>
        <rFont val="Arial"/>
        <family val="2"/>
        <charset val="128"/>
      </rPr>
      <t xml:space="preserve">)</t>
    </r>
  </si>
  <si>
    <t xml:space="preserve">人狼の刻</t>
  </si>
  <si>
    <r>
      <rPr>
        <sz val="10"/>
        <rFont val="ＭＳ Ｐゴシック"/>
        <family val="2"/>
        <charset val="128"/>
      </rPr>
      <t xml:space="preserve">人狼の刻</t>
    </r>
    <r>
      <rPr>
        <sz val="10"/>
        <rFont val="Arial"/>
        <family val="2"/>
        <charset val="128"/>
      </rPr>
      <t xml:space="preserve">(</t>
    </r>
    <r>
      <rPr>
        <sz val="10"/>
        <rFont val="ＭＳ Ｐゴシック"/>
        <family val="2"/>
        <charset val="128"/>
      </rPr>
      <t xml:space="preserve">チャージ</t>
    </r>
    <r>
      <rPr>
        <sz val="10"/>
        <rFont val="Arial"/>
        <family val="2"/>
        <charset val="128"/>
      </rPr>
      <t xml:space="preserve">)</t>
    </r>
  </si>
  <si>
    <t xml:space="preserve">御意に</t>
  </si>
  <si>
    <t xml:space="preserve">使命を果たす</t>
  </si>
  <si>
    <t xml:space="preserve">鋭牙剪定法</t>
  </si>
  <si>
    <t xml:space="preserve">急凍剪定法</t>
  </si>
  <si>
    <t xml:space="preserve">荒波</t>
  </si>
  <si>
    <t xml:space="preserve">寒潮</t>
  </si>
  <si>
    <t xml:space="preserve">薄氷の急襲</t>
  </si>
  <si>
    <r>
      <rPr>
        <sz val="10"/>
        <rFont val="ＭＳ Ｐゴシック"/>
        <family val="2"/>
        <charset val="128"/>
      </rPr>
      <t xml:space="preserve">薄氷の急襲</t>
    </r>
    <r>
      <rPr>
        <sz val="10"/>
        <rFont val="Arial"/>
        <family val="2"/>
        <charset val="128"/>
      </rPr>
      <t xml:space="preserve">(</t>
    </r>
    <r>
      <rPr>
        <sz val="10"/>
        <rFont val="ＭＳ Ｐゴシック"/>
        <family val="2"/>
        <charset val="128"/>
      </rPr>
      <t xml:space="preserve">チャージ</t>
    </r>
    <r>
      <rPr>
        <sz val="10"/>
        <rFont val="Arial"/>
        <family val="2"/>
        <charset val="128"/>
      </rPr>
      <t xml:space="preserve">)</t>
    </r>
  </si>
  <si>
    <t xml:space="preserve">暗礁</t>
  </si>
  <si>
    <t xml:space="preserve">護衛シャーク</t>
  </si>
  <si>
    <t xml:space="preserve">巡洋シャーク</t>
  </si>
  <si>
    <t xml:space="preserve">尾びれビンタ</t>
  </si>
  <si>
    <t xml:space="preserve">一掃</t>
  </si>
  <si>
    <t xml:space="preserve">シャーク・トルネード</t>
  </si>
  <si>
    <t xml:space="preserve">雪崩</t>
  </si>
  <si>
    <t xml:space="preserve">終わりなき冬の狂宴</t>
  </si>
  <si>
    <t xml:space="preserve">アホを痛めつけろ</t>
  </si>
  <si>
    <t xml:space="preserve">マヌケを追い払え</t>
  </si>
  <si>
    <t xml:space="preserve">いきなりビックリ</t>
  </si>
  <si>
    <t xml:space="preserve">ボンプ回生</t>
  </si>
  <si>
    <t xml:space="preserve">二拍子のアルマンド</t>
  </si>
  <si>
    <t xml:space="preserve">四拍子のガヴォット</t>
  </si>
  <si>
    <t xml:space="preserve">おバカをぶっ叩け</t>
  </si>
  <si>
    <t xml:space="preserve">おバカ消失魔法</t>
  </si>
  <si>
    <t xml:space="preserve">侍者の心得</t>
  </si>
  <si>
    <t xml:space="preserve">女王の侍従たち</t>
  </si>
  <si>
    <t xml:space="preserve">class</t>
  </si>
  <si>
    <t xml:space="preserve">rank</t>
  </si>
  <si>
    <t xml:space="preserve">name</t>
  </si>
  <si>
    <t xml:space="preserve">name-jp</t>
  </si>
  <si>
    <t xml:space="preserve">atkMax</t>
  </si>
  <si>
    <t xml:space="preserve">advSt</t>
  </si>
  <si>
    <t xml:space="preserve">advVal</t>
  </si>
  <si>
    <t xml:space="preserve">title</t>
  </si>
  <si>
    <t xml:space="preserve">desc</t>
  </si>
  <si>
    <t xml:space="preserve">include</t>
  </si>
  <si>
    <t xml:space="preserve">active</t>
  </si>
  <si>
    <t xml:space="preserve">range</t>
  </si>
  <si>
    <t xml:space="preserve">stack</t>
  </si>
  <si>
    <t xml:space="preserve">comparison </t>
  </si>
  <si>
    <t xml:space="preserve">operator</t>
  </si>
  <si>
    <t xml:space="preserve">targetType</t>
  </si>
  <si>
    <t xml:space="preserve">buff</t>
  </si>
  <si>
    <t xml:space="preserve">grade1</t>
  </si>
  <si>
    <t xml:space="preserve">grade2</t>
  </si>
  <si>
    <t xml:space="preserve">grade3</t>
  </si>
  <si>
    <t xml:space="preserve">grade4</t>
  </si>
  <si>
    <t xml:space="preserve">grade5</t>
  </si>
  <si>
    <t xml:space="preserve">Demara Battery Mark II</t>
  </si>
  <si>
    <t xml:space="preserve">デマラ式電池Ⅱ型</t>
  </si>
  <si>
    <t xml:space="preserve">imp-p</t>
  </si>
  <si>
    <t xml:space="preserve">電光石火</t>
  </si>
  <si>
    <r>
      <rPr>
        <sz val="10"/>
        <rFont val="ＭＳ Ｐゴシック"/>
        <family val="2"/>
        <charset val="128"/>
      </rPr>
      <t xml:space="preserve">電気属性ダメージ</t>
    </r>
    <r>
      <rPr>
        <sz val="10"/>
        <rFont val="Arial"/>
        <family val="2"/>
        <charset val="128"/>
      </rPr>
      <t xml:space="preserve">+15/17.5/20/22/24%</t>
    </r>
    <r>
      <rPr>
        <sz val="10"/>
        <rFont val="ＭＳ Ｐゴシック"/>
        <family val="2"/>
        <charset val="128"/>
      </rPr>
      <t xml:space="preserve">。『回避反撃』または『支援攻撃』が敵に命中した時、装備者のエネルギー獲得効率</t>
    </r>
    <r>
      <rPr>
        <sz val="10"/>
        <rFont val="Arial"/>
        <family val="2"/>
        <charset val="128"/>
      </rPr>
      <t xml:space="preserve">+18/20.5/23/25/27.5%</t>
    </r>
    <r>
      <rPr>
        <sz val="10"/>
        <rFont val="ＭＳ Ｐゴシック"/>
        <family val="2"/>
        <charset val="128"/>
      </rPr>
      <t xml:space="preserve">、継続時間</t>
    </r>
    <r>
      <rPr>
        <sz val="10"/>
        <rFont val="Arial"/>
        <family val="2"/>
        <charset val="128"/>
      </rPr>
      <t xml:space="preserve">8</t>
    </r>
    <r>
      <rPr>
        <sz val="10"/>
        <rFont val="ＭＳ Ｐゴシック"/>
        <family val="2"/>
        <charset val="128"/>
      </rPr>
      <t xml:space="preserve">秒。</t>
    </r>
  </si>
  <si>
    <t xml:space="preserve">auto</t>
  </si>
  <si>
    <t xml:space="preserve">self</t>
  </si>
  <si>
    <t xml:space="preserve">stat</t>
  </si>
  <si>
    <t xml:space="preserve">bonus-ele</t>
  </si>
  <si>
    <t xml:space="preserve">B</t>
  </si>
  <si>
    <t xml:space="preserve">[Lunar] Pleniluna</t>
  </si>
  <si>
    <t xml:space="preserve">「月相」‐望</t>
  </si>
  <si>
    <t xml:space="preserve">atk-p</t>
  </si>
  <si>
    <t xml:space="preserve">満月</t>
  </si>
  <si>
    <r>
      <rPr>
        <sz val="10"/>
        <rFont val="ＭＳ Ｐゴシック"/>
        <family val="2"/>
        <charset val="128"/>
      </rPr>
      <t xml:space="preserve">『通常攻撃』、『ダッシュ攻撃』、『回避反撃』の与ダメージ</t>
    </r>
    <r>
      <rPr>
        <sz val="10"/>
        <rFont val="Arial"/>
        <family val="2"/>
        <charset val="128"/>
      </rPr>
      <t xml:space="preserve">+12/14/16/18/20%</t>
    </r>
    <r>
      <rPr>
        <sz val="10"/>
        <rFont val="ＭＳ Ｐゴシック"/>
        <family val="2"/>
        <charset val="128"/>
      </rPr>
      <t xml:space="preserve">。</t>
    </r>
  </si>
  <si>
    <t xml:space="preserve">skill</t>
  </si>
  <si>
    <t xml:space="preserve">equal</t>
  </si>
  <si>
    <t xml:space="preserve">normal dodge</t>
  </si>
  <si>
    <t xml:space="preserve">bonus-dmg</t>
  </si>
  <si>
    <t xml:space="preserve">[Lunar] Decresent</t>
  </si>
  <si>
    <t xml:space="preserve">「月相」‐晦</t>
  </si>
  <si>
    <t xml:space="preserve">残月</t>
  </si>
  <si>
    <r>
      <rPr>
        <sz val="10"/>
        <rFont val="ＭＳ Ｐゴシック"/>
        <family val="2"/>
        <charset val="128"/>
      </rPr>
      <t xml:space="preserve">『連携スキル』または『終結スキル』を発動すると、装備者の与ダメージ</t>
    </r>
    <r>
      <rPr>
        <sz val="10"/>
        <rFont val="Arial"/>
        <family val="2"/>
        <charset val="128"/>
      </rPr>
      <t xml:space="preserve">+15/17.5/20/22.5/25%</t>
    </r>
    <r>
      <rPr>
        <sz val="10"/>
        <rFont val="ＭＳ Ｐゴシック"/>
        <family val="2"/>
        <charset val="128"/>
      </rPr>
      <t xml:space="preserve">。継続時間</t>
    </r>
    <r>
      <rPr>
        <sz val="10"/>
        <rFont val="Arial"/>
        <family val="2"/>
        <charset val="128"/>
      </rPr>
      <t xml:space="preserve">6</t>
    </r>
    <r>
      <rPr>
        <sz val="10"/>
        <rFont val="ＭＳ Ｐゴシック"/>
        <family val="2"/>
        <charset val="128"/>
      </rPr>
      <t xml:space="preserve">秒。</t>
    </r>
  </si>
  <si>
    <t xml:space="preserve">select</t>
  </si>
  <si>
    <t xml:space="preserve">[Lunar] Noviluna</t>
  </si>
  <si>
    <t xml:space="preserve">「月相」‐朔</t>
  </si>
  <si>
    <t xml:space="preserve">crit-r</t>
  </si>
  <si>
    <t xml:space="preserve">新月</t>
  </si>
  <si>
    <r>
      <rPr>
        <sz val="10"/>
        <rFont val="ＭＳ Ｐゴシック"/>
        <family val="2"/>
        <charset val="128"/>
      </rPr>
      <t xml:space="preserve">『強化特殊スキル』を発動すると、装備者のエネルギー</t>
    </r>
    <r>
      <rPr>
        <sz val="10"/>
        <rFont val="Arial"/>
        <family val="2"/>
        <charset val="128"/>
      </rPr>
      <t xml:space="preserve">3/3.5/4/4.5/5Pt</t>
    </r>
    <r>
      <rPr>
        <sz val="10"/>
        <rFont val="ＭＳ Ｐゴシック"/>
        <family val="2"/>
        <charset val="128"/>
      </rPr>
      <t xml:space="preserve">回復する、</t>
    </r>
    <r>
      <rPr>
        <sz val="10"/>
        <rFont val="Arial"/>
        <family val="2"/>
        <charset val="128"/>
      </rPr>
      <t xml:space="preserve">12</t>
    </r>
    <r>
      <rPr>
        <sz val="10"/>
        <rFont val="ＭＳ Ｐゴシック"/>
        <family val="2"/>
        <charset val="128"/>
      </rPr>
      <t xml:space="preserve">秒に</t>
    </r>
    <r>
      <rPr>
        <sz val="10"/>
        <rFont val="Arial"/>
        <family val="2"/>
        <charset val="128"/>
      </rPr>
      <t xml:space="preserve">1</t>
    </r>
    <r>
      <rPr>
        <sz val="10"/>
        <rFont val="ＭＳ Ｐゴシック"/>
        <family val="2"/>
        <charset val="128"/>
      </rPr>
      <t xml:space="preserve">回のみ発動可能。</t>
    </r>
  </si>
  <si>
    <t xml:space="preserve">[Reverb] Mark I</t>
  </si>
  <si>
    <t xml:space="preserve">「残響」‐Ⅰ型</t>
  </si>
  <si>
    <t xml:space="preserve">潮汐</t>
  </si>
  <si>
    <r>
      <rPr>
        <sz val="10"/>
        <rFont val="ＭＳ Ｐゴシック"/>
        <family val="2"/>
        <charset val="128"/>
      </rPr>
      <t xml:space="preserve">『強化特殊スキル』を発動すると、チーム全体の衝撃力</t>
    </r>
    <r>
      <rPr>
        <sz val="10"/>
        <rFont val="Arial"/>
        <family val="2"/>
        <charset val="128"/>
      </rPr>
      <t xml:space="preserve">+8/9/10/11/12%</t>
    </r>
    <r>
      <rPr>
        <sz val="10"/>
        <rFont val="ＭＳ Ｐゴシック"/>
        <family val="2"/>
        <charset val="128"/>
      </rPr>
      <t xml:space="preserve">、継続時間</t>
    </r>
    <r>
      <rPr>
        <sz val="10"/>
        <rFont val="Arial"/>
        <family val="2"/>
        <charset val="128"/>
      </rPr>
      <t xml:space="preserve">10</t>
    </r>
    <r>
      <rPr>
        <sz val="10"/>
        <rFont val="ＭＳ Ｐゴシック"/>
        <family val="2"/>
        <charset val="128"/>
      </rPr>
      <t xml:space="preserve">秒。</t>
    </r>
    <r>
      <rPr>
        <sz val="10"/>
        <rFont val="Arial"/>
        <family val="2"/>
        <charset val="128"/>
      </rPr>
      <t xml:space="preserve">20</t>
    </r>
    <r>
      <rPr>
        <sz val="10"/>
        <rFont val="ＭＳ Ｐゴシック"/>
        <family val="2"/>
        <charset val="128"/>
      </rPr>
      <t xml:space="preserve">秒に</t>
    </r>
    <r>
      <rPr>
        <sz val="10"/>
        <rFont val="Arial"/>
        <family val="2"/>
        <charset val="128"/>
      </rPr>
      <t xml:space="preserve">1</t>
    </r>
    <r>
      <rPr>
        <sz val="10"/>
        <rFont val="ＭＳ Ｐゴシック"/>
        <family val="2"/>
        <charset val="128"/>
      </rPr>
      <t xml:space="preserve">回のみ発動可能。同じパッシブ効果は重ね掛け不可。</t>
    </r>
  </si>
  <si>
    <t xml:space="preserve">[Reverb] Mark II</t>
  </si>
  <si>
    <t xml:space="preserve">「残響」‐Ⅱ型</t>
  </si>
  <si>
    <t xml:space="preserve">en-reg</t>
  </si>
  <si>
    <t xml:space="preserve">音波</t>
  </si>
  <si>
    <r>
      <rPr>
        <sz val="10"/>
        <rFont val="ＭＳ Ｐゴシック"/>
        <family val="2"/>
        <charset val="128"/>
      </rPr>
      <t xml:space="preserve">『強化特殊スキル』または『連携スキル』を発動すると、チーム全体の異常掌握と異常マスタリー</t>
    </r>
    <r>
      <rPr>
        <sz val="10"/>
        <rFont val="Arial"/>
        <family val="2"/>
        <charset val="128"/>
      </rPr>
      <t xml:space="preserve">+10/12/13/15/16Pt</t>
    </r>
    <r>
      <rPr>
        <sz val="10"/>
        <rFont val="ＭＳ Ｐゴシック"/>
        <family val="2"/>
        <charset val="128"/>
      </rPr>
      <t xml:space="preserve">、継続時間</t>
    </r>
    <r>
      <rPr>
        <sz val="10"/>
        <rFont val="Arial"/>
        <family val="2"/>
        <charset val="128"/>
      </rPr>
      <t xml:space="preserve">10</t>
    </r>
    <r>
      <rPr>
        <sz val="10"/>
        <rFont val="ＭＳ Ｐゴシック"/>
        <family val="2"/>
        <charset val="128"/>
      </rPr>
      <t xml:space="preserve">秒。</t>
    </r>
    <r>
      <rPr>
        <sz val="10"/>
        <rFont val="Arial"/>
        <family val="2"/>
        <charset val="128"/>
      </rPr>
      <t xml:space="preserve">20</t>
    </r>
    <r>
      <rPr>
        <sz val="10"/>
        <rFont val="ＭＳ Ｐゴシック"/>
        <family val="2"/>
        <charset val="128"/>
      </rPr>
      <t xml:space="preserve">秒に</t>
    </r>
    <r>
      <rPr>
        <sz val="10"/>
        <rFont val="Arial"/>
        <family val="2"/>
        <charset val="128"/>
      </rPr>
      <t xml:space="preserve">1</t>
    </r>
    <r>
      <rPr>
        <sz val="10"/>
        <rFont val="ＭＳ Ｐゴシック"/>
        <family val="2"/>
        <charset val="128"/>
      </rPr>
      <t xml:space="preserve">回のみ発動可能。同じパッシブ効果は重ね掛け不可。</t>
    </r>
  </si>
  <si>
    <t xml:space="preserve">team</t>
  </si>
  <si>
    <t xml:space="preserve">anm-b</t>
  </si>
  <si>
    <t xml:space="preserve">additional</t>
  </si>
  <si>
    <t xml:space="preserve">anm-p</t>
  </si>
  <si>
    <t xml:space="preserve">[Reverb] Mark III</t>
  </si>
  <si>
    <t xml:space="preserve">「残響」‐Ⅲ型</t>
  </si>
  <si>
    <t xml:space="preserve">hp-p</t>
  </si>
  <si>
    <t xml:space="preserve">強音</t>
  </si>
  <si>
    <r>
      <rPr>
        <sz val="10"/>
        <rFont val="ＭＳ Ｐゴシック"/>
        <family val="2"/>
        <charset val="128"/>
      </rPr>
      <t xml:space="preserve">『連携スキル』または『終結スキル』を発動すると、チーム全体の攻撃力</t>
    </r>
    <r>
      <rPr>
        <sz val="10"/>
        <rFont val="Arial"/>
        <family val="2"/>
        <charset val="128"/>
      </rPr>
      <t xml:space="preserve">+8/9/10/11/12%</t>
    </r>
    <r>
      <rPr>
        <sz val="10"/>
        <rFont val="ＭＳ Ｐゴシック"/>
        <family val="2"/>
        <charset val="128"/>
      </rPr>
      <t xml:space="preserve">、継続時間</t>
    </r>
    <r>
      <rPr>
        <sz val="10"/>
        <rFont val="Arial"/>
        <family val="2"/>
        <charset val="128"/>
      </rPr>
      <t xml:space="preserve">10</t>
    </r>
    <r>
      <rPr>
        <sz val="10"/>
        <rFont val="ＭＳ Ｐゴシック"/>
        <family val="2"/>
        <charset val="128"/>
      </rPr>
      <t xml:space="preserve">秒。</t>
    </r>
    <r>
      <rPr>
        <sz val="10"/>
        <rFont val="Arial"/>
        <family val="2"/>
        <charset val="128"/>
      </rPr>
      <t xml:space="preserve">20</t>
    </r>
    <r>
      <rPr>
        <sz val="10"/>
        <rFont val="ＭＳ Ｐゴシック"/>
        <family val="2"/>
        <charset val="128"/>
      </rPr>
      <t xml:space="preserve">秒に</t>
    </r>
    <r>
      <rPr>
        <sz val="10"/>
        <rFont val="Arial"/>
        <family val="2"/>
        <charset val="128"/>
      </rPr>
      <t xml:space="preserve">1</t>
    </r>
    <r>
      <rPr>
        <sz val="10"/>
        <rFont val="ＭＳ Ｐゴシック"/>
        <family val="2"/>
        <charset val="128"/>
      </rPr>
      <t xml:space="preserve">回のみ発動可能。同じパッシブ効果は重ね掛け不可。</t>
    </r>
  </si>
  <si>
    <t xml:space="preserve">[Vortex] Revolver</t>
  </si>
  <si>
    <t xml:space="preserve">「激流」‐銃型</t>
  </si>
  <si>
    <t xml:space="preserve">暗流</t>
  </si>
  <si>
    <r>
      <rPr>
        <sz val="10"/>
        <rFont val="ＭＳ Ｐゴシック"/>
        <family val="2"/>
        <charset val="128"/>
      </rPr>
      <t xml:space="preserve">『強化特殊スキル』の与えるブレイク値</t>
    </r>
    <r>
      <rPr>
        <sz val="10"/>
        <rFont val="Arial"/>
        <family val="2"/>
        <charset val="128"/>
      </rPr>
      <t xml:space="preserve">+10/11.5/13/14.5/16%</t>
    </r>
    <r>
      <rPr>
        <sz val="10"/>
        <rFont val="ＭＳ Ｐゴシック"/>
        <family val="2"/>
        <charset val="128"/>
      </rPr>
      <t xml:space="preserve">。</t>
    </r>
  </si>
  <si>
    <t xml:space="preserve">[Vortex] Arrow</t>
  </si>
  <si>
    <t xml:space="preserve">「激流」‐矢型</t>
  </si>
  <si>
    <t xml:space="preserve">大波</t>
  </si>
  <si>
    <r>
      <rPr>
        <sz val="10"/>
        <rFont val="ＭＳ Ｐゴシック"/>
        <family val="2"/>
        <charset val="128"/>
      </rPr>
      <t xml:space="preserve">攻撃が敵に命中すると、装備者がメインターゲットに与えるブレイク値</t>
    </r>
    <r>
      <rPr>
        <sz val="10"/>
        <rFont val="Arial"/>
        <family val="2"/>
        <charset val="128"/>
      </rPr>
      <t xml:space="preserve">+8/9/10/11/12%</t>
    </r>
    <r>
      <rPr>
        <sz val="10"/>
        <rFont val="ＭＳ Ｐゴシック"/>
        <family val="2"/>
        <charset val="128"/>
      </rPr>
      <t xml:space="preserve">。</t>
    </r>
  </si>
  <si>
    <t xml:space="preserve">[Vortex] Hatchet</t>
  </si>
  <si>
    <t xml:space="preserve">「激流」‐斧型</t>
  </si>
  <si>
    <t xml:space="preserve">急潮</t>
  </si>
  <si>
    <r>
      <rPr>
        <sz val="10"/>
        <rFont val="ＭＳ Ｐゴシック"/>
        <family val="2"/>
        <charset val="128"/>
      </rPr>
      <t xml:space="preserve">接敵状態突入時、または出場した時、装備者の衝撃力</t>
    </r>
    <r>
      <rPr>
        <sz val="10"/>
        <rFont val="Arial"/>
        <family val="2"/>
        <charset val="128"/>
      </rPr>
      <t xml:space="preserve">+9/10/11/12/13%</t>
    </r>
    <r>
      <rPr>
        <sz val="10"/>
        <rFont val="ＭＳ Ｐゴシック"/>
        <family val="2"/>
        <charset val="128"/>
      </rPr>
      <t xml:space="preserve">、継続時間</t>
    </r>
    <r>
      <rPr>
        <sz val="10"/>
        <rFont val="Arial"/>
        <family val="2"/>
        <charset val="128"/>
      </rPr>
      <t xml:space="preserve">10</t>
    </r>
    <r>
      <rPr>
        <sz val="10"/>
        <rFont val="ＭＳ Ｐゴシック"/>
        <family val="2"/>
        <charset val="128"/>
      </rPr>
      <t xml:space="preserve">秒。</t>
    </r>
    <r>
      <rPr>
        <sz val="10"/>
        <rFont val="Arial"/>
        <family val="2"/>
        <charset val="128"/>
      </rPr>
      <t xml:space="preserve">20</t>
    </r>
    <r>
      <rPr>
        <sz val="10"/>
        <rFont val="ＭＳ Ｐゴシック"/>
        <family val="2"/>
        <charset val="128"/>
      </rPr>
      <t xml:space="preserve">秒に</t>
    </r>
    <r>
      <rPr>
        <sz val="10"/>
        <rFont val="Arial"/>
        <family val="2"/>
        <charset val="128"/>
      </rPr>
      <t xml:space="preserve">1</t>
    </r>
    <r>
      <rPr>
        <sz val="10"/>
        <rFont val="ＭＳ Ｐゴシック"/>
        <family val="2"/>
        <charset val="128"/>
      </rPr>
      <t xml:space="preserve">回のみ発動可能。</t>
    </r>
  </si>
  <si>
    <t xml:space="preserve">[Magnetic Storm] Alpha</t>
  </si>
  <si>
    <t xml:space="preserve">「磁気嵐」‐壱式</t>
  </si>
  <si>
    <t xml:space="preserve">擾乱電流</t>
  </si>
  <si>
    <r>
      <rPr>
        <sz val="10"/>
        <rFont val="ＭＳ Ｐゴシック"/>
        <family val="2"/>
        <charset val="128"/>
      </rPr>
      <t xml:space="preserve">状態異常蓄積値を蓄積させると、装備者の異常掌握</t>
    </r>
    <r>
      <rPr>
        <sz val="10"/>
        <rFont val="Arial"/>
        <family val="2"/>
        <charset val="128"/>
      </rPr>
      <t xml:space="preserve">+25/28/32/36/40Pt</t>
    </r>
    <r>
      <rPr>
        <sz val="10"/>
        <rFont val="ＭＳ Ｐゴシック"/>
        <family val="2"/>
        <charset val="128"/>
      </rPr>
      <t xml:space="preserve">、継続時間</t>
    </r>
    <r>
      <rPr>
        <sz val="10"/>
        <rFont val="Arial"/>
        <family val="2"/>
        <charset val="128"/>
      </rPr>
      <t xml:space="preserve">10</t>
    </r>
    <r>
      <rPr>
        <sz val="10"/>
        <rFont val="ＭＳ Ｐゴシック"/>
        <family val="2"/>
        <charset val="128"/>
      </rPr>
      <t xml:space="preserve">秒。</t>
    </r>
    <r>
      <rPr>
        <sz val="10"/>
        <rFont val="Arial"/>
        <family val="2"/>
        <charset val="128"/>
      </rPr>
      <t xml:space="preserve">20</t>
    </r>
    <r>
      <rPr>
        <sz val="10"/>
        <rFont val="ＭＳ Ｐゴシック"/>
        <family val="2"/>
        <charset val="128"/>
      </rPr>
      <t xml:space="preserve">秒に</t>
    </r>
    <r>
      <rPr>
        <sz val="10"/>
        <rFont val="Arial"/>
        <family val="2"/>
        <charset val="128"/>
      </rPr>
      <t xml:space="preserve">1</t>
    </r>
    <r>
      <rPr>
        <sz val="10"/>
        <rFont val="ＭＳ Ｐゴシック"/>
        <family val="2"/>
        <charset val="128"/>
      </rPr>
      <t xml:space="preserve">回のみ発動可能。</t>
    </r>
  </si>
  <si>
    <t xml:space="preserve">[Magnetic Storm] Bravo</t>
  </si>
  <si>
    <t xml:space="preserve">「磁気嵐」‐弐式</t>
  </si>
  <si>
    <t xml:space="preserve">高電圧サージ</t>
  </si>
  <si>
    <r>
      <rPr>
        <sz val="10"/>
        <rFont val="ＭＳ Ｐゴシック"/>
        <family val="2"/>
        <charset val="128"/>
      </rPr>
      <t xml:space="preserve">状態異常蓄積値を蓄積させると、装備者の異常マスタリー</t>
    </r>
    <r>
      <rPr>
        <sz val="10"/>
        <rFont val="Arial"/>
        <family val="2"/>
        <charset val="128"/>
      </rPr>
      <t xml:space="preserve">+25/28/32/36/40Pt</t>
    </r>
    <r>
      <rPr>
        <sz val="10"/>
        <rFont val="ＭＳ Ｐゴシック"/>
        <family val="2"/>
        <charset val="128"/>
      </rPr>
      <t xml:space="preserve">、継続時間</t>
    </r>
    <r>
      <rPr>
        <sz val="10"/>
        <rFont val="Arial"/>
        <family val="2"/>
        <charset val="128"/>
      </rPr>
      <t xml:space="preserve">10</t>
    </r>
    <r>
      <rPr>
        <sz val="10"/>
        <rFont val="ＭＳ Ｐゴシック"/>
        <family val="2"/>
        <charset val="128"/>
      </rPr>
      <t xml:space="preserve">秒。</t>
    </r>
    <r>
      <rPr>
        <sz val="10"/>
        <rFont val="Arial"/>
        <family val="2"/>
        <charset val="128"/>
      </rPr>
      <t xml:space="preserve">20</t>
    </r>
    <r>
      <rPr>
        <sz val="10"/>
        <rFont val="ＭＳ Ｐゴシック"/>
        <family val="2"/>
        <charset val="128"/>
      </rPr>
      <t xml:space="preserve">秒に</t>
    </r>
    <r>
      <rPr>
        <sz val="10"/>
        <rFont val="Arial"/>
        <family val="2"/>
        <charset val="128"/>
      </rPr>
      <t xml:space="preserve">1</t>
    </r>
    <r>
      <rPr>
        <sz val="10"/>
        <rFont val="ＭＳ Ｐゴシック"/>
        <family val="2"/>
        <charset val="128"/>
      </rPr>
      <t xml:space="preserve">回のみ発動可能。</t>
    </r>
  </si>
  <si>
    <t xml:space="preserve">[Magnetic Storm] Charlie</t>
  </si>
  <si>
    <t xml:space="preserve">「磁気嵐」‐参式</t>
  </si>
  <si>
    <t xml:space="preserve">電荷超過</t>
  </si>
  <si>
    <r>
      <rPr>
        <sz val="10"/>
        <rFont val="ＭＳ Ｐゴシック"/>
        <family val="2"/>
        <charset val="128"/>
      </rPr>
      <t xml:space="preserve">任意のメンバーが敵を状態異常にした時、装備者のエネルギーが</t>
    </r>
    <r>
      <rPr>
        <sz val="10"/>
        <rFont val="Arial"/>
        <family val="2"/>
        <charset val="128"/>
      </rPr>
      <t xml:space="preserve">3.5/4/4.5/5/5.5Pt</t>
    </r>
    <r>
      <rPr>
        <sz val="10"/>
        <rFont val="ＭＳ Ｐゴシック"/>
        <family val="2"/>
        <charset val="128"/>
      </rPr>
      <t xml:space="preserve">回復する、</t>
    </r>
    <r>
      <rPr>
        <sz val="10"/>
        <rFont val="Arial"/>
        <family val="2"/>
        <charset val="128"/>
      </rPr>
      <t xml:space="preserve">12</t>
    </r>
    <r>
      <rPr>
        <sz val="10"/>
        <rFont val="ＭＳ Ｐゴシック"/>
        <family val="2"/>
        <charset val="128"/>
      </rPr>
      <t xml:space="preserve">秒に</t>
    </r>
    <r>
      <rPr>
        <sz val="10"/>
        <rFont val="Arial"/>
        <family val="2"/>
        <charset val="128"/>
      </rPr>
      <t xml:space="preserve">1</t>
    </r>
    <r>
      <rPr>
        <sz val="10"/>
        <rFont val="ＭＳ Ｐゴシック"/>
        <family val="2"/>
        <charset val="128"/>
      </rPr>
      <t xml:space="preserve">回のみ発動可能。</t>
    </r>
  </si>
  <si>
    <t xml:space="preserve">[Identity] Base</t>
  </si>
  <si>
    <t xml:space="preserve">「恒等式」‐本格</t>
  </si>
  <si>
    <t xml:space="preserve">def-p</t>
  </si>
  <si>
    <t xml:space="preserve">沈撃</t>
  </si>
  <si>
    <r>
      <rPr>
        <sz val="10"/>
        <rFont val="ＭＳ Ｐゴシック"/>
        <family val="2"/>
        <charset val="128"/>
      </rPr>
      <t xml:space="preserve">敵の攻撃を受けた時、装備者の防御力</t>
    </r>
    <r>
      <rPr>
        <sz val="10"/>
        <rFont val="Arial"/>
        <family val="2"/>
        <charset val="128"/>
      </rPr>
      <t xml:space="preserve">+20/23/26/29/32%</t>
    </r>
    <r>
      <rPr>
        <sz val="10"/>
        <rFont val="ＭＳ Ｐゴシック"/>
        <family val="2"/>
        <charset val="128"/>
      </rPr>
      <t xml:space="preserve">、継続時間</t>
    </r>
    <r>
      <rPr>
        <sz val="10"/>
        <rFont val="Arial"/>
        <family val="2"/>
        <charset val="128"/>
      </rPr>
      <t xml:space="preserve">8</t>
    </r>
    <r>
      <rPr>
        <sz val="10"/>
        <rFont val="ＭＳ Ｐゴシック"/>
        <family val="2"/>
        <charset val="128"/>
      </rPr>
      <t xml:space="preserve">秒。</t>
    </r>
  </si>
  <si>
    <t xml:space="preserve">[Identity] Inflection</t>
  </si>
  <si>
    <t xml:space="preserve">「恒等式」‐変格</t>
  </si>
  <si>
    <t xml:space="preserve">眩暈</t>
  </si>
  <si>
    <r>
      <rPr>
        <sz val="10"/>
        <rFont val="ＭＳ Ｐゴシック"/>
        <family val="2"/>
        <charset val="128"/>
      </rPr>
      <t xml:space="preserve">敵の攻撃を受けた時、攻撃を仕掛けた敵の与ダメージ</t>
    </r>
    <r>
      <rPr>
        <sz val="10"/>
        <rFont val="Arial"/>
        <family val="2"/>
        <charset val="128"/>
      </rPr>
      <t xml:space="preserve">-6/7/8/9/10%</t>
    </r>
    <r>
      <rPr>
        <sz val="10"/>
        <rFont val="ＭＳ Ｐゴシック"/>
        <family val="2"/>
        <charset val="128"/>
      </rPr>
      <t xml:space="preserve">、継続時間</t>
    </r>
    <r>
      <rPr>
        <sz val="10"/>
        <rFont val="Arial"/>
        <family val="2"/>
        <charset val="128"/>
      </rPr>
      <t xml:space="preserve">12</t>
    </r>
    <r>
      <rPr>
        <sz val="10"/>
        <rFont val="ＭＳ Ｐゴシック"/>
        <family val="2"/>
        <charset val="128"/>
      </rPr>
      <t xml:space="preserve">秒。</t>
    </r>
  </si>
  <si>
    <t xml:space="preserve">Street Superstar</t>
  </si>
  <si>
    <t xml:space="preserve">ストリートスター</t>
  </si>
  <si>
    <t xml:space="preserve">熱いシャウト</t>
  </si>
  <si>
    <r>
      <rPr>
        <sz val="10"/>
        <rFont val="ＭＳ Ｐゴシック"/>
        <family val="2"/>
        <charset val="128"/>
      </rPr>
      <t xml:space="preserve">任意のメンバーが『連携スキル』を発動する度に、装備者にパワーを</t>
    </r>
    <r>
      <rPr>
        <sz val="10"/>
        <rFont val="Arial"/>
        <family val="2"/>
        <charset val="128"/>
      </rPr>
      <t xml:space="preserve">1</t>
    </r>
    <r>
      <rPr>
        <sz val="10"/>
        <rFont val="ＭＳ Ｐゴシック"/>
        <family val="2"/>
        <charset val="128"/>
      </rPr>
      <t xml:space="preserve">重与える、最大</t>
    </r>
    <r>
      <rPr>
        <sz val="10"/>
        <rFont val="Arial"/>
        <family val="2"/>
        <charset val="128"/>
      </rPr>
      <t xml:space="preserve">3</t>
    </r>
    <r>
      <rPr>
        <sz val="10"/>
        <rFont val="ＭＳ Ｐゴシック"/>
        <family val="2"/>
        <charset val="128"/>
      </rPr>
      <t xml:space="preserve">重まで重ね掛け可能。『終結スキル』を発動した時、すべてのパワーを消費し、パワー</t>
    </r>
    <r>
      <rPr>
        <sz val="10"/>
        <rFont val="Arial"/>
        <family val="2"/>
        <charset val="128"/>
      </rPr>
      <t xml:space="preserve">1</t>
    </r>
    <r>
      <rPr>
        <sz val="10"/>
        <rFont val="ＭＳ Ｐゴシック"/>
        <family val="2"/>
        <charset val="128"/>
      </rPr>
      <t xml:space="preserve">重につき、スキルの与ダメージ</t>
    </r>
    <r>
      <rPr>
        <sz val="10"/>
        <rFont val="Arial"/>
        <family val="2"/>
        <charset val="128"/>
      </rPr>
      <t xml:space="preserve">+15/17.2/19.5/21.7/24%</t>
    </r>
    <r>
      <rPr>
        <sz val="10"/>
        <rFont val="ＭＳ Ｐゴシック"/>
        <family val="2"/>
        <charset val="128"/>
      </rPr>
      <t xml:space="preserve">。</t>
    </r>
  </si>
  <si>
    <t xml:space="preserve">chain-ultimate</t>
  </si>
  <si>
    <t xml:space="preserve">Slice of Time</t>
  </si>
  <si>
    <t xml:space="preserve">歳月の薄片</t>
  </si>
  <si>
    <t xml:space="preserve">はい「チーズ」</t>
  </si>
  <si>
    <r>
      <rPr>
        <sz val="10"/>
        <rFont val="ＭＳ Ｐゴシック"/>
        <family val="2"/>
        <charset val="128"/>
      </rPr>
      <t xml:space="preserve">任意のメンバーが『回避反撃』</t>
    </r>
    <r>
      <rPr>
        <sz val="10"/>
        <rFont val="Arial"/>
        <family val="2"/>
        <charset val="128"/>
      </rPr>
      <t xml:space="preserve">/</t>
    </r>
    <r>
      <rPr>
        <sz val="10"/>
        <rFont val="ＭＳ Ｐゴシック"/>
        <family val="2"/>
        <charset val="128"/>
      </rPr>
      <t xml:space="preserve">『強化特殊スキル』</t>
    </r>
    <r>
      <rPr>
        <sz val="10"/>
        <rFont val="Arial"/>
        <family val="2"/>
        <charset val="128"/>
      </rPr>
      <t xml:space="preserve">/</t>
    </r>
    <r>
      <rPr>
        <sz val="10"/>
        <rFont val="ＭＳ Ｐゴシック"/>
        <family val="2"/>
        <charset val="128"/>
      </rPr>
      <t xml:space="preserve">『支援攻撃』</t>
    </r>
    <r>
      <rPr>
        <sz val="10"/>
        <rFont val="Arial"/>
        <family val="2"/>
        <charset val="128"/>
      </rPr>
      <t xml:space="preserve">/</t>
    </r>
    <r>
      <rPr>
        <sz val="10"/>
        <rFont val="ＭＳ Ｐゴシック"/>
        <family val="2"/>
        <charset val="128"/>
      </rPr>
      <t xml:space="preserve">『連携スキル』を発動した時、追加でデシベル値を</t>
    </r>
    <r>
      <rPr>
        <sz val="10"/>
        <rFont val="Arial"/>
        <family val="2"/>
        <charset val="128"/>
      </rPr>
      <t xml:space="preserve">20/23/26/29/32/25/28.5/32/35.5/40/30/34.5/39/43.5/48/35/40/45/50/55Pt</t>
    </r>
    <r>
      <rPr>
        <sz val="10"/>
        <rFont val="ＭＳ Ｐゴシック"/>
        <family val="2"/>
        <charset val="128"/>
      </rPr>
      <t xml:space="preserve">獲得し、装備者のエネルギーが</t>
    </r>
    <r>
      <rPr>
        <sz val="10"/>
        <rFont val="Arial"/>
        <family val="2"/>
        <charset val="128"/>
      </rPr>
      <t xml:space="preserve">0.7/0.8/0.9/1/1.1Pt</t>
    </r>
    <r>
      <rPr>
        <sz val="10"/>
        <rFont val="ＭＳ Ｐゴシック"/>
        <family val="2"/>
        <charset val="128"/>
      </rPr>
      <t xml:space="preserve">回復する、</t>
    </r>
    <r>
      <rPr>
        <sz val="10"/>
        <rFont val="Arial"/>
        <family val="2"/>
        <charset val="128"/>
      </rPr>
      <t xml:space="preserve">12</t>
    </r>
    <r>
      <rPr>
        <sz val="10"/>
        <rFont val="ＭＳ Ｐゴシック"/>
        <family val="2"/>
        <charset val="128"/>
      </rPr>
      <t xml:space="preserve">秒に</t>
    </r>
    <r>
      <rPr>
        <sz val="10"/>
        <rFont val="Arial"/>
        <family val="2"/>
        <charset val="128"/>
      </rPr>
      <t xml:space="preserve">1</t>
    </r>
    <r>
      <rPr>
        <sz val="10"/>
        <rFont val="ＭＳ Ｐゴシック"/>
        <family val="2"/>
        <charset val="128"/>
      </rPr>
      <t xml:space="preserve">回のみ発動可能。バフ効果のクールタイムはスキルごとに計算される。同じパッシブ効果は重ね掛け不可。</t>
    </r>
  </si>
  <si>
    <t xml:space="preserve">Rainforest Gourmet</t>
  </si>
  <si>
    <t xml:space="preserve">密林の食いしん坊</t>
  </si>
  <si>
    <t xml:space="preserve">ご飯だよ！</t>
  </si>
  <si>
    <r>
      <rPr>
        <sz val="10"/>
        <rFont val="ＭＳ Ｐゴシック"/>
        <family val="2"/>
        <charset val="128"/>
      </rPr>
      <t xml:space="preserve">エネルギー値を</t>
    </r>
    <r>
      <rPr>
        <sz val="10"/>
        <rFont val="Arial"/>
        <family val="2"/>
        <charset val="128"/>
      </rPr>
      <t xml:space="preserve">10Pt</t>
    </r>
    <r>
      <rPr>
        <sz val="10"/>
        <rFont val="ＭＳ Ｐゴシック"/>
        <family val="2"/>
        <charset val="128"/>
      </rPr>
      <t xml:space="preserve">消費するたびに、バフ効果を</t>
    </r>
    <r>
      <rPr>
        <sz val="10"/>
        <rFont val="Arial"/>
        <family val="2"/>
        <charset val="128"/>
      </rPr>
      <t xml:space="preserve">1</t>
    </r>
    <r>
      <rPr>
        <sz val="10"/>
        <rFont val="ＭＳ Ｐゴシック"/>
        <family val="2"/>
        <charset val="128"/>
      </rPr>
      <t xml:space="preserve">重獲得する。バフ効果</t>
    </r>
    <r>
      <rPr>
        <sz val="10"/>
        <rFont val="Arial"/>
        <family val="2"/>
        <charset val="128"/>
      </rPr>
      <t xml:space="preserve">1</t>
    </r>
    <r>
      <rPr>
        <sz val="10"/>
        <rFont val="ＭＳ Ｐゴシック"/>
        <family val="2"/>
        <charset val="128"/>
      </rPr>
      <t xml:space="preserve">重につき、装備者の攻撃力</t>
    </r>
    <r>
      <rPr>
        <sz val="10"/>
        <rFont val="Arial"/>
        <family val="2"/>
        <charset val="128"/>
      </rPr>
      <t xml:space="preserve">+2.5/2.8/3.2/3.6/4%</t>
    </r>
    <r>
      <rPr>
        <sz val="10"/>
        <rFont val="ＭＳ Ｐゴシック"/>
        <family val="2"/>
        <charset val="128"/>
      </rPr>
      <t xml:space="preserve">、最大</t>
    </r>
    <r>
      <rPr>
        <sz val="10"/>
        <rFont val="Arial"/>
        <family val="2"/>
        <charset val="128"/>
      </rPr>
      <t xml:space="preserve">10</t>
    </r>
    <r>
      <rPr>
        <sz val="10"/>
        <rFont val="ＭＳ Ｐゴシック"/>
        <family val="2"/>
        <charset val="128"/>
      </rPr>
      <t xml:space="preserve">重まで重ね掛け可能、継続時間</t>
    </r>
    <r>
      <rPr>
        <sz val="10"/>
        <rFont val="Arial"/>
        <family val="2"/>
        <charset val="128"/>
      </rPr>
      <t xml:space="preserve">10</t>
    </r>
    <r>
      <rPr>
        <sz val="10"/>
        <rFont val="ＭＳ Ｐゴシック"/>
        <family val="2"/>
        <charset val="128"/>
      </rPr>
      <t xml:space="preserve">秒。継続時間は重ごとに独立してカウントされる。</t>
    </r>
  </si>
  <si>
    <t xml:space="preserve">Starlight Engine</t>
  </si>
  <si>
    <t xml:space="preserve">スターライトエンジン</t>
  </si>
  <si>
    <t xml:space="preserve">ナイトビート</t>
  </si>
  <si>
    <r>
      <rPr>
        <sz val="10"/>
        <rFont val="ＭＳ Ｐゴシック"/>
        <family val="2"/>
        <charset val="128"/>
      </rPr>
      <t xml:space="preserve">『回避反撃』または『クイック支援』を発動した時、装備者の攻撃力</t>
    </r>
    <r>
      <rPr>
        <sz val="10"/>
        <rFont val="Arial"/>
        <family val="2"/>
        <charset val="128"/>
      </rPr>
      <t xml:space="preserve">+12/13.8/15.6/17.4/19.2%</t>
    </r>
    <r>
      <rPr>
        <sz val="10"/>
        <rFont val="ＭＳ Ｐゴシック"/>
        <family val="2"/>
        <charset val="128"/>
      </rPr>
      <t xml:space="preserve">、継続時間</t>
    </r>
    <r>
      <rPr>
        <sz val="10"/>
        <rFont val="Arial"/>
        <family val="2"/>
        <charset val="128"/>
      </rPr>
      <t xml:space="preserve">12</t>
    </r>
    <r>
      <rPr>
        <sz val="10"/>
        <rFont val="ＭＳ Ｐゴシック"/>
        <family val="2"/>
        <charset val="128"/>
      </rPr>
      <t xml:space="preserve">秒。</t>
    </r>
  </si>
  <si>
    <t xml:space="preserve">Steam Oven</t>
  </si>
  <si>
    <t xml:space="preserve">まな板の鯉</t>
  </si>
  <si>
    <t xml:space="preserve">こってりスープ</t>
  </si>
  <si>
    <r>
      <rPr>
        <sz val="10"/>
        <rFont val="ＭＳ Ｐゴシック"/>
        <family val="2"/>
        <charset val="128"/>
      </rPr>
      <t xml:space="preserve">エネルギー値</t>
    </r>
    <r>
      <rPr>
        <sz val="10"/>
        <rFont val="Arial"/>
        <family val="2"/>
        <charset val="128"/>
      </rPr>
      <t xml:space="preserve">10Pt</t>
    </r>
    <r>
      <rPr>
        <sz val="10"/>
        <rFont val="ＭＳ Ｐゴシック"/>
        <family val="2"/>
        <charset val="128"/>
      </rPr>
      <t xml:space="preserve">につき、装備者の衝撃力</t>
    </r>
    <r>
      <rPr>
        <sz val="10"/>
        <rFont val="Arial"/>
        <family val="2"/>
        <charset val="128"/>
      </rPr>
      <t xml:space="preserve">+2/2.3/2.6/2.9/3.2%</t>
    </r>
    <r>
      <rPr>
        <sz val="10"/>
        <rFont val="ＭＳ Ｐゴシック"/>
        <family val="2"/>
        <charset val="128"/>
      </rPr>
      <t xml:space="preserve">、最大</t>
    </r>
    <r>
      <rPr>
        <sz val="10"/>
        <rFont val="Arial"/>
        <family val="2"/>
        <charset val="128"/>
      </rPr>
      <t xml:space="preserve">8</t>
    </r>
    <r>
      <rPr>
        <sz val="10"/>
        <rFont val="ＭＳ Ｐゴシック"/>
        <family val="2"/>
        <charset val="128"/>
      </rPr>
      <t xml:space="preserve">重まで重ね掛け可能。エネルギーが消費された後でも、効果が</t>
    </r>
    <r>
      <rPr>
        <sz val="10"/>
        <rFont val="Arial"/>
        <family val="2"/>
        <charset val="128"/>
      </rPr>
      <t xml:space="preserve">8</t>
    </r>
    <r>
      <rPr>
        <sz val="10"/>
        <rFont val="ＭＳ Ｐゴシック"/>
        <family val="2"/>
        <charset val="128"/>
      </rPr>
      <t xml:space="preserve">秒持続する。継続時間は重ごとに独立してカウントされる。</t>
    </r>
  </si>
  <si>
    <t xml:space="preserve">Precious Fossilized Core</t>
  </si>
  <si>
    <t xml:space="preserve">貴重な石化コア</t>
  </si>
  <si>
    <t xml:space="preserve">巨獣ハンター</t>
  </si>
  <si>
    <r>
      <rPr>
        <sz val="10"/>
        <rFont val="ＭＳ Ｐゴシック"/>
        <family val="2"/>
        <charset val="128"/>
      </rPr>
      <t xml:space="preserve">ターゲットの</t>
    </r>
    <r>
      <rPr>
        <sz val="10"/>
        <rFont val="Arial"/>
        <family val="2"/>
        <charset val="128"/>
      </rPr>
      <t xml:space="preserve">HP</t>
    </r>
    <r>
      <rPr>
        <sz val="10"/>
        <rFont val="ＭＳ Ｐゴシック"/>
        <family val="2"/>
        <charset val="128"/>
      </rPr>
      <t xml:space="preserve">が</t>
    </r>
    <r>
      <rPr>
        <sz val="10"/>
        <rFont val="Arial"/>
        <family val="2"/>
        <charset val="128"/>
      </rPr>
      <t xml:space="preserve">50%</t>
    </r>
    <r>
      <rPr>
        <sz val="10"/>
        <rFont val="ＭＳ Ｐゴシック"/>
        <family val="2"/>
        <charset val="128"/>
      </rPr>
      <t xml:space="preserve">以上の時、装備者の与えるブレイク値</t>
    </r>
    <r>
      <rPr>
        <sz val="10"/>
        <rFont val="Arial"/>
        <family val="2"/>
        <charset val="128"/>
      </rPr>
      <t xml:space="preserve">+10/11.5/13/14.5/16%</t>
    </r>
    <r>
      <rPr>
        <sz val="10"/>
        <rFont val="ＭＳ Ｐゴシック"/>
        <family val="2"/>
        <charset val="128"/>
      </rPr>
      <t xml:space="preserve">。ターゲットの</t>
    </r>
    <r>
      <rPr>
        <sz val="10"/>
        <rFont val="Arial"/>
        <family val="2"/>
        <charset val="128"/>
      </rPr>
      <t xml:space="preserve">HP</t>
    </r>
    <r>
      <rPr>
        <sz val="10"/>
        <rFont val="ＭＳ Ｐゴシック"/>
        <family val="2"/>
        <charset val="128"/>
      </rPr>
      <t xml:space="preserve">が</t>
    </r>
    <r>
      <rPr>
        <sz val="10"/>
        <rFont val="Arial"/>
        <family val="2"/>
        <charset val="128"/>
      </rPr>
      <t xml:space="preserve">75%</t>
    </r>
    <r>
      <rPr>
        <sz val="10"/>
        <rFont val="ＭＳ Ｐゴシック"/>
        <family val="2"/>
        <charset val="128"/>
      </rPr>
      <t xml:space="preserve">以上の時、この効果が追加で</t>
    </r>
    <r>
      <rPr>
        <sz val="10"/>
        <rFont val="Arial"/>
        <family val="2"/>
        <charset val="128"/>
      </rPr>
      <t xml:space="preserve">+10/11.5/13/14.5/16%</t>
    </r>
    <r>
      <rPr>
        <sz val="10"/>
        <rFont val="ＭＳ Ｐゴシック"/>
        <family val="2"/>
        <charset val="128"/>
      </rPr>
      <t xml:space="preserve">。</t>
    </r>
  </si>
  <si>
    <t xml:space="preserve">Original Transmorpher</t>
  </si>
  <si>
    <t xml:space="preserve">正式版変身装置</t>
  </si>
  <si>
    <t xml:space="preserve">スターライトキーック！</t>
  </si>
  <si>
    <r>
      <rPr>
        <sz val="10"/>
        <rFont val="Arial"/>
        <family val="2"/>
        <charset val="128"/>
      </rPr>
      <t xml:space="preserve">HP</t>
    </r>
    <r>
      <rPr>
        <sz val="10"/>
        <rFont val="ＭＳ Ｐゴシック"/>
        <family val="2"/>
        <charset val="128"/>
      </rPr>
      <t xml:space="preserve">上限</t>
    </r>
    <r>
      <rPr>
        <sz val="10"/>
        <rFont val="Arial"/>
        <family val="2"/>
        <charset val="128"/>
      </rPr>
      <t xml:space="preserve">+8/9/10/11/12.5%</t>
    </r>
    <r>
      <rPr>
        <sz val="10"/>
        <rFont val="ＭＳ Ｐゴシック"/>
        <family val="2"/>
        <charset val="128"/>
      </rPr>
      <t xml:space="preserve">。敵の攻撃を受けた時、装備者の衝撃力</t>
    </r>
    <r>
      <rPr>
        <sz val="10"/>
        <rFont val="Arial"/>
        <family val="2"/>
        <charset val="128"/>
      </rPr>
      <t xml:space="preserve">+10/11.5/13/14.5/16%</t>
    </r>
    <r>
      <rPr>
        <sz val="10"/>
        <rFont val="ＭＳ Ｐゴシック"/>
        <family val="2"/>
        <charset val="128"/>
      </rPr>
      <t xml:space="preserve">、継続時間</t>
    </r>
    <r>
      <rPr>
        <sz val="10"/>
        <rFont val="Arial"/>
        <family val="2"/>
        <charset val="128"/>
      </rPr>
      <t xml:space="preserve">12</t>
    </r>
    <r>
      <rPr>
        <sz val="10"/>
        <rFont val="ＭＳ Ｐゴシック"/>
        <family val="2"/>
        <charset val="128"/>
      </rPr>
      <t xml:space="preserve">秒。</t>
    </r>
  </si>
  <si>
    <t xml:space="preserve">Weeping Gemini</t>
  </si>
  <si>
    <t xml:space="preserve">双生の涙</t>
  </si>
  <si>
    <t xml:space="preserve">啜泣の余波</t>
  </si>
  <si>
    <r>
      <rPr>
        <sz val="10"/>
        <rFont val="ＭＳ Ｐゴシック"/>
        <family val="2"/>
        <charset val="128"/>
      </rPr>
      <t xml:space="preserve">任意のメンバーが敵を状態異常にした時、装備者にバフ効果を</t>
    </r>
    <r>
      <rPr>
        <sz val="10"/>
        <rFont val="Arial"/>
        <family val="2"/>
        <charset val="128"/>
      </rPr>
      <t xml:space="preserve">1</t>
    </r>
    <r>
      <rPr>
        <sz val="10"/>
        <rFont val="ＭＳ Ｐゴシック"/>
        <family val="2"/>
        <charset val="128"/>
      </rPr>
      <t xml:space="preserve">重与える。バフ効果</t>
    </r>
    <r>
      <rPr>
        <sz val="10"/>
        <rFont val="Arial"/>
        <family val="2"/>
        <charset val="128"/>
      </rPr>
      <t xml:space="preserve">1</t>
    </r>
    <r>
      <rPr>
        <sz val="10"/>
        <rFont val="ＭＳ Ｐゴシック"/>
        <family val="2"/>
        <charset val="128"/>
      </rPr>
      <t xml:space="preserve">重につき、装備者の異常マスタリー</t>
    </r>
    <r>
      <rPr>
        <sz val="10"/>
        <rFont val="Arial"/>
        <family val="2"/>
        <charset val="128"/>
      </rPr>
      <t xml:space="preserve">+30/34/38/42/48Pt</t>
    </r>
    <r>
      <rPr>
        <sz val="10"/>
        <rFont val="ＭＳ Ｐゴシック"/>
        <family val="2"/>
        <charset val="128"/>
      </rPr>
      <t xml:space="preserve">、最大</t>
    </r>
    <r>
      <rPr>
        <sz val="10"/>
        <rFont val="Arial"/>
        <family val="2"/>
        <charset val="128"/>
      </rPr>
      <t xml:space="preserve">4</t>
    </r>
    <r>
      <rPr>
        <sz val="10"/>
        <rFont val="ＭＳ Ｐゴシック"/>
        <family val="2"/>
        <charset val="128"/>
      </rPr>
      <t xml:space="preserve">重まで重ね掛け可能。ターゲットがブレイク状態から復帰する、または死亡した時、バフ効果が終了する。継続時間は重ごとに独立してカウントされる。</t>
    </r>
  </si>
  <si>
    <t xml:space="preserve">Electro-Lip Gloss</t>
  </si>
  <si>
    <t xml:space="preserve">電撃リップグロス</t>
  </si>
  <si>
    <t xml:space="preserve">悩殺キッス</t>
  </si>
  <si>
    <r>
      <rPr>
        <sz val="10"/>
        <rFont val="ＭＳ Ｐゴシック"/>
        <family val="2"/>
        <charset val="128"/>
      </rPr>
      <t xml:space="preserve">フィールド上に状態異常の敵がいる時、装備者の攻撃力</t>
    </r>
    <r>
      <rPr>
        <sz val="10"/>
        <rFont val="Arial"/>
        <family val="2"/>
        <charset val="128"/>
      </rPr>
      <t xml:space="preserve">+10/11.5/13/14.5/16%</t>
    </r>
    <r>
      <rPr>
        <sz val="10"/>
        <rFont val="ＭＳ Ｐゴシック"/>
        <family val="2"/>
        <charset val="128"/>
      </rPr>
      <t xml:space="preserve">、ターゲットに与えるダメージが追加で</t>
    </r>
    <r>
      <rPr>
        <sz val="10"/>
        <rFont val="Arial"/>
        <family val="2"/>
        <charset val="128"/>
      </rPr>
      <t xml:space="preserve">+15/17.5/20/22.5/25%</t>
    </r>
    <r>
      <rPr>
        <sz val="10"/>
        <rFont val="ＭＳ Ｐゴシック"/>
        <family val="2"/>
        <charset val="128"/>
      </rPr>
      <t xml:space="preserve">。</t>
    </r>
  </si>
  <si>
    <t xml:space="preserve">Bunny Band</t>
  </si>
  <si>
    <t xml:space="preserve">ラビットチャージャー</t>
  </si>
  <si>
    <t xml:space="preserve">ウサギなでなで</t>
  </si>
  <si>
    <r>
      <rPr>
        <sz val="10"/>
        <rFont val="Arial"/>
        <family val="2"/>
        <charset val="128"/>
      </rPr>
      <t xml:space="preserve">HP</t>
    </r>
    <r>
      <rPr>
        <sz val="10"/>
        <rFont val="ＭＳ Ｐゴシック"/>
        <family val="2"/>
        <charset val="128"/>
      </rPr>
      <t xml:space="preserve">上限</t>
    </r>
    <r>
      <rPr>
        <sz val="10"/>
        <rFont val="Arial"/>
        <family val="2"/>
        <charset val="128"/>
      </rPr>
      <t xml:space="preserve">+8/9.2/10.4/11.6/12.8%</t>
    </r>
    <r>
      <rPr>
        <sz val="10"/>
        <rFont val="ＭＳ Ｐゴシック"/>
        <family val="2"/>
        <charset val="128"/>
      </rPr>
      <t xml:space="preserve">。シールドがある時、装備者の攻撃力</t>
    </r>
    <r>
      <rPr>
        <sz val="10"/>
        <rFont val="Arial"/>
        <family val="2"/>
        <charset val="128"/>
      </rPr>
      <t xml:space="preserve">+10/11.5/13/14.5/16%</t>
    </r>
    <r>
      <rPr>
        <sz val="10"/>
        <rFont val="ＭＳ Ｐゴシック"/>
        <family val="2"/>
        <charset val="128"/>
      </rPr>
      <t xml:space="preserve">。</t>
    </r>
  </si>
  <si>
    <t xml:space="preserve">Spring Embrace</t>
  </si>
  <si>
    <t xml:space="preserve">ホットスプリング</t>
  </si>
  <si>
    <t xml:space="preserve">飲泉</t>
  </si>
  <si>
    <r>
      <rPr>
        <sz val="10"/>
        <rFont val="ＭＳ Ｐゴシック"/>
        <family val="2"/>
        <charset val="128"/>
      </rPr>
      <t xml:space="preserve">自身の被ダメージ</t>
    </r>
    <r>
      <rPr>
        <sz val="10"/>
        <rFont val="Arial"/>
        <family val="2"/>
        <charset val="128"/>
      </rPr>
      <t xml:space="preserve">-7.5/8.5/9.5/10.5/12%</t>
    </r>
    <r>
      <rPr>
        <sz val="10"/>
        <rFont val="ＭＳ Ｐゴシック"/>
        <family val="2"/>
        <charset val="128"/>
      </rPr>
      <t xml:space="preserve">。敵の攻撃を受けた時、装備者のエネルギー獲得効率</t>
    </r>
    <r>
      <rPr>
        <sz val="10"/>
        <rFont val="Arial"/>
        <family val="2"/>
        <charset val="128"/>
      </rPr>
      <t xml:space="preserve">+10/11.5/13/14.5/16%</t>
    </r>
    <r>
      <rPr>
        <sz val="10"/>
        <rFont val="ＭＳ Ｐゴシック"/>
        <family val="2"/>
        <charset val="128"/>
      </rPr>
      <t xml:space="preserve">、継続時間</t>
    </r>
    <r>
      <rPr>
        <sz val="10"/>
        <rFont val="Arial"/>
        <family val="2"/>
        <charset val="128"/>
      </rPr>
      <t xml:space="preserve">12</t>
    </r>
    <r>
      <rPr>
        <sz val="10"/>
        <rFont val="ＭＳ Ｐゴシック"/>
        <family val="2"/>
        <charset val="128"/>
      </rPr>
      <t xml:space="preserve">秒。装備者がキャラ切替で退場する時、この効果は操作中のメンバーに引き継がれ、継続時間も更新される。同じパッシブ効果は重ね掛け不可。</t>
    </r>
  </si>
  <si>
    <t xml:space="preserve">The Vault</t>
  </si>
  <si>
    <t xml:space="preserve">ザ・ボールト</t>
  </si>
  <si>
    <t xml:space="preserve">金の亡者</t>
  </si>
  <si>
    <r>
      <rPr>
        <sz val="10"/>
        <rFont val="ＭＳ Ｐゴシック"/>
        <family val="2"/>
        <charset val="128"/>
      </rPr>
      <t xml:space="preserve">『強化特殊スキル』、『連携スキル』または『終結スキル』がエーテル属性ダメージを与えた時、チーム全体がターゲットに与えるダメージ</t>
    </r>
    <r>
      <rPr>
        <sz val="10"/>
        <rFont val="Arial"/>
        <family val="2"/>
        <charset val="128"/>
      </rPr>
      <t xml:space="preserve">+15/17.5/20/22/24%</t>
    </r>
    <r>
      <rPr>
        <sz val="10"/>
        <rFont val="ＭＳ Ｐゴシック"/>
        <family val="2"/>
        <charset val="128"/>
      </rPr>
      <t xml:space="preserve">、装備者のエネルギー自動回復</t>
    </r>
    <r>
      <rPr>
        <sz val="10"/>
        <rFont val="Arial"/>
        <family val="2"/>
        <charset val="128"/>
      </rPr>
      <t xml:space="preserve">+0.5/0.58/0.65/0.72/0.8Pt/</t>
    </r>
    <r>
      <rPr>
        <sz val="10"/>
        <rFont val="ＭＳ Ｐゴシック"/>
        <family val="2"/>
        <charset val="128"/>
      </rPr>
      <t xml:space="preserve">秒、継続時間</t>
    </r>
    <r>
      <rPr>
        <sz val="10"/>
        <rFont val="Arial"/>
        <family val="2"/>
        <charset val="128"/>
      </rPr>
      <t xml:space="preserve">2</t>
    </r>
    <r>
      <rPr>
        <sz val="10"/>
        <rFont val="ＭＳ Ｐゴシック"/>
        <family val="2"/>
        <charset val="128"/>
      </rPr>
      <t xml:space="preserve">秒。同じパッシブ効果は重ね掛け不可。</t>
    </r>
  </si>
  <si>
    <t xml:space="preserve">Housekeeper</t>
  </si>
  <si>
    <t xml:space="preserve">ハウスキーパー</t>
  </si>
  <si>
    <t xml:space="preserve">ご家庭で楽々チェーンソー</t>
  </si>
  <si>
    <r>
      <rPr>
        <sz val="10"/>
        <rFont val="ＭＳ Ｐゴシック"/>
        <family val="2"/>
        <charset val="128"/>
      </rPr>
      <t xml:space="preserve">控えにいる時、装備者のエネルギー自動回復</t>
    </r>
    <r>
      <rPr>
        <sz val="10"/>
        <rFont val="Arial"/>
        <family val="2"/>
        <charset val="128"/>
      </rPr>
      <t xml:space="preserve">+0.45/0.52/0.58/0.65/0.72Pt/</t>
    </r>
    <r>
      <rPr>
        <sz val="10"/>
        <rFont val="ＭＳ Ｐゴシック"/>
        <family val="2"/>
        <charset val="128"/>
      </rPr>
      <t xml:space="preserve">秒。『強化特殊スキル』が敵に命中すると、装備者の物理属性ダメージ</t>
    </r>
    <r>
      <rPr>
        <sz val="10"/>
        <rFont val="Arial"/>
        <family val="2"/>
        <charset val="128"/>
      </rPr>
      <t xml:space="preserve">+3/3.5/4/4.4/4.8%</t>
    </r>
    <r>
      <rPr>
        <sz val="10"/>
        <rFont val="ＭＳ Ｐゴシック"/>
        <family val="2"/>
        <charset val="128"/>
      </rPr>
      <t xml:space="preserve">、最大</t>
    </r>
    <r>
      <rPr>
        <sz val="10"/>
        <rFont val="Arial"/>
        <family val="2"/>
        <charset val="128"/>
      </rPr>
      <t xml:space="preserve">15</t>
    </r>
    <r>
      <rPr>
        <sz val="10"/>
        <rFont val="ＭＳ Ｐゴシック"/>
        <family val="2"/>
        <charset val="128"/>
      </rPr>
      <t xml:space="preserve">重まで重ね掛け可能、継続時間</t>
    </r>
    <r>
      <rPr>
        <sz val="10"/>
        <rFont val="Arial"/>
        <family val="2"/>
        <charset val="128"/>
      </rPr>
      <t xml:space="preserve">1</t>
    </r>
    <r>
      <rPr>
        <sz val="10"/>
        <rFont val="ＭＳ Ｐゴシック"/>
        <family val="2"/>
        <charset val="128"/>
      </rPr>
      <t xml:space="preserve">秒。重複して発動すると継続時間が更新される。</t>
    </r>
  </si>
  <si>
    <t xml:space="preserve">special-enhance</t>
  </si>
  <si>
    <t xml:space="preserve">bonus-phy</t>
  </si>
  <si>
    <t xml:space="preserve">Starlight Engine Replica</t>
  </si>
  <si>
    <t xml:space="preserve">なんちゃってスターライトエンジン</t>
  </si>
  <si>
    <t xml:space="preserve">ナイトビーム：改</t>
  </si>
  <si>
    <r>
      <rPr>
        <sz val="10"/>
        <rFont val="ＭＳ Ｐゴシック"/>
        <family val="2"/>
        <charset val="128"/>
      </rPr>
      <t xml:space="preserve">『通常攻撃』または『ダッシュ攻撃』が</t>
    </r>
    <r>
      <rPr>
        <sz val="10"/>
        <rFont val="Arial"/>
        <family val="2"/>
        <charset val="128"/>
      </rPr>
      <t xml:space="preserve">6</t>
    </r>
    <r>
      <rPr>
        <sz val="10"/>
        <rFont val="ＭＳ Ｐゴシック"/>
        <family val="2"/>
        <charset val="128"/>
      </rPr>
      <t xml:space="preserve">メートル以上離れた敵に命中すると、装備者がターゲットに与える物理属性ダメージ</t>
    </r>
    <r>
      <rPr>
        <sz val="10"/>
        <rFont val="Arial"/>
        <family val="2"/>
        <charset val="128"/>
      </rPr>
      <t xml:space="preserve">+36/41/46.5/52/57.5%</t>
    </r>
    <r>
      <rPr>
        <sz val="10"/>
        <rFont val="ＭＳ Ｐゴシック"/>
        <family val="2"/>
        <charset val="128"/>
      </rPr>
      <t xml:space="preserve">、継続時間</t>
    </r>
    <r>
      <rPr>
        <sz val="10"/>
        <rFont val="Arial"/>
        <family val="2"/>
        <charset val="128"/>
      </rPr>
      <t xml:space="preserve">8</t>
    </r>
    <r>
      <rPr>
        <sz val="10"/>
        <rFont val="ＭＳ Ｐゴシック"/>
        <family val="2"/>
        <charset val="128"/>
      </rPr>
      <t xml:space="preserve">秒。</t>
    </r>
  </si>
  <si>
    <t xml:space="preserve">Drill Rig - Red Axis</t>
  </si>
  <si>
    <t xml:space="preserve">ドリルリグ‐レッドシャフト</t>
  </si>
  <si>
    <t xml:space="preserve">グレンドリル</t>
  </si>
  <si>
    <r>
      <rPr>
        <sz val="10"/>
        <rFont val="ＭＳ Ｐゴシック"/>
        <family val="2"/>
        <charset val="128"/>
      </rPr>
      <t xml:space="preserve">『強化特殊スキル』または『連携スキル』を発動した時、『通常攻撃』と『ダッシュ攻撃』による電気属性ダメージ</t>
    </r>
    <r>
      <rPr>
        <sz val="10"/>
        <rFont val="Arial"/>
        <family val="2"/>
        <charset val="128"/>
      </rPr>
      <t xml:space="preserve">+50/57.5/65/72.5/80%</t>
    </r>
    <r>
      <rPr>
        <sz val="10"/>
        <rFont val="ＭＳ Ｐゴシック"/>
        <family val="2"/>
        <charset val="128"/>
      </rPr>
      <t xml:space="preserve">、継続時間</t>
    </r>
    <r>
      <rPr>
        <sz val="10"/>
        <rFont val="Arial"/>
        <family val="2"/>
        <charset val="128"/>
      </rPr>
      <t xml:space="preserve">10</t>
    </r>
    <r>
      <rPr>
        <sz val="10"/>
        <rFont val="ＭＳ Ｐゴシック"/>
        <family val="2"/>
        <charset val="128"/>
      </rPr>
      <t xml:space="preserve">秒。</t>
    </r>
    <r>
      <rPr>
        <sz val="10"/>
        <rFont val="Arial"/>
        <family val="2"/>
        <charset val="128"/>
      </rPr>
      <t xml:space="preserve">15</t>
    </r>
    <r>
      <rPr>
        <sz val="10"/>
        <rFont val="ＭＳ Ｐゴシック"/>
        <family val="2"/>
        <charset val="128"/>
      </rPr>
      <t xml:space="preserve">秒に</t>
    </r>
    <r>
      <rPr>
        <sz val="10"/>
        <rFont val="Arial"/>
        <family val="2"/>
        <charset val="128"/>
      </rPr>
      <t xml:space="preserve">1</t>
    </r>
    <r>
      <rPr>
        <sz val="10"/>
        <rFont val="ＭＳ Ｐゴシック"/>
        <family val="2"/>
        <charset val="128"/>
      </rPr>
      <t xml:space="preserve">回のみ発動可能。</t>
    </r>
  </si>
  <si>
    <t xml:space="preserve">basic dodge-dash</t>
  </si>
  <si>
    <t xml:space="preserve">Big Cylinder</t>
  </si>
  <si>
    <t xml:space="preserve">ビガー・シリンダー</t>
  </si>
  <si>
    <t xml:space="preserve">10トンジャッキ</t>
  </si>
  <si>
    <r>
      <rPr>
        <sz val="10"/>
        <rFont val="ＭＳ Ｐゴシック"/>
        <family val="2"/>
        <charset val="128"/>
      </rPr>
      <t xml:space="preserve">自身の被ダメージ</t>
    </r>
    <r>
      <rPr>
        <sz val="10"/>
        <rFont val="Arial"/>
        <family val="2"/>
        <charset val="128"/>
      </rPr>
      <t xml:space="preserve">-7.5/8.5/9.5/10.5/12%</t>
    </r>
    <r>
      <rPr>
        <sz val="10"/>
        <rFont val="ＭＳ Ｐゴシック"/>
        <family val="2"/>
        <charset val="128"/>
      </rPr>
      <t xml:space="preserve">。敵の攻撃を受けた後、次の攻撃が敵に命中すると、装備者の防御力</t>
    </r>
    <r>
      <rPr>
        <sz val="10"/>
        <rFont val="Arial"/>
        <family val="2"/>
        <charset val="128"/>
      </rPr>
      <t xml:space="preserve">600/690/780/870/960%</t>
    </r>
    <r>
      <rPr>
        <sz val="10"/>
        <rFont val="ＭＳ Ｐゴシック"/>
        <family val="2"/>
        <charset val="128"/>
      </rPr>
      <t xml:space="preserve">分のダメージを追加で与え、必ず会心が出る、</t>
    </r>
    <r>
      <rPr>
        <sz val="10"/>
        <rFont val="Arial"/>
        <family val="2"/>
        <charset val="128"/>
      </rPr>
      <t xml:space="preserve">7.5</t>
    </r>
    <r>
      <rPr>
        <sz val="10"/>
        <rFont val="ＭＳ Ｐゴシック"/>
        <family val="2"/>
        <charset val="128"/>
      </rPr>
      <t xml:space="preserve">秒に</t>
    </r>
    <r>
      <rPr>
        <sz val="10"/>
        <rFont val="Arial"/>
        <family val="2"/>
        <charset val="128"/>
      </rPr>
      <t xml:space="preserve">1</t>
    </r>
    <r>
      <rPr>
        <sz val="10"/>
        <rFont val="ＭＳ Ｐゴシック"/>
        <family val="2"/>
        <charset val="128"/>
      </rPr>
      <t xml:space="preserve">回のみ発動可能。</t>
    </r>
  </si>
  <si>
    <t xml:space="preserve">Bashful Demon</t>
  </si>
  <si>
    <t xml:space="preserve">恥じらう悪面</t>
  </si>
  <si>
    <t xml:space="preserve">饕餮の相</t>
  </si>
  <si>
    <r>
      <rPr>
        <sz val="10"/>
        <rFont val="ＭＳ Ｐゴシック"/>
        <family val="2"/>
        <charset val="128"/>
      </rPr>
      <t xml:space="preserve">氷属性ダメージ</t>
    </r>
    <r>
      <rPr>
        <sz val="10"/>
        <rFont val="Arial"/>
        <family val="2"/>
        <charset val="128"/>
      </rPr>
      <t xml:space="preserve">+15/17.5/20/22/24%</t>
    </r>
    <r>
      <rPr>
        <sz val="10"/>
        <rFont val="ＭＳ Ｐゴシック"/>
        <family val="2"/>
        <charset val="128"/>
      </rPr>
      <t xml:space="preserve">。『強化特殊スキル』を発動する度に、チーム全体の攻撃力</t>
    </r>
    <r>
      <rPr>
        <sz val="10"/>
        <rFont val="Arial"/>
        <family val="2"/>
        <charset val="128"/>
      </rPr>
      <t xml:space="preserve">+2/2.3/2.6/2.9/3.2%</t>
    </r>
    <r>
      <rPr>
        <sz val="10"/>
        <rFont val="ＭＳ Ｐゴシック"/>
        <family val="2"/>
        <charset val="128"/>
      </rPr>
      <t xml:space="preserve">、最大</t>
    </r>
    <r>
      <rPr>
        <sz val="10"/>
        <rFont val="Arial"/>
        <family val="2"/>
        <charset val="128"/>
      </rPr>
      <t xml:space="preserve">4</t>
    </r>
    <r>
      <rPr>
        <sz val="10"/>
        <rFont val="ＭＳ Ｐゴシック"/>
        <family val="2"/>
        <charset val="128"/>
      </rPr>
      <t xml:space="preserve">重まで重ね掛け可能、継続時間</t>
    </r>
    <r>
      <rPr>
        <sz val="10"/>
        <rFont val="Arial"/>
        <family val="2"/>
        <charset val="128"/>
      </rPr>
      <t xml:space="preserve">12</t>
    </r>
    <r>
      <rPr>
        <sz val="10"/>
        <rFont val="ＭＳ Ｐゴシック"/>
        <family val="2"/>
        <charset val="128"/>
      </rPr>
      <t xml:space="preserve">秒。重複して発動すると継続時間が更新される。同じパッシブ効果は重ね掛け不可。</t>
    </r>
  </si>
  <si>
    <t xml:space="preserve">bonus-ice</t>
  </si>
  <si>
    <t xml:space="preserve">Cannon Rotor</t>
  </si>
  <si>
    <t xml:space="preserve">キャノンローラー</t>
  </si>
  <si>
    <t xml:space="preserve">規格外口径</t>
  </si>
  <si>
    <r>
      <rPr>
        <sz val="10"/>
        <rFont val="ＭＳ Ｐゴシック"/>
        <family val="2"/>
        <charset val="128"/>
      </rPr>
      <t xml:space="preserve">攻撃力</t>
    </r>
    <r>
      <rPr>
        <sz val="10"/>
        <rFont val="Arial"/>
        <family val="2"/>
        <charset val="128"/>
      </rPr>
      <t xml:space="preserve">+7.5/8.6/9.7/10.8/12%</t>
    </r>
    <r>
      <rPr>
        <sz val="10"/>
        <rFont val="ＭＳ Ｐゴシック"/>
        <family val="2"/>
        <charset val="128"/>
      </rPr>
      <t xml:space="preserve">。攻撃が敵に命中し、なおかつ会心が出た時、攻撃力</t>
    </r>
    <r>
      <rPr>
        <sz val="10"/>
        <rFont val="Arial"/>
        <family val="2"/>
        <charset val="128"/>
      </rPr>
      <t xml:space="preserve">200%</t>
    </r>
    <r>
      <rPr>
        <sz val="10"/>
        <rFont val="ＭＳ Ｐゴシック"/>
        <family val="2"/>
        <charset val="128"/>
      </rPr>
      <t xml:space="preserve">分のダメージを追加で与える、</t>
    </r>
    <r>
      <rPr>
        <sz val="10"/>
        <rFont val="Arial"/>
        <family val="2"/>
        <charset val="128"/>
      </rPr>
      <t xml:space="preserve">8/7.5/7/6.5/6</t>
    </r>
    <r>
      <rPr>
        <sz val="10"/>
        <rFont val="ＭＳ Ｐゴシック"/>
        <family val="2"/>
        <charset val="128"/>
      </rPr>
      <t xml:space="preserve">秒に</t>
    </r>
    <r>
      <rPr>
        <sz val="10"/>
        <rFont val="Arial"/>
        <family val="2"/>
        <charset val="128"/>
      </rPr>
      <t xml:space="preserve">1</t>
    </r>
    <r>
      <rPr>
        <sz val="10"/>
        <rFont val="ＭＳ Ｐゴシック"/>
        <family val="2"/>
        <charset val="128"/>
      </rPr>
      <t xml:space="preserve">回のみ発動可能。</t>
    </r>
  </si>
  <si>
    <t xml:space="preserve">Unfettered Game Ball</t>
  </si>
  <si>
    <t xml:space="preserve">ゲームボール</t>
  </si>
  <si>
    <t xml:space="preserve">ゲーム、スタート！</t>
  </si>
  <si>
    <r>
      <rPr>
        <sz val="10"/>
        <rFont val="ＭＳ Ｐゴシック"/>
        <family val="2"/>
        <charset val="128"/>
      </rPr>
      <t xml:space="preserve">装備者の攻撃が敵に命中し、なおかつタイプの有利効果が発生した時、チーム全体の該当ターゲットに対する会心率</t>
    </r>
    <r>
      <rPr>
        <sz val="10"/>
        <rFont val="Arial"/>
        <family val="2"/>
        <charset val="128"/>
      </rPr>
      <t xml:space="preserve">+12/13.5/15.5/17.5/20%</t>
    </r>
    <r>
      <rPr>
        <sz val="10"/>
        <rFont val="ＭＳ Ｐゴシック"/>
        <family val="2"/>
        <charset val="128"/>
      </rPr>
      <t xml:space="preserve">、継続時間</t>
    </r>
    <r>
      <rPr>
        <sz val="10"/>
        <rFont val="Arial"/>
        <family val="2"/>
        <charset val="128"/>
      </rPr>
      <t xml:space="preserve">12</t>
    </r>
    <r>
      <rPr>
        <sz val="10"/>
        <rFont val="ＭＳ Ｐゴシック"/>
        <family val="2"/>
        <charset val="128"/>
      </rPr>
      <t xml:space="preserve">秒。同じパッシブ効果は重ね掛け不可。</t>
    </r>
  </si>
  <si>
    <t xml:space="preserve">Six Shooter</t>
  </si>
  <si>
    <t xml:space="preserve">シックスシューター</t>
  </si>
  <si>
    <t xml:space="preserve">バーン！</t>
  </si>
  <si>
    <r>
      <rPr>
        <sz val="10"/>
        <rFont val="Arial"/>
        <family val="2"/>
        <charset val="128"/>
      </rPr>
      <t xml:space="preserve">3</t>
    </r>
    <r>
      <rPr>
        <sz val="10"/>
        <rFont val="ＭＳ Ｐゴシック"/>
        <family val="2"/>
        <charset val="128"/>
      </rPr>
      <t xml:space="preserve">秒ごとに装備者にパワーを</t>
    </r>
    <r>
      <rPr>
        <sz val="10"/>
        <rFont val="Arial"/>
        <family val="2"/>
        <charset val="128"/>
      </rPr>
      <t xml:space="preserve">1</t>
    </r>
    <r>
      <rPr>
        <sz val="10"/>
        <rFont val="ＭＳ Ｐゴシック"/>
        <family val="2"/>
        <charset val="128"/>
      </rPr>
      <t xml:space="preserve">重与える、最大</t>
    </r>
    <r>
      <rPr>
        <sz val="10"/>
        <rFont val="Arial"/>
        <family val="2"/>
        <charset val="128"/>
      </rPr>
      <t xml:space="preserve">6</t>
    </r>
    <r>
      <rPr>
        <sz val="10"/>
        <rFont val="ＭＳ Ｐゴシック"/>
        <family val="2"/>
        <charset val="128"/>
      </rPr>
      <t xml:space="preserve">重まで重ね掛け可能。『強化特殊スキル』を発動した時、すべてのパワーを消費し、パワー</t>
    </r>
    <r>
      <rPr>
        <sz val="10"/>
        <rFont val="Arial"/>
        <family val="2"/>
        <charset val="128"/>
      </rPr>
      <t xml:space="preserve">1</t>
    </r>
    <r>
      <rPr>
        <sz val="10"/>
        <rFont val="ＭＳ Ｐゴシック"/>
        <family val="2"/>
        <charset val="128"/>
      </rPr>
      <t xml:space="preserve">重につき、スキルの与えるブレイク値</t>
    </r>
    <r>
      <rPr>
        <sz val="10"/>
        <rFont val="Arial"/>
        <family val="2"/>
        <charset val="128"/>
      </rPr>
      <t xml:space="preserve">+4/4.6/5.2/5.8/6.4%</t>
    </r>
    <r>
      <rPr>
        <sz val="10"/>
        <rFont val="ＭＳ Ｐゴシック"/>
        <family val="2"/>
        <charset val="128"/>
      </rPr>
      <t xml:space="preserve">。</t>
    </r>
  </si>
  <si>
    <t xml:space="preserve">Steel Cushion</t>
  </si>
  <si>
    <t xml:space="preserve">鋼の肉球</t>
  </si>
  <si>
    <t xml:space="preserve">合金キャットクロー</t>
  </si>
  <si>
    <r>
      <rPr>
        <sz val="10"/>
        <rFont val="ＭＳ Ｐゴシック"/>
        <family val="2"/>
        <charset val="128"/>
      </rPr>
      <t xml:space="preserve">物理属性ダメージ</t>
    </r>
    <r>
      <rPr>
        <sz val="10"/>
        <rFont val="Arial"/>
        <family val="2"/>
        <charset val="128"/>
      </rPr>
      <t xml:space="preserve">+20/25/30/35/40%</t>
    </r>
    <r>
      <rPr>
        <sz val="10"/>
        <rFont val="ＭＳ Ｐゴシック"/>
        <family val="2"/>
        <charset val="128"/>
      </rPr>
      <t xml:space="preserve">。敵を背後から攻撃し、なおかつ命中した時、装備者の与ダメージ</t>
    </r>
    <r>
      <rPr>
        <sz val="10"/>
        <rFont val="Arial"/>
        <family val="2"/>
        <charset val="128"/>
      </rPr>
      <t xml:space="preserve">+25/31.5/38/44/50%</t>
    </r>
    <r>
      <rPr>
        <sz val="10"/>
        <rFont val="ＭＳ Ｐゴシック"/>
        <family val="2"/>
        <charset val="128"/>
      </rPr>
      <t xml:space="preserve">。</t>
    </r>
  </si>
  <si>
    <t xml:space="preserve">The Brimstone</t>
  </si>
  <si>
    <t xml:space="preserve">ブリムストーン</t>
  </si>
  <si>
    <t xml:space="preserve">灼熱の吐息</t>
  </si>
  <si>
    <r>
      <rPr>
        <sz val="10"/>
        <rFont val="ＭＳ Ｐゴシック"/>
        <family val="2"/>
        <charset val="128"/>
      </rPr>
      <t xml:space="preserve">『通常攻撃』、『ダッシュ攻撃』または『回避反撃』が敵に命中すると、装備者の攻撃力</t>
    </r>
    <r>
      <rPr>
        <sz val="10"/>
        <rFont val="Arial"/>
        <family val="2"/>
        <charset val="128"/>
      </rPr>
      <t xml:space="preserve">+3.5/4.4/5.2/6/7%</t>
    </r>
    <r>
      <rPr>
        <sz val="10"/>
        <rFont val="ＭＳ Ｐゴシック"/>
        <family val="2"/>
        <charset val="128"/>
      </rPr>
      <t xml:space="preserve">、最大</t>
    </r>
    <r>
      <rPr>
        <sz val="10"/>
        <rFont val="Arial"/>
        <family val="2"/>
        <charset val="128"/>
      </rPr>
      <t xml:space="preserve">8</t>
    </r>
    <r>
      <rPr>
        <sz val="10"/>
        <rFont val="ＭＳ Ｐゴシック"/>
        <family val="2"/>
        <charset val="128"/>
      </rPr>
      <t xml:space="preserve">重まで重ね掛け可能、継続時間</t>
    </r>
    <r>
      <rPr>
        <sz val="10"/>
        <rFont val="Arial"/>
        <family val="2"/>
        <charset val="128"/>
      </rPr>
      <t xml:space="preserve">8</t>
    </r>
    <r>
      <rPr>
        <sz val="10"/>
        <rFont val="ＭＳ Ｐゴシック"/>
        <family val="2"/>
        <charset val="128"/>
      </rPr>
      <t xml:space="preserve">秒。</t>
    </r>
    <r>
      <rPr>
        <sz val="10"/>
        <rFont val="Arial"/>
        <family val="2"/>
        <charset val="128"/>
      </rPr>
      <t xml:space="preserve">0.5</t>
    </r>
    <r>
      <rPr>
        <sz val="10"/>
        <rFont val="ＭＳ Ｐゴシック"/>
        <family val="2"/>
        <charset val="128"/>
      </rPr>
      <t xml:space="preserve">秒に</t>
    </r>
    <r>
      <rPr>
        <sz val="10"/>
        <rFont val="Arial"/>
        <family val="2"/>
        <charset val="128"/>
      </rPr>
      <t xml:space="preserve">1</t>
    </r>
    <r>
      <rPr>
        <sz val="10"/>
        <rFont val="ＭＳ Ｐゴシック"/>
        <family val="2"/>
        <charset val="128"/>
      </rPr>
      <t xml:space="preserve">回のみ発動可能、継続時間は重ごとに独立してカウントされる。</t>
    </r>
  </si>
  <si>
    <t xml:space="preserve">Helfire Gears</t>
  </si>
  <si>
    <t xml:space="preserve">燃獄ギア</t>
  </si>
  <si>
    <t xml:space="preserve">熱血施工</t>
  </si>
  <si>
    <r>
      <rPr>
        <sz val="10"/>
        <rFont val="ＭＳ Ｐゴシック"/>
        <family val="2"/>
        <charset val="128"/>
      </rPr>
      <t xml:space="preserve">控えにいる時、装備者のエネルギー自動回復</t>
    </r>
    <r>
      <rPr>
        <sz val="10"/>
        <rFont val="Arial"/>
        <family val="2"/>
        <charset val="128"/>
      </rPr>
      <t xml:space="preserve">+0.6/0.75/0.9/1.05/1.2Pt/</t>
    </r>
    <r>
      <rPr>
        <sz val="10"/>
        <rFont val="ＭＳ Ｐゴシック"/>
        <family val="2"/>
        <charset val="128"/>
      </rPr>
      <t xml:space="preserve">秒。『強化特殊スキル』を発動する度に、装備者の衝撃力</t>
    </r>
    <r>
      <rPr>
        <sz val="10"/>
        <rFont val="Arial"/>
        <family val="2"/>
        <charset val="128"/>
      </rPr>
      <t xml:space="preserve">+10/12.5/15/17.5/20%</t>
    </r>
    <r>
      <rPr>
        <sz val="10"/>
        <rFont val="ＭＳ Ｐゴシック"/>
        <family val="2"/>
        <charset val="128"/>
      </rPr>
      <t xml:space="preserve">、最大</t>
    </r>
    <r>
      <rPr>
        <sz val="10"/>
        <rFont val="Arial"/>
        <family val="2"/>
        <charset val="128"/>
      </rPr>
      <t xml:space="preserve">2</t>
    </r>
    <r>
      <rPr>
        <sz val="10"/>
        <rFont val="ＭＳ Ｐゴシック"/>
        <family val="2"/>
        <charset val="128"/>
      </rPr>
      <t xml:space="preserve">重まで重ね掛け可能、継続時間</t>
    </r>
    <r>
      <rPr>
        <sz val="10"/>
        <rFont val="Arial"/>
        <family val="2"/>
        <charset val="128"/>
      </rPr>
      <t xml:space="preserve">10</t>
    </r>
    <r>
      <rPr>
        <sz val="10"/>
        <rFont val="ＭＳ Ｐゴシック"/>
        <family val="2"/>
        <charset val="128"/>
      </rPr>
      <t xml:space="preserve">秒。継続時間は重ごとに独立してカウントされる。</t>
    </r>
  </si>
  <si>
    <t xml:space="preserve">The Restrained</t>
  </si>
  <si>
    <t xml:space="preserve">束縛されし者</t>
  </si>
  <si>
    <t xml:space="preserve">束縛の枷鎖</t>
  </si>
  <si>
    <r>
      <rPr>
        <sz val="10"/>
        <rFont val="ＭＳ Ｐゴシック"/>
        <family val="2"/>
        <charset val="128"/>
      </rPr>
      <t xml:space="preserve">攻撃が敵に命中した時、『通常攻撃』による与ダメージとブレイク値</t>
    </r>
    <r>
      <rPr>
        <sz val="10"/>
        <rFont val="Arial"/>
        <family val="2"/>
        <charset val="128"/>
      </rPr>
      <t xml:space="preserve">+6/7.5/9/10.5/12%</t>
    </r>
    <r>
      <rPr>
        <sz val="10"/>
        <rFont val="ＭＳ Ｐゴシック"/>
        <family val="2"/>
        <charset val="128"/>
      </rPr>
      <t xml:space="preserve">、最大</t>
    </r>
    <r>
      <rPr>
        <sz val="10"/>
        <rFont val="Arial"/>
        <family val="2"/>
        <charset val="128"/>
      </rPr>
      <t xml:space="preserve">5</t>
    </r>
    <r>
      <rPr>
        <sz val="10"/>
        <rFont val="ＭＳ Ｐゴシック"/>
        <family val="2"/>
        <charset val="128"/>
      </rPr>
      <t xml:space="preserve">重まで重ね掛け可能、継続時間</t>
    </r>
    <r>
      <rPr>
        <sz val="10"/>
        <rFont val="Arial"/>
        <family val="2"/>
        <charset val="128"/>
      </rPr>
      <t xml:space="preserve">8</t>
    </r>
    <r>
      <rPr>
        <sz val="10"/>
        <rFont val="ＭＳ Ｐゴシック"/>
        <family val="2"/>
        <charset val="128"/>
      </rPr>
      <t xml:space="preserve">秒。</t>
    </r>
    <r>
      <rPr>
        <sz val="10"/>
        <rFont val="Arial"/>
        <family val="2"/>
        <charset val="128"/>
      </rPr>
      <t xml:space="preserve">1</t>
    </r>
    <r>
      <rPr>
        <sz val="10"/>
        <rFont val="ＭＳ Ｐゴシック"/>
        <family val="2"/>
        <charset val="128"/>
      </rPr>
      <t xml:space="preserve">回の攻撃において、</t>
    </r>
    <r>
      <rPr>
        <sz val="10"/>
        <rFont val="Arial"/>
        <family val="2"/>
        <charset val="128"/>
      </rPr>
      <t xml:space="preserve">1</t>
    </r>
    <r>
      <rPr>
        <sz val="10"/>
        <rFont val="ＭＳ Ｐゴシック"/>
        <family val="2"/>
        <charset val="128"/>
      </rPr>
      <t xml:space="preserve">回のみ発動可能。継続時間は重ごとに独立してカウントされる。</t>
    </r>
  </si>
  <si>
    <t xml:space="preserve">Fusion Compiler</t>
  </si>
  <si>
    <t xml:space="preserve">複合コンパイラ</t>
  </si>
  <si>
    <t xml:space="preserve">データストリーム</t>
  </si>
  <si>
    <r>
      <rPr>
        <sz val="10"/>
        <rFont val="ＭＳ Ｐゴシック"/>
        <family val="2"/>
        <charset val="128"/>
      </rPr>
      <t xml:space="preserve">攻撃力</t>
    </r>
    <r>
      <rPr>
        <sz val="10"/>
        <rFont val="Arial"/>
        <family val="2"/>
        <charset val="128"/>
      </rPr>
      <t xml:space="preserve">+12/15/18/21/24%</t>
    </r>
    <r>
      <rPr>
        <sz val="10"/>
        <rFont val="ＭＳ Ｐゴシック"/>
        <family val="2"/>
        <charset val="128"/>
      </rPr>
      <t xml:space="preserve">。『特殊スキル』または『強化特殊スキル』を発動する度に、装備者の異常マスタリー</t>
    </r>
    <r>
      <rPr>
        <sz val="10"/>
        <rFont val="Arial"/>
        <family val="2"/>
        <charset val="128"/>
      </rPr>
      <t xml:space="preserve">+25/31/37/43/50Pt</t>
    </r>
    <r>
      <rPr>
        <sz val="10"/>
        <rFont val="ＭＳ Ｐゴシック"/>
        <family val="2"/>
        <charset val="128"/>
      </rPr>
      <t xml:space="preserve">、最大</t>
    </r>
    <r>
      <rPr>
        <sz val="10"/>
        <rFont val="Arial"/>
        <family val="2"/>
        <charset val="128"/>
      </rPr>
      <t xml:space="preserve">3</t>
    </r>
    <r>
      <rPr>
        <sz val="10"/>
        <rFont val="ＭＳ Ｐゴシック"/>
        <family val="2"/>
        <charset val="128"/>
      </rPr>
      <t xml:space="preserve">重まで重ね掛け可能、継続時間</t>
    </r>
    <r>
      <rPr>
        <sz val="10"/>
        <rFont val="Arial"/>
        <family val="2"/>
        <charset val="128"/>
      </rPr>
      <t xml:space="preserve">8</t>
    </r>
    <r>
      <rPr>
        <sz val="10"/>
        <rFont val="ＭＳ Ｐゴシック"/>
        <family val="2"/>
        <charset val="128"/>
      </rPr>
      <t xml:space="preserve">秒。継続時間は重ごとに独立してカウントされる。</t>
    </r>
  </si>
  <si>
    <t xml:space="preserve">Deep Sea Visitor</t>
  </si>
  <si>
    <t xml:space="preserve">ディープシー・ビジター</t>
  </si>
  <si>
    <t xml:space="preserve">諸海の王</t>
  </si>
  <si>
    <r>
      <rPr>
        <sz val="10"/>
        <rFont val="ＭＳ Ｐゴシック"/>
        <family val="2"/>
        <charset val="128"/>
      </rPr>
      <t xml:space="preserve">氷属性ダメージ</t>
    </r>
    <r>
      <rPr>
        <sz val="10"/>
        <rFont val="Arial"/>
        <family val="2"/>
        <charset val="128"/>
      </rPr>
      <t xml:space="preserve">+25/31.5/38/44.5/50%</t>
    </r>
    <r>
      <rPr>
        <sz val="10"/>
        <rFont val="ＭＳ Ｐゴシック"/>
        <family val="2"/>
        <charset val="128"/>
      </rPr>
      <t xml:space="preserve">。『通常攻撃』が敵に命中した時、装備者の会心率</t>
    </r>
    <r>
      <rPr>
        <sz val="10"/>
        <rFont val="Arial"/>
        <family val="2"/>
        <charset val="128"/>
      </rPr>
      <t xml:space="preserve">+10/12.5/15/17.5/20%</t>
    </r>
    <r>
      <rPr>
        <sz val="10"/>
        <rFont val="ＭＳ Ｐゴシック"/>
        <family val="2"/>
        <charset val="128"/>
      </rPr>
      <t xml:space="preserve">、継続時間</t>
    </r>
    <r>
      <rPr>
        <sz val="10"/>
        <rFont val="Arial"/>
        <family val="2"/>
        <charset val="128"/>
      </rPr>
      <t xml:space="preserve">8</t>
    </r>
    <r>
      <rPr>
        <sz val="10"/>
        <rFont val="ＭＳ Ｐゴシック"/>
        <family val="2"/>
        <charset val="128"/>
      </rPr>
      <t xml:space="preserve">秒。『ダッシュ攻撃』で氷属性ダメージを与えた時、装備者の会心率が追加で</t>
    </r>
    <r>
      <rPr>
        <sz val="10"/>
        <rFont val="Arial"/>
        <family val="2"/>
        <charset val="128"/>
      </rPr>
      <t xml:space="preserve">+10/12.5/15/17.5/20%</t>
    </r>
    <r>
      <rPr>
        <sz val="10"/>
        <rFont val="ＭＳ Ｐゴシック"/>
        <family val="2"/>
        <charset val="128"/>
      </rPr>
      <t xml:space="preserve">、継続時間</t>
    </r>
    <r>
      <rPr>
        <sz val="10"/>
        <rFont val="Arial"/>
        <family val="2"/>
        <charset val="128"/>
      </rPr>
      <t xml:space="preserve">15</t>
    </r>
    <r>
      <rPr>
        <sz val="10"/>
        <rFont val="ＭＳ Ｐゴシック"/>
        <family val="2"/>
        <charset val="128"/>
      </rPr>
      <t xml:space="preserve">秒、継続時間はバフ効果ごとに独立してカウントされる。</t>
    </r>
  </si>
  <si>
    <t xml:space="preserve">Weeping Cradle</t>
  </si>
  <si>
    <t xml:space="preserve">啜り泣くゆりかご</t>
  </si>
  <si>
    <t xml:space="preserve">お・し・お・き</t>
  </si>
  <si>
    <r>
      <rPr>
        <sz val="10"/>
        <rFont val="ＭＳ Ｐゴシック"/>
        <family val="2"/>
        <charset val="128"/>
      </rPr>
      <t xml:space="preserve">控えにいる時、装備者のエネルギー自動回復</t>
    </r>
    <r>
      <rPr>
        <sz val="10"/>
        <rFont val="Arial"/>
        <family val="2"/>
        <charset val="128"/>
      </rPr>
      <t xml:space="preserve">+0.6/0.75/0.9/1.05/1.2Pt/</t>
    </r>
    <r>
      <rPr>
        <sz val="10"/>
        <rFont val="ＭＳ Ｐゴシック"/>
        <family val="2"/>
        <charset val="128"/>
      </rPr>
      <t xml:space="preserve">秒。装備者の攻撃が敵に命中した時、チーム全体のターゲットに与えるダメージ</t>
    </r>
    <r>
      <rPr>
        <sz val="10"/>
        <rFont val="Arial"/>
        <family val="2"/>
        <charset val="128"/>
      </rPr>
      <t xml:space="preserve">+10/12.5/15/17.5/20%</t>
    </r>
    <r>
      <rPr>
        <sz val="10"/>
        <rFont val="ＭＳ Ｐゴシック"/>
        <family val="2"/>
        <charset val="128"/>
      </rPr>
      <t xml:space="preserve">、継続時間</t>
    </r>
    <r>
      <rPr>
        <sz val="10"/>
        <rFont val="Arial"/>
        <family val="2"/>
        <charset val="128"/>
      </rPr>
      <t xml:space="preserve">3</t>
    </r>
    <r>
      <rPr>
        <sz val="10"/>
        <rFont val="ＭＳ Ｐゴシック"/>
        <family val="2"/>
        <charset val="128"/>
      </rPr>
      <t xml:space="preserve">秒。効果継続中、</t>
    </r>
    <r>
      <rPr>
        <sz val="10"/>
        <rFont val="Arial"/>
        <family val="2"/>
        <charset val="128"/>
      </rPr>
      <t xml:space="preserve">0.5</t>
    </r>
    <r>
      <rPr>
        <sz val="10"/>
        <rFont val="ＭＳ Ｐゴシック"/>
        <family val="2"/>
        <charset val="128"/>
      </rPr>
      <t xml:space="preserve">秒ごとにこのバフ効果が追加で</t>
    </r>
    <r>
      <rPr>
        <sz val="10"/>
        <rFont val="Arial"/>
        <family val="2"/>
        <charset val="128"/>
      </rPr>
      <t xml:space="preserve">+1.7/2/2.5/3/3.3%</t>
    </r>
    <r>
      <rPr>
        <sz val="10"/>
        <rFont val="ＭＳ Ｐゴシック"/>
        <family val="2"/>
        <charset val="128"/>
      </rPr>
      <t xml:space="preserve">、最大</t>
    </r>
    <r>
      <rPr>
        <sz val="10"/>
        <rFont val="Arial"/>
        <family val="2"/>
        <charset val="128"/>
      </rPr>
      <t xml:space="preserve">10.2/12/15/18/19.8%</t>
    </r>
    <r>
      <rPr>
        <sz val="10"/>
        <rFont val="ＭＳ Ｐゴシック"/>
        <family val="2"/>
        <charset val="128"/>
      </rPr>
      <t xml:space="preserve">まで。重複して発動すると、継続時間のみが更新され、ダメージアップ効果が更新されない。同じパッシブ効果は重ね掛け不可。</t>
    </r>
  </si>
  <si>
    <t xml:space="preserve">Riot Suppressor Mark VI</t>
  </si>
  <si>
    <t xml:space="preserve">サプレッサーⅣ型</t>
  </si>
  <si>
    <t xml:space="preserve">crit-d</t>
  </si>
  <si>
    <t xml:space="preserve">安全パトロール</t>
  </si>
  <si>
    <r>
      <rPr>
        <sz val="10"/>
        <rFont val="ＭＳ Ｐゴシック"/>
        <family val="2"/>
        <charset val="128"/>
      </rPr>
      <t xml:space="preserve">会心率</t>
    </r>
    <r>
      <rPr>
        <sz val="10"/>
        <rFont val="Arial"/>
        <family val="2"/>
        <charset val="128"/>
      </rPr>
      <t xml:space="preserve">+15/18.8/22.6/26.4/30%</t>
    </r>
    <r>
      <rPr>
        <sz val="10"/>
        <rFont val="ＭＳ Ｐゴシック"/>
        <family val="2"/>
        <charset val="128"/>
      </rPr>
      <t xml:space="preserve">。『強化特殊スキル』を発動した時、装備者にパワーを</t>
    </r>
    <r>
      <rPr>
        <sz val="10"/>
        <rFont val="Arial"/>
        <family val="2"/>
        <charset val="128"/>
      </rPr>
      <t xml:space="preserve">8</t>
    </r>
    <r>
      <rPr>
        <sz val="10"/>
        <rFont val="ＭＳ Ｐゴシック"/>
        <family val="2"/>
        <charset val="128"/>
      </rPr>
      <t xml:space="preserve">重与える、最大</t>
    </r>
    <r>
      <rPr>
        <sz val="10"/>
        <rFont val="Arial"/>
        <family val="2"/>
        <charset val="128"/>
      </rPr>
      <t xml:space="preserve">8</t>
    </r>
    <r>
      <rPr>
        <sz val="10"/>
        <rFont val="ＭＳ Ｐゴシック"/>
        <family val="2"/>
        <charset val="128"/>
      </rPr>
      <t xml:space="preserve">重まで重ね掛け可能。『通常攻撃』でエーテル属性ダメージを与えた時、パワーを</t>
    </r>
    <r>
      <rPr>
        <sz val="10"/>
        <rFont val="Arial"/>
        <family val="2"/>
        <charset val="128"/>
      </rPr>
      <t xml:space="preserve">1</t>
    </r>
    <r>
      <rPr>
        <sz val="10"/>
        <rFont val="ＭＳ Ｐゴシック"/>
        <family val="2"/>
        <charset val="128"/>
      </rPr>
      <t xml:space="preserve">重消費し、その攻撃の与ダメージ</t>
    </r>
    <r>
      <rPr>
        <sz val="10"/>
        <rFont val="Arial"/>
        <family val="2"/>
        <charset val="128"/>
      </rPr>
      <t xml:space="preserve">+35/43.5/52/60.5/70%</t>
    </r>
    <r>
      <rPr>
        <sz val="10"/>
        <rFont val="ＭＳ Ｐゴシック"/>
        <family val="2"/>
        <charset val="128"/>
      </rPr>
      <t xml:space="preserve">。</t>
    </r>
  </si>
  <si>
    <t xml:space="preserve">bonus-eth</t>
  </si>
  <si>
    <t xml:space="preserve">Kaboom the Cannon</t>
  </si>
  <si>
    <t xml:space="preserve">喧嘩腰のボンバルダム</t>
  </si>
  <si>
    <t xml:space="preserve">群衆事故</t>
  </si>
  <si>
    <r>
      <rPr>
        <sz val="10"/>
        <rFont val="ＭＳ Ｐゴシック"/>
        <family val="2"/>
        <charset val="128"/>
      </rPr>
      <t xml:space="preserve">チームにいる任意の味方ユニットの攻撃が敵に命中した時、すべての味方ユニットの攻撃力</t>
    </r>
    <r>
      <rPr>
        <sz val="10"/>
        <rFont val="Arial"/>
        <family val="2"/>
        <charset val="128"/>
      </rPr>
      <t xml:space="preserve">+2.5/2.8/3.2/3.6/4%</t>
    </r>
    <r>
      <rPr>
        <sz val="10"/>
        <rFont val="ＭＳ Ｐゴシック"/>
        <family val="2"/>
        <charset val="128"/>
      </rPr>
      <t xml:space="preserve">、最大</t>
    </r>
    <r>
      <rPr>
        <sz val="10"/>
        <rFont val="Arial"/>
        <family val="2"/>
        <charset val="128"/>
      </rPr>
      <t xml:space="preserve">4</t>
    </r>
    <r>
      <rPr>
        <sz val="10"/>
        <rFont val="ＭＳ Ｐゴシック"/>
        <family val="2"/>
        <charset val="128"/>
      </rPr>
      <t xml:space="preserve">重まで重ね掛け可能、継続時間</t>
    </r>
    <r>
      <rPr>
        <sz val="10"/>
        <rFont val="Arial"/>
        <family val="2"/>
        <charset val="128"/>
      </rPr>
      <t xml:space="preserve">8</t>
    </r>
    <r>
      <rPr>
        <sz val="10"/>
        <rFont val="ＭＳ Ｐゴシック"/>
        <family val="2"/>
        <charset val="128"/>
      </rPr>
      <t xml:space="preserve">秒。継続時間は重ごとに独立してカウントされる。味方ユニット</t>
    </r>
    <r>
      <rPr>
        <sz val="10"/>
        <rFont val="Arial"/>
        <family val="2"/>
        <charset val="128"/>
      </rPr>
      <t xml:space="preserve">1</t>
    </r>
    <r>
      <rPr>
        <sz val="10"/>
        <rFont val="ＭＳ Ｐゴシック"/>
        <family val="2"/>
        <charset val="128"/>
      </rPr>
      <t xml:space="preserve">名につき、</t>
    </r>
    <r>
      <rPr>
        <sz val="10"/>
        <rFont val="Arial"/>
        <family val="2"/>
        <charset val="128"/>
      </rPr>
      <t xml:space="preserve">1</t>
    </r>
    <r>
      <rPr>
        <sz val="10"/>
        <rFont val="ＭＳ Ｐゴシック"/>
        <family val="2"/>
        <charset val="128"/>
      </rPr>
      <t xml:space="preserve">重のバフ効果を付与できる。同じパッシブ効果は重ね掛け不可。</t>
    </r>
  </si>
  <si>
    <t xml:space="preserve">Roaring Ride</t>
  </si>
  <si>
    <t xml:space="preserve">グロウル・マイ・カー</t>
  </si>
  <si>
    <t xml:space="preserve">衝突エネルギー </t>
  </si>
  <si>
    <r>
      <rPr>
        <sz val="10"/>
        <rFont val="ＭＳ Ｐゴシック"/>
        <family val="2"/>
        <charset val="128"/>
      </rPr>
      <t xml:space="preserve">『強化特殊スキル』が敵に命中すると、以下の効果のいずれか</t>
    </r>
    <r>
      <rPr>
        <sz val="10"/>
        <rFont val="Arial"/>
        <family val="2"/>
        <charset val="128"/>
      </rPr>
      <t xml:space="preserve">1</t>
    </r>
    <r>
      <rPr>
        <sz val="10"/>
        <rFont val="ＭＳ Ｐゴシック"/>
        <family val="2"/>
        <charset val="128"/>
      </rPr>
      <t xml:space="preserve">つが発動する、継続時間</t>
    </r>
    <r>
      <rPr>
        <sz val="10"/>
        <rFont val="Arial"/>
        <family val="2"/>
        <charset val="128"/>
      </rPr>
      <t xml:space="preserve">5</t>
    </r>
    <r>
      <rPr>
        <sz val="10"/>
        <rFont val="ＭＳ Ｐゴシック"/>
        <family val="2"/>
        <charset val="128"/>
      </rPr>
      <t xml:space="preserve">秒、</t>
    </r>
    <r>
      <rPr>
        <sz val="10"/>
        <rFont val="Arial"/>
        <family val="2"/>
        <charset val="128"/>
      </rPr>
      <t xml:space="preserve">0.3</t>
    </r>
    <r>
      <rPr>
        <sz val="10"/>
        <rFont val="ＭＳ Ｐゴシック"/>
        <family val="2"/>
        <charset val="128"/>
      </rPr>
      <t xml:space="preserve">秒に</t>
    </r>
    <r>
      <rPr>
        <sz val="10"/>
        <rFont val="Arial"/>
        <family val="2"/>
        <charset val="128"/>
      </rPr>
      <t xml:space="preserve">1</t>
    </r>
    <r>
      <rPr>
        <sz val="10"/>
        <rFont val="ＭＳ Ｐゴシック"/>
        <family val="2"/>
        <charset val="128"/>
      </rPr>
      <t xml:space="preserve">回のみ発動可能。同じ効果は重ね掛け不可、重複して発動すると継続時間が更新される。異なる効果は併存可能。装備者の攻撃力</t>
    </r>
    <r>
      <rPr>
        <sz val="10"/>
        <rFont val="Arial"/>
        <family val="2"/>
        <charset val="128"/>
      </rPr>
      <t xml:space="preserve">+8/9.2/10.4/11.6/12.8%</t>
    </r>
    <r>
      <rPr>
        <sz val="10"/>
        <rFont val="ＭＳ Ｐゴシック"/>
        <family val="2"/>
        <charset val="128"/>
      </rPr>
      <t xml:space="preserve">。装備者の異常マスタリー</t>
    </r>
    <r>
      <rPr>
        <sz val="10"/>
        <rFont val="Arial"/>
        <family val="2"/>
        <charset val="128"/>
      </rPr>
      <t xml:space="preserve">+40/46/52/58/64Pt</t>
    </r>
    <r>
      <rPr>
        <sz val="10"/>
        <rFont val="ＭＳ Ｐゴシック"/>
        <family val="2"/>
        <charset val="128"/>
      </rPr>
      <t xml:space="preserve">。装備者の状態異常蓄積効率</t>
    </r>
    <r>
      <rPr>
        <sz val="10"/>
        <rFont val="Arial"/>
        <family val="2"/>
        <charset val="128"/>
      </rPr>
      <t xml:space="preserve">+25/28/32/36/40%</t>
    </r>
    <r>
      <rPr>
        <sz val="10"/>
        <rFont val="ＭＳ Ｐゴシック"/>
        <family val="2"/>
        <charset val="128"/>
      </rPr>
      <t xml:space="preserve">。</t>
    </r>
  </si>
  <si>
    <t xml:space="preserve">effic-anm</t>
  </si>
  <si>
    <t xml:space="preserve">Gilded Blossom</t>
  </si>
  <si>
    <t xml:space="preserve">金メッキの花信</t>
  </si>
  <si>
    <t xml:space="preserve">冷々たる連奏</t>
  </si>
  <si>
    <r>
      <rPr>
        <sz val="10"/>
        <rFont val="ＭＳ Ｐゴシック"/>
        <family val="2"/>
        <charset val="128"/>
      </rPr>
      <t xml:space="preserve">攻撃力</t>
    </r>
    <r>
      <rPr>
        <sz val="10"/>
        <rFont val="Arial"/>
        <family val="2"/>
        <charset val="128"/>
      </rPr>
      <t xml:space="preserve">+6/6.9/7.8/8.7/9.6%</t>
    </r>
    <r>
      <rPr>
        <sz val="10"/>
        <rFont val="ＭＳ Ｐゴシック"/>
        <family val="2"/>
        <charset val="128"/>
      </rPr>
      <t xml:space="preserve">、『強化特殊スキル』の与ダメージ</t>
    </r>
    <r>
      <rPr>
        <sz val="10"/>
        <rFont val="Arial"/>
        <family val="2"/>
        <charset val="128"/>
      </rPr>
      <t xml:space="preserve">+15/17.2/19.5/21.8/24%</t>
    </r>
    <r>
      <rPr>
        <sz val="10"/>
        <rFont val="ＭＳ Ｐゴシック"/>
        <family val="2"/>
        <charset val="128"/>
      </rPr>
      <t xml:space="preserve">。</t>
    </r>
  </si>
  <si>
    <t xml:space="preserve">Ice-Jade Teapot</t>
  </si>
  <si>
    <t xml:space="preserve">玉壺青氷</t>
  </si>
  <si>
    <t xml:space="preserve">超厳重盗難防止措置</t>
  </si>
  <si>
    <r>
      <rPr>
        <sz val="10"/>
        <rFont val="ＭＳ Ｐゴシック"/>
        <family val="2"/>
        <charset val="128"/>
      </rPr>
      <t xml:space="preserve">『通常攻撃』が敵に命中すると、「茶味」を</t>
    </r>
    <r>
      <rPr>
        <sz val="10"/>
        <rFont val="Arial"/>
        <family val="2"/>
        <charset val="128"/>
      </rPr>
      <t xml:space="preserve">1</t>
    </r>
    <r>
      <rPr>
        <sz val="10"/>
        <rFont val="ＭＳ Ｐゴシック"/>
        <family val="2"/>
        <charset val="128"/>
      </rPr>
      <t xml:space="preserve">重獲得する。「茶味」</t>
    </r>
    <r>
      <rPr>
        <sz val="10"/>
        <rFont val="Arial"/>
        <family val="2"/>
        <charset val="128"/>
      </rPr>
      <t xml:space="preserve">1</t>
    </r>
    <r>
      <rPr>
        <sz val="10"/>
        <rFont val="ＭＳ Ｐゴシック"/>
        <family val="2"/>
        <charset val="128"/>
      </rPr>
      <t xml:space="preserve">重につき、装備者の衝撃力</t>
    </r>
    <r>
      <rPr>
        <sz val="10"/>
        <rFont val="Arial"/>
        <family val="2"/>
        <charset val="128"/>
      </rPr>
      <t xml:space="preserve">+0.7/0.88/1.05/1.22/1.4%</t>
    </r>
    <r>
      <rPr>
        <sz val="10"/>
        <rFont val="ＭＳ Ｐゴシック"/>
        <family val="2"/>
        <charset val="128"/>
      </rPr>
      <t xml:space="preserve">、最大</t>
    </r>
    <r>
      <rPr>
        <sz val="10"/>
        <rFont val="Arial"/>
        <family val="2"/>
        <charset val="128"/>
      </rPr>
      <t xml:space="preserve">30</t>
    </r>
    <r>
      <rPr>
        <sz val="10"/>
        <rFont val="ＭＳ Ｐゴシック"/>
        <family val="2"/>
        <charset val="128"/>
      </rPr>
      <t xml:space="preserve">重まで重ね掛け可能、継続時間</t>
    </r>
    <r>
      <rPr>
        <sz val="10"/>
        <rFont val="Arial"/>
        <family val="2"/>
        <charset val="128"/>
      </rPr>
      <t xml:space="preserve">8</t>
    </r>
    <r>
      <rPr>
        <sz val="10"/>
        <rFont val="ＭＳ Ｐゴシック"/>
        <family val="2"/>
        <charset val="128"/>
      </rPr>
      <t xml:space="preserve">秒。継続時間は重ごとに独立してカウントされる。「茶味」獲得時、装備者が持つ「茶味」が</t>
    </r>
    <r>
      <rPr>
        <sz val="10"/>
        <rFont val="Arial"/>
        <family val="2"/>
        <charset val="128"/>
      </rPr>
      <t xml:space="preserve">15</t>
    </r>
    <r>
      <rPr>
        <sz val="10"/>
        <rFont val="ＭＳ Ｐゴシック"/>
        <family val="2"/>
        <charset val="128"/>
      </rPr>
      <t xml:space="preserve">以上の場合、チーム全体の与ダメージ</t>
    </r>
    <r>
      <rPr>
        <sz val="10"/>
        <rFont val="Arial"/>
        <family val="2"/>
        <charset val="128"/>
      </rPr>
      <t xml:space="preserve">+20/23/26/29/32%</t>
    </r>
    <r>
      <rPr>
        <sz val="10"/>
        <rFont val="ＭＳ Ｐゴシック"/>
        <family val="2"/>
        <charset val="128"/>
      </rPr>
      <t xml:space="preserve">、継続時間</t>
    </r>
    <r>
      <rPr>
        <sz val="10"/>
        <rFont val="Arial"/>
        <family val="2"/>
        <charset val="128"/>
      </rPr>
      <t xml:space="preserve">10</t>
    </r>
    <r>
      <rPr>
        <sz val="10"/>
        <rFont val="ＭＳ Ｐゴシック"/>
        <family val="2"/>
        <charset val="128"/>
      </rPr>
      <t xml:space="preserve">秒。同じパッシブ効果は重ね掛け不可。</t>
    </r>
  </si>
  <si>
    <t xml:space="preserve">over</t>
  </si>
  <si>
    <t xml:space="preserve">Sharpened Stinger</t>
  </si>
  <si>
    <t xml:space="preserve">磨き抜かれた切っ先</t>
  </si>
  <si>
    <t xml:space="preserve">気ままな狩り心</t>
  </si>
  <si>
    <r>
      <rPr>
        <sz val="10"/>
        <rFont val="ＭＳ Ｐゴシック"/>
        <family val="2"/>
        <charset val="128"/>
      </rPr>
      <t xml:space="preserve">『ダッシュ攻撃』を発動した時、「猟欲」を</t>
    </r>
    <r>
      <rPr>
        <sz val="10"/>
        <rFont val="Arial"/>
        <family val="2"/>
        <charset val="128"/>
      </rPr>
      <t xml:space="preserve">1</t>
    </r>
    <r>
      <rPr>
        <sz val="10"/>
        <rFont val="ＭＳ Ｐゴシック"/>
        <family val="2"/>
        <charset val="128"/>
      </rPr>
      <t xml:space="preserve">重獲得する。「猟欲」</t>
    </r>
    <r>
      <rPr>
        <sz val="10"/>
        <rFont val="Arial"/>
        <family val="2"/>
        <charset val="128"/>
      </rPr>
      <t xml:space="preserve">1</t>
    </r>
    <r>
      <rPr>
        <sz val="10"/>
        <rFont val="ＭＳ Ｐゴシック"/>
        <family val="2"/>
        <charset val="128"/>
      </rPr>
      <t xml:space="preserve">重につき、装備者の与える物理属性ダメージ</t>
    </r>
    <r>
      <rPr>
        <sz val="10"/>
        <rFont val="Arial"/>
        <family val="2"/>
        <charset val="128"/>
      </rPr>
      <t xml:space="preserve">+12/15/18/21/24%</t>
    </r>
    <r>
      <rPr>
        <sz val="10"/>
        <rFont val="ＭＳ Ｐゴシック"/>
        <family val="2"/>
        <charset val="128"/>
      </rPr>
      <t xml:space="preserve">、最大</t>
    </r>
    <r>
      <rPr>
        <sz val="10"/>
        <rFont val="Arial"/>
        <family val="2"/>
        <charset val="128"/>
      </rPr>
      <t xml:space="preserve">3</t>
    </r>
    <r>
      <rPr>
        <sz val="10"/>
        <rFont val="ＭＳ Ｐゴシック"/>
        <family val="2"/>
        <charset val="128"/>
      </rPr>
      <t xml:space="preserve">重まで重ね掛け可能、継続時間</t>
    </r>
    <r>
      <rPr>
        <sz val="10"/>
        <rFont val="Arial"/>
        <family val="2"/>
        <charset val="128"/>
      </rPr>
      <t xml:space="preserve">10</t>
    </r>
    <r>
      <rPr>
        <sz val="10"/>
        <rFont val="ＭＳ Ｐゴシック"/>
        <family val="2"/>
        <charset val="128"/>
      </rPr>
      <t xml:space="preserve">秒。この効果は</t>
    </r>
    <r>
      <rPr>
        <sz val="10"/>
        <rFont val="Arial"/>
        <family val="2"/>
        <charset val="128"/>
      </rPr>
      <t xml:space="preserve">0.5</t>
    </r>
    <r>
      <rPr>
        <sz val="10"/>
        <rFont val="ＭＳ Ｐゴシック"/>
        <family val="2"/>
        <charset val="128"/>
      </rPr>
      <t xml:space="preserve">秒に</t>
    </r>
    <r>
      <rPr>
        <sz val="10"/>
        <rFont val="Arial"/>
        <family val="2"/>
        <charset val="128"/>
      </rPr>
      <t xml:space="preserve">1</t>
    </r>
    <r>
      <rPr>
        <sz val="10"/>
        <rFont val="ＭＳ Ｐゴシック"/>
        <family val="2"/>
        <charset val="128"/>
      </rPr>
      <t xml:space="preserve">回のみ発動可能、重複して発動すると継続時間が更新される。接敵状態突入時、または『極限回避』発動時、即座に「猟欲」を</t>
    </r>
    <r>
      <rPr>
        <sz val="10"/>
        <rFont val="Arial"/>
        <family val="2"/>
        <charset val="128"/>
      </rPr>
      <t xml:space="preserve">3</t>
    </r>
    <r>
      <rPr>
        <sz val="10"/>
        <rFont val="ＭＳ Ｐゴシック"/>
        <family val="2"/>
        <charset val="128"/>
      </rPr>
      <t xml:space="preserve">重獲得する。「猟欲」の重数が上限に達すると、装備者の状態異常蓄積効率</t>
    </r>
    <r>
      <rPr>
        <sz val="10"/>
        <rFont val="Arial"/>
        <family val="2"/>
        <charset val="128"/>
      </rPr>
      <t xml:space="preserve">+40/50/60/70/80%</t>
    </r>
    <r>
      <rPr>
        <sz val="10"/>
        <rFont val="ＭＳ Ｐゴシック"/>
        <family val="2"/>
        <charset val="128"/>
      </rPr>
      <t xml:space="preserve">。</t>
    </r>
  </si>
  <si>
    <t xml:space="preserve">Peacekeeper ‐ Specialized</t>
  </si>
  <si>
    <t xml:space="preserve">秩序の守り手・特化型</t>
  </si>
  <si>
    <t xml:space="preserve">スタンダード・ブロッキング</t>
  </si>
  <si>
    <r>
      <rPr>
        <sz val="10"/>
        <rFont val="ＭＳ Ｐゴシック"/>
        <family val="2"/>
        <charset val="128"/>
      </rPr>
      <t xml:space="preserve">シールドがある時、装備者のエネルギー自動回復</t>
    </r>
    <r>
      <rPr>
        <sz val="10"/>
        <rFont val="Arial"/>
        <family val="2"/>
        <charset val="128"/>
      </rPr>
      <t xml:space="preserve">+0.4/0.46/0.52/0.58/0.64Pt/</t>
    </r>
    <r>
      <rPr>
        <sz val="10"/>
        <rFont val="ＭＳ Ｐゴシック"/>
        <family val="2"/>
        <charset val="128"/>
      </rPr>
      <t xml:space="preserve">秒。『強化特殊スキル』と『支援突撃』による状態異常蓄積値</t>
    </r>
    <r>
      <rPr>
        <sz val="10"/>
        <rFont val="Arial"/>
        <family val="2"/>
        <charset val="128"/>
      </rPr>
      <t xml:space="preserve">+36/40/45/50/55%</t>
    </r>
    <r>
      <rPr>
        <sz val="10"/>
        <rFont val="ＭＳ Ｐゴシック"/>
        <family val="2"/>
        <charset val="128"/>
      </rPr>
      <t xml:space="preserve">。</t>
    </r>
  </si>
  <si>
    <t xml:space="preserve">Tusks of Fury</t>
  </si>
  <si>
    <t xml:space="preserve">猛進するキバ</t>
  </si>
  <si>
    <t xml:space="preserve">不敗の鉄騎 </t>
  </si>
  <si>
    <r>
      <rPr>
        <sz val="10"/>
        <rFont val="ＭＳ Ｐゴシック"/>
        <family val="2"/>
        <charset val="128"/>
      </rPr>
      <t xml:space="preserve">装備者のシールド生成量</t>
    </r>
    <r>
      <rPr>
        <sz val="10"/>
        <rFont val="Arial"/>
        <family val="2"/>
        <charset val="128"/>
      </rPr>
      <t xml:space="preserve">+30/38/46/52/60%</t>
    </r>
    <r>
      <rPr>
        <sz val="10"/>
        <rFont val="ＭＳ Ｐゴシック"/>
        <family val="2"/>
        <charset val="128"/>
      </rPr>
      <t xml:space="preserve">。任意のメンバーが「看破」または『極限回避』を発動した時、チーム全体の与ダメージ</t>
    </r>
    <r>
      <rPr>
        <sz val="10"/>
        <rFont val="Arial"/>
        <family val="2"/>
        <charset val="128"/>
      </rPr>
      <t xml:space="preserve">+18/22.5/27/31.5/36%</t>
    </r>
    <r>
      <rPr>
        <sz val="10"/>
        <rFont val="ＭＳ Ｐゴシック"/>
        <family val="2"/>
        <charset val="128"/>
      </rPr>
      <t xml:space="preserve">、与えるブレイク値</t>
    </r>
    <r>
      <rPr>
        <sz val="10"/>
        <rFont val="Arial"/>
        <family val="2"/>
        <charset val="128"/>
      </rPr>
      <t xml:space="preserve">+12/15/18/21/24%</t>
    </r>
    <r>
      <rPr>
        <sz val="10"/>
        <rFont val="ＭＳ Ｐゴシック"/>
        <family val="2"/>
        <charset val="128"/>
      </rPr>
      <t xml:space="preserve">、継続時間</t>
    </r>
    <r>
      <rPr>
        <sz val="10"/>
        <rFont val="Arial"/>
        <family val="2"/>
        <charset val="128"/>
      </rPr>
      <t xml:space="preserve">20</t>
    </r>
    <r>
      <rPr>
        <sz val="10"/>
        <rFont val="ＭＳ Ｐゴシック"/>
        <family val="2"/>
        <charset val="128"/>
      </rPr>
      <t xml:space="preserve">秒。同じパッシブ効果は重ね掛け不可。</t>
    </r>
  </si>
  <si>
    <t xml:space="preserve">Flamemaker Shaker</t>
  </si>
  <si>
    <t xml:space="preserve">バーニング・シェイカー</t>
  </si>
  <si>
    <t xml:space="preserve">注がれる燃料</t>
  </si>
  <si>
    <r>
      <rPr>
        <sz val="10"/>
        <rFont val="ＭＳ Ｐゴシック"/>
        <family val="2"/>
        <charset val="128"/>
      </rPr>
      <t xml:space="preserve">控えにいる時、装備者のエネルギー自動回復</t>
    </r>
    <r>
      <rPr>
        <sz val="10"/>
        <rFont val="Arial"/>
        <family val="2"/>
        <charset val="128"/>
      </rPr>
      <t xml:space="preserve">+0.6/0.75/0.9/1.05/1.2Pt/</t>
    </r>
    <r>
      <rPr>
        <sz val="10"/>
        <rFont val="ＭＳ Ｐゴシック"/>
        <family val="2"/>
        <charset val="128"/>
      </rPr>
      <t xml:space="preserve">秒。『強化特殊スキル』または『支援攻撃』が敵に命中すると、装備者の与ダメージ</t>
    </r>
    <r>
      <rPr>
        <sz val="10"/>
        <rFont val="Arial"/>
        <family val="2"/>
        <charset val="128"/>
      </rPr>
      <t xml:space="preserve">+3.5/4.4/5.2/6.1/7%</t>
    </r>
    <r>
      <rPr>
        <sz val="10"/>
        <rFont val="ＭＳ Ｐゴシック"/>
        <family val="2"/>
        <charset val="128"/>
      </rPr>
      <t xml:space="preserve">、最大</t>
    </r>
    <r>
      <rPr>
        <sz val="10"/>
        <rFont val="Arial"/>
        <family val="2"/>
        <charset val="128"/>
      </rPr>
      <t xml:space="preserve">10</t>
    </r>
    <r>
      <rPr>
        <sz val="10"/>
        <rFont val="ＭＳ Ｐゴシック"/>
        <family val="2"/>
        <charset val="128"/>
      </rPr>
      <t xml:space="preserve">重まで重ね掛け可能、継続時間</t>
    </r>
    <r>
      <rPr>
        <sz val="10"/>
        <rFont val="Arial"/>
        <family val="2"/>
        <charset val="128"/>
      </rPr>
      <t xml:space="preserve">6</t>
    </r>
    <r>
      <rPr>
        <sz val="10"/>
        <rFont val="ＭＳ Ｐゴシック"/>
        <family val="2"/>
        <charset val="128"/>
      </rPr>
      <t xml:space="preserve">秒、</t>
    </r>
    <r>
      <rPr>
        <sz val="10"/>
        <rFont val="Arial"/>
        <family val="2"/>
        <charset val="128"/>
      </rPr>
      <t xml:space="preserve">0.3</t>
    </r>
    <r>
      <rPr>
        <sz val="10"/>
        <rFont val="ＭＳ Ｐゴシック"/>
        <family val="2"/>
        <charset val="128"/>
      </rPr>
      <t xml:space="preserve">秒に</t>
    </r>
    <r>
      <rPr>
        <sz val="10"/>
        <rFont val="Arial"/>
        <family val="2"/>
        <charset val="128"/>
      </rPr>
      <t xml:space="preserve">1</t>
    </r>
    <r>
      <rPr>
        <sz val="10"/>
        <rFont val="ＭＳ Ｐゴシック"/>
        <family val="2"/>
        <charset val="128"/>
      </rPr>
      <t xml:space="preserve">回のみ発動可能。控えにいる時、重ね掛けの効率が</t>
    </r>
    <r>
      <rPr>
        <sz val="10"/>
        <rFont val="Arial"/>
        <family val="2"/>
        <charset val="128"/>
      </rPr>
      <t xml:space="preserve">2</t>
    </r>
    <r>
      <rPr>
        <sz val="10"/>
        <rFont val="ＭＳ Ｐゴシック"/>
        <family val="2"/>
        <charset val="128"/>
      </rPr>
      <t xml:space="preserve">倍になる。重複して発動すると継続時間が更新される。ダメージアップ効果獲得時、所持している重数が</t>
    </r>
    <r>
      <rPr>
        <sz val="10"/>
        <rFont val="Arial"/>
        <family val="2"/>
        <charset val="128"/>
      </rPr>
      <t xml:space="preserve">5</t>
    </r>
    <r>
      <rPr>
        <sz val="10"/>
        <rFont val="ＭＳ Ｐゴシック"/>
        <family val="2"/>
        <charset val="128"/>
      </rPr>
      <t xml:space="preserve">重以上の場合、追加で装備者の異常マスタリー</t>
    </r>
    <r>
      <rPr>
        <sz val="10"/>
        <rFont val="Arial"/>
        <family val="2"/>
        <charset val="128"/>
      </rPr>
      <t xml:space="preserve">+50/62/75/87/100Pt</t>
    </r>
    <r>
      <rPr>
        <sz val="10"/>
        <rFont val="ＭＳ Ｐゴシック"/>
        <family val="2"/>
        <charset val="128"/>
      </rPr>
      <t xml:space="preserve">。異常マスタリーアップ効果は重ね掛け不可、継続時間</t>
    </r>
    <r>
      <rPr>
        <sz val="10"/>
        <rFont val="Arial"/>
        <family val="2"/>
        <charset val="128"/>
      </rPr>
      <t xml:space="preserve">6</t>
    </r>
    <r>
      <rPr>
        <sz val="10"/>
        <rFont val="ＭＳ Ｐゴシック"/>
        <family val="2"/>
        <charset val="128"/>
      </rPr>
      <t xml:space="preserve">秒。</t>
    </r>
  </si>
  <si>
    <t xml:space="preserve">Timeweaver</t>
  </si>
  <si>
    <t xml:space="preserve">刻流の賢者</t>
  </si>
  <si>
    <t xml:space="preserve">刻喰の奇謀</t>
  </si>
  <si>
    <r>
      <rPr>
        <sz val="10"/>
        <rFont val="ＭＳ Ｐゴシック"/>
        <family val="2"/>
        <charset val="128"/>
      </rPr>
      <t xml:space="preserve">装備者の電気属性の状態異常蓄積効率</t>
    </r>
    <r>
      <rPr>
        <sz val="10"/>
        <rFont val="Arial"/>
        <family val="2"/>
        <charset val="128"/>
      </rPr>
      <t xml:space="preserve">+30/35/40/45/50%</t>
    </r>
    <r>
      <rPr>
        <sz val="10"/>
        <rFont val="ＭＳ Ｐゴシック"/>
        <family val="2"/>
        <charset val="128"/>
      </rPr>
      <t xml:space="preserve">。『特殊スキル』または『強化特殊スキル』が状態異常の敵に命中すると、装備者の異常マスタリー</t>
    </r>
    <r>
      <rPr>
        <sz val="10"/>
        <rFont val="Arial"/>
        <family val="2"/>
        <charset val="128"/>
      </rPr>
      <t xml:space="preserve">+75/85/95/105/115Pt</t>
    </r>
    <r>
      <rPr>
        <sz val="10"/>
        <rFont val="ＭＳ Ｐゴシック"/>
        <family val="2"/>
        <charset val="128"/>
      </rPr>
      <t xml:space="preserve">、継続時間</t>
    </r>
    <r>
      <rPr>
        <sz val="10"/>
        <rFont val="Arial"/>
        <family val="2"/>
        <charset val="128"/>
      </rPr>
      <t xml:space="preserve">15</t>
    </r>
    <r>
      <rPr>
        <sz val="10"/>
        <rFont val="ＭＳ Ｐゴシック"/>
        <family val="2"/>
        <charset val="128"/>
      </rPr>
      <t xml:space="preserve">秒。装備者の異常マスタリーが</t>
    </r>
    <r>
      <rPr>
        <sz val="10"/>
        <rFont val="Arial"/>
        <family val="2"/>
        <charset val="128"/>
      </rPr>
      <t xml:space="preserve">375Pt</t>
    </r>
    <r>
      <rPr>
        <sz val="10"/>
        <rFont val="ＭＳ Ｐゴシック"/>
        <family val="2"/>
        <charset val="128"/>
      </rPr>
      <t xml:space="preserve">以上の時、装備者による「混沌」ダメージ</t>
    </r>
    <r>
      <rPr>
        <sz val="10"/>
        <rFont val="Arial"/>
        <family val="2"/>
        <charset val="128"/>
      </rPr>
      <t xml:space="preserve">+25/27.5/30/32.5/35%</t>
    </r>
    <r>
      <rPr>
        <sz val="10"/>
        <rFont val="ＭＳ Ｐゴシック"/>
        <family val="2"/>
        <charset val="128"/>
      </rPr>
      <t xml:space="preserve">。</t>
    </r>
  </si>
  <si>
    <t xml:space="preserve">effic-ele</t>
  </si>
  <si>
    <t xml:space="preserve">anmP</t>
  </si>
  <si>
    <t xml:space="preserve">bonus-disorder</t>
  </si>
  <si>
    <t xml:space="preserve">Blazing Laurel</t>
  </si>
  <si>
    <t xml:space="preserve">炎心の桂冠</t>
  </si>
  <si>
    <t xml:space="preserve">流るる炎 </t>
  </si>
  <si>
    <r>
      <rPr>
        <sz val="10"/>
        <rFont val="ＭＳ Ｐゴシック"/>
        <family val="2"/>
        <charset val="128"/>
      </rPr>
      <t xml:space="preserve">『クイック支援』または『極限支援』発動時、装備者の衝撃力</t>
    </r>
    <r>
      <rPr>
        <sz val="10"/>
        <rFont val="Arial"/>
        <family val="2"/>
        <charset val="128"/>
      </rPr>
      <t xml:space="preserve">+25/28.75/32.5/36.25/40%</t>
    </r>
    <r>
      <rPr>
        <sz val="10"/>
        <rFont val="ＭＳ Ｐゴシック"/>
        <family val="2"/>
        <charset val="128"/>
      </rPr>
      <t xml:space="preserve">、継続時間</t>
    </r>
    <r>
      <rPr>
        <sz val="10"/>
        <rFont val="Arial"/>
        <family val="2"/>
        <charset val="128"/>
      </rPr>
      <t xml:space="preserve">8</t>
    </r>
    <r>
      <rPr>
        <sz val="10"/>
        <rFont val="ＭＳ Ｐゴシック"/>
        <family val="2"/>
        <charset val="128"/>
      </rPr>
      <t xml:space="preserve">秒。装備者の『通常攻撃』が敵に命中すると、ターゲットに「衰耗」を</t>
    </r>
    <r>
      <rPr>
        <sz val="10"/>
        <rFont val="Arial"/>
        <family val="2"/>
        <charset val="128"/>
      </rPr>
      <t xml:space="preserve">1</t>
    </r>
    <r>
      <rPr>
        <sz val="10"/>
        <rFont val="ＭＳ Ｐゴシック"/>
        <family val="2"/>
        <charset val="128"/>
      </rPr>
      <t xml:space="preserve">重付与する、最大</t>
    </r>
    <r>
      <rPr>
        <sz val="10"/>
        <rFont val="Arial"/>
        <family val="2"/>
        <charset val="128"/>
      </rPr>
      <t xml:space="preserve">20</t>
    </r>
    <r>
      <rPr>
        <sz val="10"/>
        <rFont val="ＭＳ Ｐゴシック"/>
        <family val="2"/>
        <charset val="128"/>
      </rPr>
      <t xml:space="preserve">重まで重ね掛け可能、継続時間</t>
    </r>
    <r>
      <rPr>
        <sz val="10"/>
        <rFont val="Arial"/>
        <family val="2"/>
        <charset val="128"/>
      </rPr>
      <t xml:space="preserve">30</t>
    </r>
    <r>
      <rPr>
        <sz val="10"/>
        <rFont val="ＭＳ Ｐゴシック"/>
        <family val="2"/>
        <charset val="128"/>
      </rPr>
      <t xml:space="preserve">秒、重複して発動すると継続時間が更新される。任意のメンバーの攻撃が敵に命中した時、ターゲットの「衰耗」</t>
    </r>
    <r>
      <rPr>
        <sz val="10"/>
        <rFont val="Arial"/>
        <family val="2"/>
        <charset val="128"/>
      </rPr>
      <t xml:space="preserve">1</t>
    </r>
    <r>
      <rPr>
        <sz val="10"/>
        <rFont val="ＭＳ Ｐゴシック"/>
        <family val="2"/>
        <charset val="128"/>
      </rPr>
      <t xml:space="preserve">重につき、今回の攻撃による氷属性ダメージと炎属性ダメージの会心ダメージ</t>
    </r>
    <r>
      <rPr>
        <sz val="10"/>
        <rFont val="Arial"/>
        <family val="2"/>
        <charset val="128"/>
      </rPr>
      <t xml:space="preserve">+1.5/1.72/1.95/2.17/2.4%</t>
    </r>
    <r>
      <rPr>
        <sz val="10"/>
        <rFont val="ＭＳ Ｐゴシック"/>
        <family val="2"/>
        <charset val="128"/>
      </rPr>
      <t xml:space="preserve">、該当効果はチーム内でひとつしか有効にならない。</t>
    </r>
  </si>
  <si>
    <t xml:space="preserve">enemy</t>
  </si>
  <si>
    <t xml:space="preserve">attribute</t>
  </si>
  <si>
    <t xml:space="preserve">Fire Ice</t>
  </si>
  <si>
    <t xml:space="preserve">Marcato Desire</t>
  </si>
  <si>
    <t xml:space="preserve">強音デザイア</t>
  </si>
  <si>
    <t xml:space="preserve">ヒートアップ</t>
  </si>
  <si>
    <r>
      <rPr>
        <sz val="10"/>
        <rFont val="ＭＳ Ｐゴシック"/>
        <family val="2"/>
        <charset val="128"/>
      </rPr>
      <t xml:space="preserve">『強化特殊スキル』または『連携スキル』が敵に命中すると、装備者の攻撃力</t>
    </r>
    <r>
      <rPr>
        <sz val="10"/>
        <rFont val="Arial"/>
        <family val="2"/>
        <charset val="128"/>
      </rPr>
      <t xml:space="preserve">+6/6.9/7.8/8.7/9.6%</t>
    </r>
    <r>
      <rPr>
        <sz val="10"/>
        <rFont val="ＭＳ Ｐゴシック"/>
        <family val="2"/>
        <charset val="128"/>
      </rPr>
      <t xml:space="preserve">、継続時間</t>
    </r>
    <r>
      <rPr>
        <sz val="10"/>
        <rFont val="Arial"/>
        <family val="2"/>
        <charset val="128"/>
      </rPr>
      <t xml:space="preserve">8</t>
    </r>
    <r>
      <rPr>
        <sz val="10"/>
        <rFont val="ＭＳ Ｐゴシック"/>
        <family val="2"/>
        <charset val="128"/>
      </rPr>
      <t xml:space="preserve">秒。ターゲットが状態異常の場合、この効果がさらに</t>
    </r>
    <r>
      <rPr>
        <sz val="10"/>
        <rFont val="Arial"/>
        <family val="2"/>
        <charset val="128"/>
      </rPr>
      <t xml:space="preserve">+6/6.9/7.8/8.7/9.6%</t>
    </r>
    <r>
      <rPr>
        <sz val="10"/>
        <rFont val="ＭＳ Ｐゴシック"/>
        <family val="2"/>
        <charset val="128"/>
      </rPr>
      <t xml:space="preserve">。</t>
    </r>
  </si>
  <si>
    <t xml:space="preserve">Hailstorm Shrine</t>
  </si>
  <si>
    <t xml:space="preserve">あられ落つ星殿</t>
  </si>
  <si>
    <t xml:space="preserve">霜染の寒星</t>
  </si>
  <si>
    <r>
      <rPr>
        <sz val="10"/>
        <rFont val="ＭＳ Ｐゴシック"/>
        <family val="2"/>
        <charset val="128"/>
      </rPr>
      <t xml:space="preserve">会心ダメージ</t>
    </r>
    <r>
      <rPr>
        <sz val="10"/>
        <rFont val="Arial"/>
        <family val="2"/>
        <charset val="128"/>
      </rPr>
      <t xml:space="preserve">+50/57/65/72/80%</t>
    </r>
    <r>
      <rPr>
        <sz val="10"/>
        <rFont val="ＭＳ Ｐゴシック"/>
        <family val="2"/>
        <charset val="128"/>
      </rPr>
      <t xml:space="preserve">。『強化特殊スキル』発動時、または任意のメンバーが敵を状態異常にした時、装備者による氷属性ダメージ</t>
    </r>
    <r>
      <rPr>
        <sz val="10"/>
        <rFont val="Arial"/>
        <family val="2"/>
        <charset val="128"/>
      </rPr>
      <t xml:space="preserve">+20/23/26/29/32%</t>
    </r>
    <r>
      <rPr>
        <sz val="10"/>
        <rFont val="ＭＳ Ｐゴシック"/>
        <family val="2"/>
        <charset val="128"/>
      </rPr>
      <t xml:space="preserve">、最大</t>
    </r>
    <r>
      <rPr>
        <sz val="10"/>
        <rFont val="Arial"/>
        <family val="2"/>
        <charset val="128"/>
      </rPr>
      <t xml:space="preserve">2</t>
    </r>
    <r>
      <rPr>
        <sz val="10"/>
        <rFont val="ＭＳ Ｐゴシック"/>
        <family val="2"/>
        <charset val="128"/>
      </rPr>
      <t xml:space="preserve">重まで重ね掛け可能、継続時間</t>
    </r>
    <r>
      <rPr>
        <sz val="10"/>
        <rFont val="Arial"/>
        <family val="2"/>
        <charset val="128"/>
      </rPr>
      <t xml:space="preserve">15</t>
    </r>
    <r>
      <rPr>
        <sz val="10"/>
        <rFont val="ＭＳ Ｐゴシック"/>
        <family val="2"/>
        <charset val="128"/>
      </rPr>
      <t xml:space="preserve">秒。継続時間は</t>
    </r>
    <r>
      <rPr>
        <sz val="10"/>
        <rFont val="Arial"/>
        <family val="2"/>
        <charset val="128"/>
      </rPr>
      <t xml:space="preserve">1</t>
    </r>
    <r>
      <rPr>
        <sz val="10"/>
        <rFont val="ＭＳ Ｐゴシック"/>
        <family val="2"/>
        <charset val="128"/>
      </rPr>
      <t xml:space="preserve">重ごとに独立してカウントされる。</t>
    </r>
  </si>
  <si>
    <t xml:space="preserve">Zanshin Herb Case</t>
  </si>
  <si>
    <t xml:space="preserve">残心の青籠</t>
  </si>
  <si>
    <t xml:space="preserve">生死一如</t>
  </si>
  <si>
    <r>
      <rPr>
        <sz val="10"/>
        <rFont val="ＭＳ Ｐゴシック"/>
        <family val="2"/>
        <charset val="128"/>
      </rPr>
      <t xml:space="preserve">会心率</t>
    </r>
    <r>
      <rPr>
        <sz val="10"/>
        <rFont val="Arial"/>
        <family val="2"/>
        <charset val="128"/>
      </rPr>
      <t xml:space="preserve">+10/11.5/13/14.5/16%</t>
    </r>
    <r>
      <rPr>
        <sz val="10"/>
        <rFont val="ＭＳ Ｐゴシック"/>
        <family val="2"/>
        <charset val="128"/>
      </rPr>
      <t xml:space="preserve">。『ダッシュ攻撃』による電気属性ダメージ</t>
    </r>
    <r>
      <rPr>
        <sz val="10"/>
        <rFont val="Arial"/>
        <family val="2"/>
        <charset val="128"/>
      </rPr>
      <t xml:space="preserve">+40/46/52/58/64%</t>
    </r>
    <r>
      <rPr>
        <sz val="10"/>
        <rFont val="ＭＳ Ｐゴシック"/>
        <family val="2"/>
        <charset val="128"/>
      </rPr>
      <t xml:space="preserve">。任意のメンバーが敵を状態異常またはブレイク状態にした時、装備者の会心率が追加で</t>
    </r>
    <r>
      <rPr>
        <sz val="10"/>
        <rFont val="Arial"/>
        <family val="2"/>
        <charset val="128"/>
      </rPr>
      <t xml:space="preserve">+10/11.5/13/14.5/16%</t>
    </r>
    <r>
      <rPr>
        <sz val="10"/>
        <rFont val="ＭＳ Ｐゴシック"/>
        <family val="2"/>
        <charset val="128"/>
      </rPr>
      <t xml:space="preserve">、継続時間</t>
    </r>
    <r>
      <rPr>
        <sz val="10"/>
        <rFont val="Arial"/>
        <family val="2"/>
        <charset val="128"/>
      </rPr>
      <t xml:space="preserve">15</t>
    </r>
    <r>
      <rPr>
        <sz val="10"/>
        <rFont val="ＭＳ Ｐゴシック"/>
        <family val="2"/>
        <charset val="128"/>
      </rPr>
      <t xml:space="preserve">秒。</t>
    </r>
  </si>
  <si>
    <t xml:space="preserve">dodge-dash</t>
  </si>
  <si>
    <t xml:space="preserve">Elegant Vanity</t>
  </si>
  <si>
    <t xml:space="preserve">優美のヴァニティ</t>
  </si>
  <si>
    <t xml:space="preserve">異彩の華</t>
  </si>
  <si>
    <r>
      <rPr>
        <sz val="10"/>
        <rFont val="ＭＳ Ｐゴシック"/>
        <family val="2"/>
        <charset val="128"/>
      </rPr>
      <t xml:space="preserve">任意のメンバーが『クイック支援』、『連携スキル』、『パリィ支援』、『回避支援』で出場した時、装備者のエネルギーを</t>
    </r>
    <r>
      <rPr>
        <sz val="10"/>
        <rFont val="Arial"/>
        <family val="2"/>
        <charset val="128"/>
      </rPr>
      <t xml:space="preserve">5/5.5/6/6.5/7Pt</t>
    </r>
    <r>
      <rPr>
        <sz val="10"/>
        <rFont val="ＭＳ Ｐゴシック"/>
        <family val="2"/>
        <charset val="128"/>
      </rPr>
      <t xml:space="preserve">回復する、</t>
    </r>
    <r>
      <rPr>
        <sz val="10"/>
        <rFont val="Arial"/>
        <family val="2"/>
        <charset val="128"/>
      </rPr>
      <t xml:space="preserve">5</t>
    </r>
    <r>
      <rPr>
        <sz val="10"/>
        <rFont val="ＭＳ Ｐゴシック"/>
        <family val="2"/>
        <charset val="128"/>
      </rPr>
      <t xml:space="preserve">秒に</t>
    </r>
    <r>
      <rPr>
        <sz val="10"/>
        <rFont val="Arial"/>
        <family val="2"/>
        <charset val="128"/>
      </rPr>
      <t xml:space="preserve">1</t>
    </r>
    <r>
      <rPr>
        <sz val="10"/>
        <rFont val="ＭＳ Ｐゴシック"/>
        <family val="2"/>
        <charset val="128"/>
      </rPr>
      <t xml:space="preserve">回のみ発動可能。装備者がエネルギーを</t>
    </r>
    <r>
      <rPr>
        <sz val="10"/>
        <rFont val="Arial"/>
        <family val="2"/>
        <charset val="128"/>
      </rPr>
      <t xml:space="preserve">25Pt</t>
    </r>
    <r>
      <rPr>
        <sz val="10"/>
        <rFont val="ＭＳ Ｐゴシック"/>
        <family val="2"/>
        <charset val="128"/>
      </rPr>
      <t xml:space="preserve">以上消費した時、チーム全体の与ダメージ</t>
    </r>
    <r>
      <rPr>
        <sz val="10"/>
        <rFont val="Arial"/>
        <family val="2"/>
        <charset val="128"/>
      </rPr>
      <t xml:space="preserve">+10/11.5/13/14.5/16%</t>
    </r>
    <r>
      <rPr>
        <sz val="10"/>
        <rFont val="ＭＳ Ｐゴシック"/>
        <family val="2"/>
        <charset val="128"/>
      </rPr>
      <t xml:space="preserve">、最大</t>
    </r>
    <r>
      <rPr>
        <sz val="10"/>
        <rFont val="Arial"/>
        <family val="2"/>
        <charset val="128"/>
      </rPr>
      <t xml:space="preserve">2</t>
    </r>
    <r>
      <rPr>
        <sz val="10"/>
        <rFont val="ＭＳ Ｐゴシック"/>
        <family val="2"/>
        <charset val="128"/>
      </rPr>
      <t xml:space="preserve">重まで重ね掛け可能、継続時間</t>
    </r>
    <r>
      <rPr>
        <sz val="10"/>
        <rFont val="Arial"/>
        <family val="2"/>
        <charset val="128"/>
      </rPr>
      <t xml:space="preserve">20</t>
    </r>
    <r>
      <rPr>
        <sz val="10"/>
        <rFont val="ＭＳ Ｐゴシック"/>
        <family val="2"/>
        <charset val="128"/>
      </rPr>
      <t xml:space="preserve">秒、重複して発動すると継続時間が更新される、該当効果はチーム内でひとつしか有効にならない。</t>
    </r>
  </si>
  <si>
    <t xml:space="preserve">Heartstring Nocturne</t>
  </si>
  <si>
    <t xml:space="preserve">心弦のノクターン</t>
  </si>
  <si>
    <t xml:space="preserve">弦の音をまとって</t>
  </si>
  <si>
    <r>
      <rPr>
        <sz val="10"/>
        <rFont val="ＭＳ Ｐゴシック"/>
        <family val="2"/>
        <charset val="128"/>
      </rPr>
      <t xml:space="preserve">会心ダメージ</t>
    </r>
    <r>
      <rPr>
        <sz val="10"/>
        <rFont val="Arial"/>
        <family val="2"/>
        <charset val="128"/>
      </rPr>
      <t xml:space="preserve">+50/57.5/65/72.5/80%</t>
    </r>
    <r>
      <rPr>
        <sz val="10"/>
        <rFont val="ＭＳ Ｐゴシック"/>
        <family val="2"/>
        <charset val="128"/>
      </rPr>
      <t xml:space="preserve">。フィールド入場時、『連携スキル』発動時および『終結スキル』発動時に、装備者が「心弦」を</t>
    </r>
    <r>
      <rPr>
        <sz val="10"/>
        <rFont val="Arial"/>
        <family val="2"/>
        <charset val="128"/>
      </rPr>
      <t xml:space="preserve">1</t>
    </r>
    <r>
      <rPr>
        <sz val="10"/>
        <rFont val="ＭＳ Ｐゴシック"/>
        <family val="2"/>
        <charset val="128"/>
      </rPr>
      <t xml:space="preserve">重獲得する。「心弦」</t>
    </r>
    <r>
      <rPr>
        <sz val="10"/>
        <rFont val="Arial"/>
        <family val="2"/>
        <charset val="128"/>
      </rPr>
      <t xml:space="preserve">1</t>
    </r>
    <r>
      <rPr>
        <sz val="10"/>
        <rFont val="ＭＳ Ｐゴシック"/>
        <family val="2"/>
        <charset val="128"/>
      </rPr>
      <t xml:space="preserve">重につき、装備者の『連携スキル』と『終結スキル』がターゲットの炎属性ダメージ耐性を</t>
    </r>
    <r>
      <rPr>
        <sz val="10"/>
        <rFont val="Arial"/>
        <family val="2"/>
        <charset val="128"/>
      </rPr>
      <t xml:space="preserve">12.5/14.5/16.5/18.5/20%</t>
    </r>
    <r>
      <rPr>
        <sz val="10"/>
        <rFont val="ＭＳ Ｐゴシック"/>
        <family val="2"/>
        <charset val="128"/>
      </rPr>
      <t xml:space="preserve">無視する。最大</t>
    </r>
    <r>
      <rPr>
        <sz val="10"/>
        <rFont val="Arial"/>
        <family val="2"/>
        <charset val="128"/>
      </rPr>
      <t xml:space="preserve">2</t>
    </r>
    <r>
      <rPr>
        <sz val="10"/>
        <rFont val="ＭＳ Ｐゴシック"/>
        <family val="2"/>
        <charset val="128"/>
      </rPr>
      <t xml:space="preserve">重まで重ね掛け可能、継続時間</t>
    </r>
    <r>
      <rPr>
        <sz val="10"/>
        <rFont val="Arial"/>
        <family val="2"/>
        <charset val="128"/>
      </rPr>
      <t xml:space="preserve">30</t>
    </r>
    <r>
      <rPr>
        <sz val="10"/>
        <rFont val="ＭＳ Ｐゴシック"/>
        <family val="2"/>
        <charset val="128"/>
      </rPr>
      <t xml:space="preserve">秒、重複して発動すると継続時間が更新される。</t>
    </r>
  </si>
  <si>
    <t xml:space="preserve">pen-fire</t>
  </si>
  <si>
    <t xml:space="preserve">Severed Innocence </t>
  </si>
  <si>
    <t xml:space="preserve">純然たる犠牲</t>
  </si>
  <si>
    <t xml:space="preserve">花冷え、静かなる光</t>
  </si>
  <si>
    <r>
      <rPr>
        <sz val="10"/>
        <rFont val="ＭＳ Ｐゴシック"/>
        <family val="2"/>
        <charset val="128"/>
      </rPr>
      <t xml:space="preserve">会心ダメージ</t>
    </r>
    <r>
      <rPr>
        <sz val="10"/>
        <rFont val="Arial"/>
        <family val="2"/>
        <charset val="128"/>
      </rPr>
      <t xml:space="preserve">+30%/34.5%/39%/43.5%/48%</t>
    </r>
    <r>
      <rPr>
        <sz val="10"/>
        <rFont val="ＭＳ Ｐゴシック"/>
        <family val="2"/>
        <charset val="128"/>
      </rPr>
      <t xml:space="preserve">。装備者の『通常攻撃』、『特殊スキル』、または『追加攻撃』が敵に命中した時、それぞれバフ効果を</t>
    </r>
    <r>
      <rPr>
        <sz val="10"/>
        <rFont val="Arial"/>
        <family val="2"/>
        <charset val="128"/>
      </rPr>
      <t xml:space="preserve">1</t>
    </r>
    <r>
      <rPr>
        <sz val="10"/>
        <rFont val="ＭＳ Ｐゴシック"/>
        <family val="2"/>
        <charset val="128"/>
      </rPr>
      <t xml:space="preserve">重獲得する。バフ効果</t>
    </r>
    <r>
      <rPr>
        <sz val="10"/>
        <rFont val="Arial"/>
        <family val="2"/>
        <charset val="128"/>
      </rPr>
      <t xml:space="preserve">1</t>
    </r>
    <r>
      <rPr>
        <sz val="10"/>
        <rFont val="ＭＳ Ｐゴシック"/>
        <family val="2"/>
        <charset val="128"/>
      </rPr>
      <t xml:space="preserve">重につき、装備者の会心ダメージが追加で</t>
    </r>
    <r>
      <rPr>
        <sz val="10"/>
        <rFont val="Arial"/>
        <family val="2"/>
        <charset val="128"/>
      </rPr>
      <t xml:space="preserve">+10%/11.5%/13%/14.5%/16%</t>
    </r>
    <r>
      <rPr>
        <sz val="10"/>
        <rFont val="ＭＳ Ｐゴシック"/>
        <family val="2"/>
        <charset val="128"/>
      </rPr>
      <t xml:space="preserve">、最大</t>
    </r>
    <r>
      <rPr>
        <sz val="10"/>
        <rFont val="Arial"/>
        <family val="2"/>
        <charset val="128"/>
      </rPr>
      <t xml:space="preserve">3</t>
    </r>
    <r>
      <rPr>
        <sz val="10"/>
        <rFont val="ＭＳ Ｐゴシック"/>
        <family val="2"/>
        <charset val="128"/>
      </rPr>
      <t xml:space="preserve">重まで重ね掛け可能、継続時間</t>
    </r>
    <r>
      <rPr>
        <sz val="10"/>
        <rFont val="Arial"/>
        <family val="2"/>
        <charset val="128"/>
      </rPr>
      <t xml:space="preserve">60</t>
    </r>
    <r>
      <rPr>
        <sz val="10"/>
        <rFont val="ＭＳ Ｐゴシック"/>
        <family val="2"/>
        <charset val="128"/>
      </rPr>
      <t xml:space="preserve">秒。継続時間は</t>
    </r>
    <r>
      <rPr>
        <sz val="10"/>
        <rFont val="Arial"/>
        <family val="2"/>
        <charset val="128"/>
      </rPr>
      <t xml:space="preserve">1</t>
    </r>
    <r>
      <rPr>
        <sz val="10"/>
        <rFont val="ＭＳ Ｐゴシック"/>
        <family val="2"/>
        <charset val="128"/>
      </rPr>
      <t xml:space="preserve">重ごとに独立してカウントされ、</t>
    </r>
    <r>
      <rPr>
        <sz val="10"/>
        <rFont val="Arial"/>
        <family val="2"/>
        <charset val="128"/>
      </rPr>
      <t xml:space="preserve">1</t>
    </r>
    <r>
      <rPr>
        <sz val="10"/>
        <rFont val="ＭＳ Ｐゴシック"/>
        <family val="2"/>
        <charset val="128"/>
      </rPr>
      <t xml:space="preserve">回のスキルにおいて</t>
    </r>
    <r>
      <rPr>
        <sz val="10"/>
        <rFont val="Arial"/>
        <family val="2"/>
        <charset val="128"/>
      </rPr>
      <t xml:space="preserve">1</t>
    </r>
    <r>
      <rPr>
        <sz val="10"/>
        <rFont val="ＭＳ Ｐゴシック"/>
        <family val="2"/>
        <charset val="128"/>
      </rPr>
      <t xml:space="preserve">回のみ発動可能。バフ効果を</t>
    </r>
    <r>
      <rPr>
        <sz val="10"/>
        <rFont val="Arial"/>
        <family val="2"/>
        <charset val="128"/>
      </rPr>
      <t xml:space="preserve">3</t>
    </r>
    <r>
      <rPr>
        <sz val="10"/>
        <rFont val="ＭＳ Ｐゴシック"/>
        <family val="2"/>
        <charset val="128"/>
      </rPr>
      <t xml:space="preserve">重所持している場合、装備者による電気属性ダメージ</t>
    </r>
    <r>
      <rPr>
        <sz val="10"/>
        <rFont val="Arial"/>
        <family val="2"/>
        <charset val="128"/>
      </rPr>
      <t xml:space="preserve">+20%/23%/26%/29%/32%</t>
    </r>
    <r>
      <rPr>
        <sz val="10"/>
        <rFont val="ＭＳ Ｐゴシック"/>
        <family val="2"/>
        <charset val="128"/>
      </rPr>
      <t xml:space="preserve">。</t>
    </r>
  </si>
  <si>
    <t xml:space="preserve">Box Cutter</t>
  </si>
  <si>
    <t xml:space="preserve">ペーパーカッター</t>
  </si>
  <si>
    <t xml:space="preserve">指のケガに注意</t>
  </si>
  <si>
    <r>
      <rPr>
        <sz val="10"/>
        <rFont val="ＭＳ Ｐゴシック"/>
        <family val="2"/>
        <charset val="128"/>
      </rPr>
      <t xml:space="preserve">『追加攻撃』を発動した時、装備者の与える物理属性ダメージ</t>
    </r>
    <r>
      <rPr>
        <sz val="10"/>
        <rFont val="Arial"/>
        <family val="2"/>
        <charset val="128"/>
      </rPr>
      <t xml:space="preserve">+15%/17.3%/19.5%/21.8%/24%</t>
    </r>
    <r>
      <rPr>
        <sz val="10"/>
        <rFont val="ＭＳ Ｐゴシック"/>
        <family val="2"/>
        <charset val="128"/>
      </rPr>
      <t xml:space="preserve">、与えるブレイク値</t>
    </r>
    <r>
      <rPr>
        <sz val="10"/>
        <rFont val="Arial"/>
        <family val="2"/>
        <charset val="128"/>
      </rPr>
      <t xml:space="preserve">+10%/11.5%/13%/14.5%/16%</t>
    </r>
    <r>
      <rPr>
        <sz val="10"/>
        <rFont val="ＭＳ Ｐゴシック"/>
        <family val="2"/>
        <charset val="128"/>
      </rPr>
      <t xml:space="preserve">、継続時間</t>
    </r>
    <r>
      <rPr>
        <sz val="10"/>
        <rFont val="Arial"/>
        <family val="2"/>
        <charset val="128"/>
      </rPr>
      <t xml:space="preserve">10</t>
    </r>
    <r>
      <rPr>
        <sz val="10"/>
        <rFont val="ＭＳ Ｐゴシック"/>
        <family val="2"/>
        <charset val="128"/>
      </rPr>
      <t xml:space="preserve">秒。</t>
    </r>
  </si>
  <si>
    <t xml:space="preserve">Effect</t>
  </si>
  <si>
    <t xml:space="preserve">en</t>
  </si>
  <si>
    <t xml:space="preserve">jp</t>
  </si>
  <si>
    <t xml:space="preserve">type</t>
  </si>
  <si>
    <t xml:space="preserve">group</t>
  </si>
  <si>
    <t xml:space="preserve">conditions</t>
  </si>
  <si>
    <t xml:space="preserve">target</t>
  </si>
  <si>
    <t xml:space="preserve">comparison</t>
  </si>
  <si>
    <t xml:space="preserve">comparsion</t>
  </si>
  <si>
    <t xml:space="preserve">Swing Jazz</t>
  </si>
  <si>
    <t xml:space="preserve">スイング・ジャズ</t>
  </si>
  <si>
    <t xml:space="preserve">Woodpecker Electro</t>
  </si>
  <si>
    <t xml:space="preserve">ウッドペッカー・エレクトロ</t>
  </si>
  <si>
    <t xml:space="preserve">attack</t>
  </si>
  <si>
    <t xml:space="preserve">Puffer Electro</t>
  </si>
  <si>
    <t xml:space="preserve">パファー・エレクトロ</t>
  </si>
  <si>
    <t xml:space="preserve">Shockstar Disco</t>
  </si>
  <si>
    <t xml:space="preserve">ショックスター・ディスコ</t>
  </si>
  <si>
    <t xml:space="preserve">stun</t>
  </si>
  <si>
    <t xml:space="preserve">Freedom Blues</t>
  </si>
  <si>
    <t xml:space="preserve">フリーダム・ブルース</t>
  </si>
  <si>
    <t xml:space="preserve">anomaly</t>
  </si>
  <si>
    <t xml:space="preserve">Hormone Punk</t>
  </si>
  <si>
    <t xml:space="preserve">ホルモン・パンク</t>
  </si>
  <si>
    <t xml:space="preserve">Soul Rock</t>
  </si>
  <si>
    <t xml:space="preserve">ソウル・ロック</t>
  </si>
  <si>
    <t xml:space="preserve">defense</t>
  </si>
  <si>
    <t xml:space="preserve">Inferno Metal</t>
  </si>
  <si>
    <t xml:space="preserve">炎獄のヘヴィメタル</t>
  </si>
  <si>
    <t xml:space="preserve">bonus-fire</t>
  </si>
  <si>
    <t xml:space="preserve">dmg-bonus</t>
  </si>
  <si>
    <t xml:space="preserve">Chaotic Metal</t>
  </si>
  <si>
    <t xml:space="preserve">混沌のヘヴィメタル</t>
  </si>
  <si>
    <t xml:space="preserve">Thunder Metal</t>
  </si>
  <si>
    <t xml:space="preserve">霹靂のヘヴィメタル</t>
  </si>
  <si>
    <t xml:space="preserve">Polar Metal</t>
  </si>
  <si>
    <t xml:space="preserve">極地のヘヴィメタル</t>
  </si>
  <si>
    <t xml:space="preserve">Fanged Metal</t>
  </si>
  <si>
    <t xml:space="preserve">獣牙のヘヴィメタル</t>
  </si>
  <si>
    <t xml:space="preserve">Proto Punk</t>
  </si>
  <si>
    <t xml:space="preserve">プロト・パンク</t>
  </si>
  <si>
    <t xml:space="preserve">shield</t>
  </si>
  <si>
    <t xml:space="preserve">Chaos Jazz</t>
  </si>
  <si>
    <t xml:space="preserve">ケイオス・ジャズ</t>
  </si>
  <si>
    <t xml:space="preserve">none</t>
  </si>
  <si>
    <t xml:space="preserve">Branch &amp; Blade Song</t>
  </si>
  <si>
    <t xml:space="preserve">折枝の刀歌</t>
  </si>
  <si>
    <t xml:space="preserve">&gt;</t>
  </si>
  <si>
    <t xml:space="preserve">Astral Voice</t>
  </si>
  <si>
    <t xml:space="preserve">静寂のアストラ</t>
  </si>
  <si>
    <t xml:space="preserve">Phaethon’s Melody</t>
  </si>
  <si>
    <t xml:space="preserve">「パエトーン」の歌</t>
  </si>
  <si>
    <t xml:space="preserve">Shadow Harmony</t>
  </si>
  <si>
    <t xml:space="preserve">シャドウハーモニー</t>
  </si>
  <si>
    <t xml:space="preserve">corePassive</t>
  </si>
  <si>
    <t xml:space="preserve">skill-type</t>
  </si>
  <si>
    <t xml:space="preserve">typeName</t>
  </si>
  <si>
    <t xml:space="preserve">coreAdditional</t>
  </si>
  <si>
    <t xml:space="preserve">effect-id</t>
  </si>
  <si>
    <t xml:space="preserve">wEngine</t>
  </si>
  <si>
    <t xml:space="preserve">enemy-state</t>
  </si>
  <si>
    <t xml:space="preserve">stateNumber</t>
  </si>
  <si>
    <t xml:space="preserve">driver</t>
  </si>
  <si>
    <t xml:space="preserve">sourceType</t>
  </si>
  <si>
    <t xml:space="preserve">sourceId</t>
  </si>
  <si>
    <t xml:space="preserve">grouping</t>
  </si>
  <si>
    <t xml:space="preserve">stackName</t>
  </si>
  <si>
    <t xml:space="preserve">maxStack</t>
  </si>
  <si>
    <t xml:space="preserve">activate</t>
  </si>
  <si>
    <t xml:space="preserve">ref</t>
  </si>
  <si>
    <t xml:space="preserve">relation</t>
  </si>
  <si>
    <t xml:space="preserve">condition</t>
  </si>
  <si>
    <t xml:space="preserve">and/or</t>
  </si>
  <si>
    <t xml:space="preserve">effect</t>
  </si>
  <si>
    <t xml:space="preserve">threshold</t>
  </si>
  <si>
    <t xml:space="preserve">each</t>
  </si>
  <si>
    <t xml:space="preserve">value-0</t>
  </si>
  <si>
    <t xml:space="preserve">value-1</t>
  </si>
  <si>
    <t xml:space="preserve">value-2</t>
  </si>
  <si>
    <t xml:space="preserve">value-3</t>
  </si>
  <si>
    <t xml:space="preserve">value-4</t>
  </si>
  <si>
    <t xml:space="preserve">value-5</t>
  </si>
  <si>
    <t xml:space="preserve">value-6</t>
  </si>
  <si>
    <t xml:space="preserve">addition-0</t>
  </si>
  <si>
    <t xml:space="preserve">addition-1</t>
  </si>
  <si>
    <t xml:space="preserve">addition-2</t>
  </si>
  <si>
    <t xml:space="preserve">addition-3</t>
  </si>
  <si>
    <t xml:space="preserve">addtion-4</t>
  </si>
  <si>
    <t xml:space="preserve">addition-5</t>
  </si>
  <si>
    <t xml:space="preserve">addition-6</t>
  </si>
  <si>
    <t xml:space="preserve">波動電圧</t>
  </si>
  <si>
    <t xml:space="preserve">passive</t>
  </si>
  <si>
    <r>
      <rPr>
        <sz val="10"/>
        <rFont val="ＭＳ Ｐゴシック"/>
        <family val="2"/>
        <charset val="128"/>
      </rPr>
      <t xml:space="preserve">アンビーが『通常攻撃』</t>
    </r>
    <r>
      <rPr>
        <sz val="10"/>
        <rFont val="Times New Roman"/>
        <family val="1"/>
        <charset val="128"/>
      </rPr>
      <t xml:space="preserve">3</t>
    </r>
    <r>
      <rPr>
        <sz val="10"/>
        <rFont val="ＭＳ Ｐゴシック"/>
        <family val="2"/>
        <charset val="128"/>
      </rPr>
      <t xml:space="preserve">段目の後に、『通常攻撃：落雷』、『特殊スキル』または『強化特殊スキル』を発動した場合、スキルの与えるブレイク値が</t>
    </r>
    <r>
      <rPr>
        <sz val="10"/>
        <rFont val="Times New Roman"/>
        <family val="1"/>
        <charset val="128"/>
      </rPr>
      <t xml:space="preserve">32/37.3/42.6/48/53.3/58.6/64%</t>
    </r>
    <r>
      <rPr>
        <sz val="10"/>
        <rFont val="ＭＳ Ｐゴシック"/>
        <family val="2"/>
        <charset val="128"/>
      </rPr>
      <t xml:space="preserve">アップする。</t>
    </r>
  </si>
  <si>
    <t xml:space="preserve">basic-derived</t>
  </si>
  <si>
    <t xml:space="preserve">and</t>
  </si>
  <si>
    <t xml:space="preserve">hits</t>
  </si>
  <si>
    <t xml:space="preserve">break</t>
  </si>
  <si>
    <t xml:space="preserve">並列回路</t>
  </si>
  <si>
    <t xml:space="preserve">dodge-counter</t>
  </si>
  <si>
    <t xml:space="preserve">射撃姿勢</t>
  </si>
  <si>
    <t xml:space="preserve">スターライト戦隊</t>
  </si>
  <si>
    <t xml:space="preserve">からくり箱</t>
  </si>
  <si>
    <t xml:space="preserve">debuff</t>
  </si>
  <si>
    <t xml:space="preserve">狡兎三窟</t>
  </si>
  <si>
    <t xml:space="preserve">猫の忍び足</t>
  </si>
  <si>
    <t xml:space="preserve">キャットウォーク・ショー</t>
  </si>
  <si>
    <t xml:space="preserve">熱波</t>
  </si>
  <si>
    <t xml:space="preserve">basic-enhance dodge-dash</t>
  </si>
  <si>
    <t xml:space="preserve">燎原</t>
  </si>
  <si>
    <t xml:space="preserve">broken</t>
  </si>
  <si>
    <t xml:space="preserve">集中</t>
  </si>
  <si>
    <t xml:space="preserve">*-extension</t>
  </si>
  <si>
    <t xml:space="preserve">お掃除ヘルパー</t>
  </si>
  <si>
    <t xml:space="preserve">兄弟と一つに！</t>
  </si>
  <si>
    <t xml:space="preserve">一致協力</t>
  </si>
  <si>
    <t xml:space="preserve">守護</t>
  </si>
  <si>
    <t xml:space="preserve">契約合意</t>
  </si>
  <si>
    <t xml:space="preserve">爆砕槌</t>
  </si>
  <si>
    <t xml:space="preserve">白祇式経営学</t>
  </si>
  <si>
    <t xml:space="preserve">chain-chain</t>
  </si>
  <si>
    <t xml:space="preserve">プリドライバ撃針</t>
  </si>
  <si>
    <t xml:space="preserve">技術支援チーム</t>
  </si>
  <si>
    <t xml:space="preserve">state</t>
  </si>
  <si>
    <t xml:space="preserve">フルメタル・レッグ</t>
  </si>
  <si>
    <t xml:space="preserve">basic-enhance</t>
  </si>
  <si>
    <t xml:space="preserve">resist-ice</t>
  </si>
  <si>
    <t xml:space="preserve">優雅なる狩人</t>
  </si>
  <si>
    <t xml:space="preserve">break-rate</t>
  </si>
  <si>
    <t xml:space="preserve">口がおジョーズ</t>
  </si>
  <si>
    <t xml:space="preserve">dodge-dash-enhance normal-enhance</t>
  </si>
  <si>
    <t xml:space="preserve">ライジングストーム</t>
  </si>
  <si>
    <t xml:space="preserve">*</t>
  </si>
  <si>
    <t xml:space="preserve">ちょっとした殲滅のオトモ</t>
  </si>
  <si>
    <t xml:space="preserve">ally</t>
  </si>
  <si>
    <t xml:space="preserve">agent</t>
  </si>
  <si>
    <t xml:space="preserve">charId</t>
  </si>
  <si>
    <t xml:space="preserve">not</t>
  </si>
  <si>
    <t xml:space="preserve">penR</t>
  </si>
  <si>
    <t xml:space="preserve">完美なる舞踏会</t>
  </si>
  <si>
    <t xml:space="preserve">特殊弾薬</t>
  </si>
  <si>
    <t xml:space="preserve">basic-derived-enhance dodge-dash-enhance</t>
  </si>
  <si>
    <t xml:space="preserve">武装間連携</t>
  </si>
  <si>
    <t xml:space="preserve">刃旗激励</t>
  </si>
  <si>
    <t xml:space="preserve">ケータリングセット</t>
  </si>
  <si>
    <t xml:space="preserve">赤鬣親衛隊</t>
  </si>
  <si>
    <t xml:space="preserve">打席に立て！</t>
  </si>
  <si>
    <t xml:space="preserve">パワーチャージ</t>
  </si>
  <si>
    <t xml:space="preserve">一緒に飛ばそうぜい</t>
  </si>
  <si>
    <t xml:space="preserve">千秋万歳</t>
  </si>
  <si>
    <t xml:space="preserve">陽関三畳</t>
  </si>
  <si>
    <t xml:space="preserve">atk-v</t>
  </si>
  <si>
    <t xml:space="preserve">洞察</t>
  </si>
  <si>
    <t xml:space="preserve">anm-critR</t>
  </si>
  <si>
    <t xml:space="preserve">痛点</t>
  </si>
  <si>
    <t xml:space="preserve">effic-phy</t>
  </si>
  <si>
    <t xml:space="preserve">守護者</t>
  </si>
  <si>
    <t xml:space="preserve">断固たる盾</t>
  </si>
  <si>
    <t xml:space="preserve">意気揚々</t>
  </si>
  <si>
    <t xml:space="preserve">anm-resist</t>
  </si>
  <si>
    <t xml:space="preserve">堅固な壁</t>
  </si>
  <si>
    <t xml:space="preserve">栄光の盾</t>
  </si>
  <si>
    <t xml:space="preserve">ほとばしる闘志</t>
  </si>
  <si>
    <t xml:space="preserve">燃え広がる小火</t>
  </si>
  <si>
    <t xml:space="preserve">effic-fire</t>
  </si>
  <si>
    <t xml:space="preserve">月蝕</t>
  </si>
  <si>
    <t xml:space="preserve">月相</t>
  </si>
  <si>
    <t xml:space="preserve">アクセレラント</t>
  </si>
  <si>
    <t xml:space="preserve">resist-fire resist-ice</t>
  </si>
  <si>
    <t xml:space="preserve">燃える闘志</t>
  </si>
  <si>
    <t xml:space="preserve">高揚</t>
  </si>
  <si>
    <t xml:space="preserve">bonus-fire bonus-ice</t>
  </si>
  <si>
    <t xml:space="preserve">寒炎</t>
  </si>
  <si>
    <t xml:space="preserve">霜雪を共に沐し</t>
  </si>
  <si>
    <t xml:space="preserve">basic-charge</t>
  </si>
  <si>
    <t xml:space="preserve">pen-ice</t>
  </si>
  <si>
    <t xml:space="preserve">st-name</t>
  </si>
  <si>
    <t xml:space="preserve">Role-EN</t>
  </si>
  <si>
    <t xml:space="preserve">Role-JP</t>
  </si>
  <si>
    <t xml:space="preserve">source-type</t>
  </si>
  <si>
    <t xml:space="preserve">Fuction-JP</t>
  </si>
  <si>
    <t xml:space="preserve">Fuction-EN</t>
  </si>
  <si>
    <t xml:space="preserve">強攻</t>
  </si>
  <si>
    <t xml:space="preserve">邪兎屋</t>
  </si>
  <si>
    <t xml:space="preserve">Cunning Hares</t>
  </si>
  <si>
    <t xml:space="preserve">hp-v</t>
  </si>
  <si>
    <t xml:space="preserve">異常</t>
  </si>
  <si>
    <t xml:space="preserve">ヴィクトリア家政</t>
  </si>
  <si>
    <t xml:space="preserve">Victoria Housekeeping Co.</t>
  </si>
  <si>
    <t xml:space="preserve">撃破</t>
  </si>
  <si>
    <t xml:space="preserve">mindscape</t>
  </si>
  <si>
    <t xml:space="preserve">白祇重工</t>
  </si>
  <si>
    <t xml:space="preserve">Belobog Heavy Industries</t>
  </si>
  <si>
    <t xml:space="preserve">防護</t>
  </si>
  <si>
    <t xml:space="preserve">防衛軍・オボルス小隊</t>
  </si>
  <si>
    <t xml:space="preserve">Defense Force – Obol Squad</t>
  </si>
  <si>
    <t xml:space="preserve">支援</t>
  </si>
  <si>
    <t xml:space="preserve">対ホロウ特別行動部第六課</t>
  </si>
  <si>
    <t xml:space="preserve">Hollow Special Operations Section 6</t>
  </si>
  <si>
    <t xml:space="preserve">def-v</t>
  </si>
  <si>
    <t xml:space="preserve">Rupture</t>
  </si>
  <si>
    <t xml:space="preserve">命破</t>
  </si>
  <si>
    <t xml:space="preserve">特務捜査班</t>
  </si>
  <si>
    <t xml:space="preserve">Criminal Investigation Special Response Team</t>
  </si>
  <si>
    <t xml:space="preserve">Auric Ink</t>
  </si>
  <si>
    <t xml:space="preserve">カリュドーンの子</t>
  </si>
  <si>
    <t xml:space="preserve">Sons of Calydon</t>
  </si>
  <si>
    <t xml:space="preserve">スターズ・オブ・リラ</t>
  </si>
  <si>
    <t xml:space="preserve">Stars of Lyra</t>
  </si>
  <si>
    <t xml:space="preserve">防衛軍・シルバー小隊</t>
  </si>
  <si>
    <t xml:space="preserve">Defense Force – Silver Squad</t>
  </si>
  <si>
    <t xml:space="preserve">モッキンバード</t>
  </si>
  <si>
    <t xml:space="preserve">Mockingbird</t>
  </si>
  <si>
    <t xml:space="preserve">雲嶽山</t>
  </si>
  <si>
    <t xml:space="preserve">Yunkui Summit</t>
  </si>
  <si>
    <t xml:space="preserve">怪啖屋</t>
  </si>
  <si>
    <t xml:space="preserve">Spook Shack</t>
  </si>
  <si>
    <t xml:space="preserve">pen-v</t>
  </si>
  <si>
    <t xml:space="preserve">pen-phy</t>
  </si>
  <si>
    <t xml:space="preserve">pen-ele</t>
  </si>
  <si>
    <t xml:space="preserve">pen-eth</t>
  </si>
  <si>
    <t xml:space="preserve">effic-ice</t>
  </si>
  <si>
    <t xml:space="preserve">effic-eth</t>
  </si>
  <si>
    <t xml:space="preserve">bonus-anomaly</t>
  </si>
  <si>
    <t xml:space="preserve">レベル</t>
  </si>
  <si>
    <t xml:space="preserve">倍率</t>
  </si>
  <si>
    <t xml:space="preserve">上昇率</t>
  </si>
  <si>
    <t xml:space="preserve">攻撃係数</t>
  </si>
  <si>
    <t xml:space="preserve">防御係数</t>
  </si>
  <si>
    <t xml:space="preserve">基礎攻撃力</t>
  </si>
  <si>
    <t xml:space="preserve">スキル倍率</t>
  </si>
  <si>
    <t xml:space="preserve">敵防御基礎値</t>
  </si>
  <si>
    <r>
      <rPr>
        <sz val="10"/>
        <rFont val="ＭＳ Ｐゴシック"/>
        <family val="2"/>
        <charset val="128"/>
      </rPr>
      <t xml:space="preserve">敵</t>
    </r>
    <r>
      <rPr>
        <sz val="10"/>
        <rFont val="Arial"/>
        <family val="2"/>
        <charset val="128"/>
      </rPr>
      <t xml:space="preserve">Lv</t>
    </r>
  </si>
  <si>
    <r>
      <rPr>
        <sz val="10"/>
        <rFont val="ＭＳ Ｐゴシック"/>
        <family val="2"/>
        <charset val="128"/>
      </rPr>
      <t xml:space="preserve">攻撃側</t>
    </r>
    <r>
      <rPr>
        <sz val="10"/>
        <rFont val="Arial"/>
        <family val="2"/>
        <charset val="128"/>
      </rPr>
      <t xml:space="preserve">Lv</t>
    </r>
    <r>
      <rPr>
        <sz val="10"/>
        <rFont val="ＭＳ Ｐゴシック"/>
        <family val="2"/>
        <charset val="128"/>
      </rPr>
      <t xml:space="preserve">係数</t>
    </r>
  </si>
  <si>
    <t xml:space="preserve">ダメージ出力</t>
  </si>
  <si>
    <t xml:space="preserve">攻撃力</t>
  </si>
  <si>
    <t xml:space="preserve">ダメージボーナス</t>
  </si>
  <si>
    <t xml:space="preserve">特殊補正</t>
  </si>
  <si>
    <t xml:space="preserve">会心補正</t>
  </si>
  <si>
    <t xml:space="preserve">ブレイク倍率</t>
  </si>
  <si>
    <t xml:space="preserve">防御補正</t>
  </si>
  <si>
    <t xml:space="preserve">耐性補正</t>
  </si>
  <si>
    <t xml:space="preserve">=</t>
  </si>
  <si>
    <t xml:space="preserve">↑</t>
  </si>
  <si>
    <t xml:space="preserve">レベル係数</t>
  </si>
  <si>
    <t xml:space="preserve">有効防御力</t>
  </si>
  <si>
    <t xml:space="preserve">攻撃力倍率</t>
  </si>
  <si>
    <t xml:space="preserve">攻撃力加算</t>
  </si>
  <si>
    <t xml:space="preserve">攻撃力倍率バフ</t>
  </si>
  <si>
    <t xml:space="preserve">攻撃力加算バフ</t>
  </si>
  <si>
    <t xml:space="preserve">防御力</t>
  </si>
  <si>
    <t xml:space="preserve">防御デバフ</t>
  </si>
  <si>
    <t xml:space="preserve">貫通率</t>
  </si>
  <si>
    <t xml:space="preserve">貫通値</t>
  </si>
  <si>
    <t xml:space="preserve">防御基礎値</t>
  </si>
  <si>
    <t xml:space="preserve">敵レベル</t>
  </si>
  <si>
    <t xml:space="preserve">基礎値</t>
  </si>
  <si>
    <t xml:space="preserve">実ダメージ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</si>
</sst>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0%"/>
    <numFmt numFmtId="166" formatCode="0.00%"/>
    <numFmt numFmtId="167" formatCode="0.000%"/>
    <numFmt numFmtId="168" formatCode="#,##0.000"/>
    <numFmt numFmtId="169" formatCode="#,##0.00"/>
    <numFmt numFmtId="170" formatCode="0.000"/>
    <numFmt numFmtId="171" formatCode="0.0%"/>
    <numFmt numFmtId="172" formatCode="0.0"/>
    <numFmt numFmtId="173" formatCode="0"/>
  </numFmts>
  <fonts count="11">
    <font>
      <sz val="10"/>
      <name val="ＭＳ Ｐゴシック"/>
      <family val="2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Arial"/>
      <family val="2"/>
      <charset val="128"/>
    </font>
    <font>
      <sz val="10"/>
      <name val="Arial"/>
      <family val="2"/>
      <charset val="1"/>
    </font>
    <font>
      <sz val="10"/>
      <name val="ＭＳ Ｐゴシック"/>
      <family val="3"/>
      <charset val="128"/>
    </font>
    <font>
      <sz val="10"/>
      <name val="ＭＳ ゴシック;游ゴシック;メイリオ"/>
      <family val="3"/>
      <charset val="128"/>
    </font>
    <font>
      <sz val="10"/>
      <name val="Times New Roman"/>
      <family val="1"/>
      <charset val="128"/>
    </font>
    <font>
      <b val="true"/>
      <sz val="10"/>
      <name val="ＭＳ Ｐゴシック"/>
      <family val="2"/>
      <charset val="128"/>
    </font>
    <font>
      <sz val="10"/>
      <color rgb="FFFFFFFF"/>
      <name val="DejaVu Sans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 style="double">
        <color rgb="FFFFFFFF"/>
      </top>
      <bottom style="double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1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2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73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3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1C1C1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0828571428571429"/>
          <c:y val="0.0386795598532844"/>
          <c:w val="0.770508474576271"/>
          <c:h val="0.865177281315994"/>
        </c:manualLayout>
      </c:layout>
      <c:lineChart>
        <c:grouping val="standard"/>
        <c:varyColors val="0"/>
        <c:ser>
          <c:idx val="0"/>
          <c:order val="0"/>
          <c:tx>
            <c:strRef>
              <c:f>Sheet9!$C$23</c:f>
              <c:strCache>
                <c:ptCount val="1"/>
                <c:pt idx="0">
                  <c:v>実ダメージ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Sheet9!$B$25:$B$30</c:f>
              <c:strCach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</c:strCache>
            </c:strRef>
          </c:cat>
          <c:val>
            <c:numRef>
              <c:f>Sheet9!$C$25:$C$30</c:f>
              <c:numCache>
                <c:formatCode>General</c:formatCode>
                <c:ptCount val="6"/>
                <c:pt idx="0">
                  <c:v>832</c:v>
                </c:pt>
                <c:pt idx="1">
                  <c:v>771</c:v>
                </c:pt>
                <c:pt idx="2">
                  <c:v>698</c:v>
                </c:pt>
                <c:pt idx="3">
                  <c:v>623</c:v>
                </c:pt>
                <c:pt idx="4">
                  <c:v>551</c:v>
                </c:pt>
                <c:pt idx="5">
                  <c:v>485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Sheet9!$D$23</c:f>
              <c:strCache>
                <c:ptCount val="1"/>
                <c:pt idx="0">
                  <c:v>防御補正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Sheet9!$B$25:$B$30</c:f>
              <c:strCach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</c:strCache>
            </c:strRef>
          </c:cat>
          <c:val>
            <c:numRef>
              <c:f>Sheet9!$D$25:$D$30</c:f>
              <c:numCache>
                <c:formatCode>General</c:formatCode>
                <c:ptCount val="6"/>
                <c:pt idx="0">
                  <c:v>0.904131620699398</c:v>
                </c:pt>
                <c:pt idx="1">
                  <c:v>0.837843124470235</c:v>
                </c:pt>
                <c:pt idx="2">
                  <c:v>0.758514268327139</c:v>
                </c:pt>
                <c:pt idx="3">
                  <c:v>0.677012018865054</c:v>
                </c:pt>
                <c:pt idx="4">
                  <c:v>0.598769859381452</c:v>
                </c:pt>
                <c:pt idx="5">
                  <c:v>0.527047879854817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Sheet9!$E$23</c:f>
              <c:strCache>
                <c:ptCount val="1"/>
                <c:pt idx="0">
                  <c:v>有効防御力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Sheet9!$B$25:$B$30</c:f>
              <c:strCach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</c:strCache>
            </c:strRef>
          </c:cat>
          <c:val>
            <c:numRef>
              <c:f>Sheet9!$E$25:$E$30</c:f>
              <c:numCache>
                <c:formatCode>General</c:formatCode>
                <c:ptCount val="6"/>
                <c:pt idx="0">
                  <c:v>84.1907211538461</c:v>
                </c:pt>
                <c:pt idx="1">
                  <c:v>153.671439688716</c:v>
                </c:pt>
                <c:pt idx="2">
                  <c:v>252.783209169054</c:v>
                </c:pt>
                <c:pt idx="3">
                  <c:v>378.800449438202</c:v>
                </c:pt>
                <c:pt idx="4">
                  <c:v>532.052050816697</c:v>
                </c:pt>
                <c:pt idx="5">
                  <c:v>712.504494845361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9247485"/>
        <c:axId val="4669371"/>
      </c:lineChart>
      <c:catAx>
        <c:axId val="9247485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trike="noStrike" u="none">
                <a:solidFill>
                  <a:srgbClr val="ffffff"/>
                </a:solidFill>
                <a:uFillTx/>
                <a:latin typeface="Arial"/>
                <a:ea typeface="DejaVu Sans"/>
              </a:defRPr>
            </a:pPr>
          </a:p>
        </c:txPr>
        <c:crossAx val="4669371"/>
        <c:crosses val="autoZero"/>
        <c:auto val="1"/>
        <c:lblAlgn val="ctr"/>
        <c:lblOffset val="100"/>
        <c:noMultiLvlLbl val="0"/>
      </c:catAx>
      <c:valAx>
        <c:axId val="466937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trike="noStrike" u="none">
                <a:solidFill>
                  <a:srgbClr val="ffffff"/>
                </a:solidFill>
                <a:uFillTx/>
                <a:latin typeface="Arial"/>
                <a:ea typeface="DejaVu Sans"/>
              </a:defRPr>
            </a:pPr>
          </a:p>
        </c:txPr>
        <c:crossAx val="9247485"/>
        <c:crossesAt val="1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82175197327006"/>
          <c:y val="0.437541675927984"/>
          <c:w val="0.178014527845036"/>
          <c:h val="0.119595420695787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1000" strike="noStrike" u="none">
              <a:solidFill>
                <a:srgbClr val="ffffff"/>
              </a:solidFill>
              <a:uFillTx/>
              <a:latin typeface="Arial"/>
              <a:ea typeface="DejaVu Sans"/>
            </a:defRPr>
          </a:pPr>
        </a:p>
      </c:txPr>
    </c:legend>
    <c:plotVisOnly val="1"/>
    <c:dispBlanksAs val="gap"/>
  </c:chart>
  <c:spPr>
    <a:solidFill>
      <a:srgbClr val="1c1c1c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43920</xdr:colOff>
      <xdr:row>23</xdr:row>
      <xdr:rowOff>0</xdr:rowOff>
    </xdr:from>
    <xdr:to>
      <xdr:col>15</xdr:col>
      <xdr:colOff>162360</xdr:colOff>
      <xdr:row>42</xdr:row>
      <xdr:rowOff>150120</xdr:rowOff>
    </xdr:to>
    <xdr:graphicFrame>
      <xdr:nvGraphicFramePr>
        <xdr:cNvPr id="0" name=""/>
        <xdr:cNvGraphicFramePr/>
      </xdr:nvGraphicFramePr>
      <xdr:xfrm>
        <a:off x="4920840" y="3738960"/>
        <a:ext cx="7433640" cy="323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O121"/>
  <sheetViews>
    <sheetView showFormulas="false" showGridLines="true" showRowColHeaders="true" showZeros="true" rightToLeft="false" tabSelected="false" showOutlineSymbols="true" defaultGridColor="true" view="normal" topLeftCell="E10" colorId="64" zoomScale="90" zoomScaleNormal="90" zoomScalePageLayoutView="100" workbookViewId="0">
      <selection pane="topLeft" activeCell="L21" activeCellId="0" sqref="L21"/>
    </sheetView>
  </sheetViews>
  <sheetFormatPr defaultColWidth="12.8046875" defaultRowHeight="12.8" customHeight="true" zeroHeight="false" outlineLevelRow="0" outlineLevelCol="0"/>
  <cols>
    <col collapsed="false" customWidth="true" hidden="false" outlineLevel="0" max="13" min="13" style="1" width="7.13"/>
  </cols>
  <sheetData>
    <row r="2" customFormat="false" ht="12.8" hidden="false" customHeight="false" outlineLevel="0" collapsed="false">
      <c r="C2" s="2" t="s">
        <v>0</v>
      </c>
    </row>
    <row r="3" customFormat="false" ht="12.8" hidden="false" customHeight="false" outlineLevel="0" collapsed="false">
      <c r="A3" s="2" t="s">
        <v>1</v>
      </c>
      <c r="B3" s="1" t="n">
        <v>7673</v>
      </c>
      <c r="C3" s="1" t="n">
        <v>880</v>
      </c>
      <c r="D3" s="1" t="n">
        <v>606</v>
      </c>
      <c r="E3" s="1" t="n">
        <v>86</v>
      </c>
    </row>
    <row r="4" customFormat="false" ht="12.8" hidden="false" customHeight="false" outlineLevel="0" collapsed="false">
      <c r="A4" s="2" t="s">
        <v>2</v>
      </c>
      <c r="C4" s="1" t="n">
        <v>684</v>
      </c>
    </row>
    <row r="5" customFormat="false" ht="12.8" hidden="false" customHeight="false" outlineLevel="0" collapsed="false">
      <c r="C5" s="3" t="n">
        <v>0</v>
      </c>
    </row>
    <row r="6" customFormat="false" ht="12.8" hidden="false" customHeight="false" outlineLevel="0" collapsed="false">
      <c r="A6" s="2" t="s">
        <v>3</v>
      </c>
      <c r="C6" s="1" t="n">
        <v>38</v>
      </c>
    </row>
    <row r="7" customFormat="false" ht="12.8" hidden="false" customHeight="false" outlineLevel="0" collapsed="false">
      <c r="C7" s="3" t="n">
        <v>0</v>
      </c>
    </row>
    <row r="8" customFormat="false" ht="12.8" hidden="false" customHeight="false" outlineLevel="0" collapsed="false">
      <c r="A8" s="2" t="s">
        <v>4</v>
      </c>
      <c r="C8" s="1" t="n">
        <v>316</v>
      </c>
    </row>
    <row r="9" customFormat="false" ht="12.8" hidden="false" customHeight="false" outlineLevel="0" collapsed="false">
      <c r="C9" s="3" t="n">
        <v>0</v>
      </c>
    </row>
    <row r="10" customFormat="false" ht="12.8" hidden="false" customHeight="false" outlineLevel="0" collapsed="false">
      <c r="A10" s="2" t="s">
        <v>5</v>
      </c>
      <c r="C10" s="1" t="n">
        <v>0</v>
      </c>
    </row>
    <row r="11" customFormat="false" ht="12.8" hidden="false" customHeight="false" outlineLevel="0" collapsed="false">
      <c r="C11" s="3" t="n">
        <v>0.06</v>
      </c>
    </row>
    <row r="12" customFormat="false" ht="12.8" hidden="false" customHeight="false" outlineLevel="0" collapsed="false">
      <c r="A12" s="2" t="s">
        <v>6</v>
      </c>
      <c r="C12" s="1" t="n">
        <v>0</v>
      </c>
    </row>
    <row r="13" customFormat="false" ht="12.8" hidden="false" customHeight="false" outlineLevel="0" collapsed="false">
      <c r="C13" s="3" t="n">
        <v>0.12</v>
      </c>
    </row>
    <row r="14" customFormat="false" ht="12.8" hidden="false" customHeight="false" outlineLevel="0" collapsed="false">
      <c r="A14" s="2" t="s">
        <v>7</v>
      </c>
      <c r="C14" s="1" t="n">
        <v>0</v>
      </c>
    </row>
    <row r="15" customFormat="false" ht="12.8" hidden="false" customHeight="false" outlineLevel="0" collapsed="false">
      <c r="C15" s="3" t="n">
        <v>0.09</v>
      </c>
    </row>
    <row r="16" customFormat="false" ht="12.8" hidden="false" customHeight="false" outlineLevel="0" collapsed="false">
      <c r="A16" s="2" t="s">
        <v>8</v>
      </c>
      <c r="C16" s="1" t="n">
        <v>57</v>
      </c>
    </row>
    <row r="17" customFormat="false" ht="12.8" hidden="false" customHeight="false" outlineLevel="0" collapsed="false">
      <c r="C17" s="3" t="n">
        <v>0</v>
      </c>
    </row>
    <row r="19" customFormat="false" ht="12.8" hidden="false" customHeight="false" outlineLevel="0" collapsed="false">
      <c r="A19" s="2" t="s">
        <v>9</v>
      </c>
      <c r="C19" s="1" t="n">
        <f aca="false">SUM(C6,C8,C10,C12,C14,C16)</f>
        <v>411</v>
      </c>
    </row>
    <row r="20" customFormat="false" ht="12.8" hidden="false" customHeight="false" outlineLevel="0" collapsed="false">
      <c r="C20" s="3" t="n">
        <f aca="false">SUM(C5,C7,C9,C11,C13,C15,C17)</f>
        <v>0.27</v>
      </c>
      <c r="K20" s="4" t="n">
        <v>0.0673</v>
      </c>
      <c r="L20" s="4" t="n">
        <f aca="false">63.23%</f>
        <v>0.6323</v>
      </c>
      <c r="M20" s="4" t="s">
        <v>10</v>
      </c>
      <c r="N20" s="4" t="n">
        <f aca="false">30%</f>
        <v>0.3</v>
      </c>
      <c r="O20" s="2" t="s">
        <v>11</v>
      </c>
    </row>
    <row r="21" customFormat="false" ht="12.8" hidden="false" customHeight="false" outlineLevel="0" collapsed="false">
      <c r="C21" s="1" t="n">
        <f aca="false">(C3+C4)*C20</f>
        <v>422.28</v>
      </c>
      <c r="D21" s="1" t="n">
        <f aca="false">(C3+C4)*0.03</f>
        <v>46.92</v>
      </c>
      <c r="G21" s="1" t="n">
        <v>32</v>
      </c>
      <c r="H21" s="1" t="n">
        <v>475</v>
      </c>
      <c r="I21" s="5" t="n">
        <f aca="false">G21/H21</f>
        <v>0.0673684210526316</v>
      </c>
      <c r="J21" s="5" t="n">
        <f aca="false">H21/G21</f>
        <v>14.84375</v>
      </c>
      <c r="K21" s="6" t="n">
        <f aca="false">H21*$K$20</f>
        <v>31.9675</v>
      </c>
      <c r="L21" s="6" t="n">
        <f aca="false">H21*$L$20</f>
        <v>300.3425</v>
      </c>
      <c r="M21" s="6" t="n">
        <f aca="false">L21/60</f>
        <v>5.00570833333333</v>
      </c>
      <c r="N21" s="6" t="n">
        <f aca="false">H21*$N$20</f>
        <v>142.5</v>
      </c>
      <c r="O21" s="6" t="n">
        <f aca="false">N21/5</f>
        <v>28.5</v>
      </c>
    </row>
    <row r="22" customFormat="false" ht="12.8" hidden="false" customHeight="false" outlineLevel="0" collapsed="false">
      <c r="C22" s="1" t="n">
        <f aca="false">(C3+C4)*(1+C20)+C19</f>
        <v>2397.28</v>
      </c>
      <c r="G22" s="1" t="n">
        <v>40</v>
      </c>
      <c r="H22" s="1" t="n">
        <v>594</v>
      </c>
      <c r="I22" s="5" t="n">
        <f aca="false">G22/H22</f>
        <v>0.0673400673400673</v>
      </c>
      <c r="J22" s="5" t="n">
        <f aca="false">H22/G22</f>
        <v>14.85</v>
      </c>
      <c r="K22" s="6" t="n">
        <f aca="false">H22*$K$20</f>
        <v>39.9762</v>
      </c>
      <c r="L22" s="6" t="n">
        <f aca="false">H22*$L$20</f>
        <v>375.5862</v>
      </c>
      <c r="M22" s="6" t="n">
        <f aca="false">L22/60</f>
        <v>6.25977</v>
      </c>
      <c r="N22" s="6" t="n">
        <f aca="false">H22*$N$20</f>
        <v>178.2</v>
      </c>
      <c r="O22" s="6" t="n">
        <f aca="false">N22/5</f>
        <v>35.64</v>
      </c>
    </row>
    <row r="23" customFormat="false" ht="12.8" hidden="false" customHeight="false" outlineLevel="0" collapsed="false">
      <c r="C23" s="1" t="n">
        <f aca="false">SUM(C3,C4,C19,C21)</f>
        <v>2397.28</v>
      </c>
      <c r="G23" s="1" t="n">
        <v>42</v>
      </c>
      <c r="H23" s="1" t="n">
        <v>624</v>
      </c>
      <c r="I23" s="5" t="n">
        <f aca="false">G23/H23</f>
        <v>0.0673076923076923</v>
      </c>
      <c r="J23" s="5" t="n">
        <f aca="false">H23/G23</f>
        <v>14.8571428571429</v>
      </c>
      <c r="K23" s="6" t="n">
        <f aca="false">H23*$K$20</f>
        <v>41.9952</v>
      </c>
      <c r="L23" s="6" t="n">
        <f aca="false">H23*$L$20</f>
        <v>394.5552</v>
      </c>
      <c r="M23" s="6" t="n">
        <f aca="false">L23/60</f>
        <v>6.57592</v>
      </c>
      <c r="N23" s="6" t="n">
        <f aca="false">H23*$N$20</f>
        <v>187.2</v>
      </c>
      <c r="O23" s="6" t="n">
        <f aca="false">N23/5</f>
        <v>37.44</v>
      </c>
    </row>
    <row r="24" customFormat="false" ht="12.8" hidden="false" customHeight="false" outlineLevel="0" collapsed="false">
      <c r="G24" s="1" t="n">
        <v>46</v>
      </c>
      <c r="H24" s="1" t="n">
        <v>684</v>
      </c>
      <c r="I24" s="5" t="n">
        <f aca="false">G24/H24</f>
        <v>0.0672514619883041</v>
      </c>
      <c r="J24" s="5" t="n">
        <f aca="false">H24/G24</f>
        <v>14.8695652173913</v>
      </c>
      <c r="K24" s="6" t="n">
        <f aca="false">H24*$K$20</f>
        <v>46.0332</v>
      </c>
      <c r="L24" s="6" t="n">
        <f aca="false">H24*$L$20</f>
        <v>432.4932</v>
      </c>
      <c r="M24" s="6" t="n">
        <f aca="false">L24/60</f>
        <v>7.20822</v>
      </c>
      <c r="N24" s="6" t="n">
        <f aca="false">H24*$N$20</f>
        <v>205.2</v>
      </c>
      <c r="O24" s="6" t="n">
        <f aca="false">N24/5</f>
        <v>41.04</v>
      </c>
    </row>
    <row r="25" customFormat="false" ht="12.8" hidden="false" customHeight="false" outlineLevel="0" collapsed="false">
      <c r="G25" s="1" t="n">
        <v>48</v>
      </c>
      <c r="H25" s="1" t="n">
        <v>713</v>
      </c>
      <c r="I25" s="5" t="n">
        <f aca="false">G25/H25</f>
        <v>0.0673211781206171</v>
      </c>
      <c r="J25" s="5" t="n">
        <f aca="false">H25/G25</f>
        <v>14.8541666666667</v>
      </c>
      <c r="K25" s="6" t="n">
        <f aca="false">H25*$K$20</f>
        <v>47.9849</v>
      </c>
      <c r="L25" s="6" t="n">
        <f aca="false">H25*$L$20</f>
        <v>450.8299</v>
      </c>
      <c r="M25" s="6" t="n">
        <f aca="false">L25/60</f>
        <v>7.51383166666667</v>
      </c>
      <c r="N25" s="6" t="n">
        <f aca="false">H25*$N$20</f>
        <v>213.9</v>
      </c>
      <c r="O25" s="6" t="n">
        <f aca="false">N25/5</f>
        <v>42.78</v>
      </c>
    </row>
    <row r="26" customFormat="false" ht="12.8" hidden="false" customHeight="false" outlineLevel="0" collapsed="false">
      <c r="C26" s="1" t="n">
        <f aca="false">2434.11-C22</f>
        <v>36.8300000000004</v>
      </c>
      <c r="G26" s="1" t="n">
        <v>50</v>
      </c>
      <c r="H26" s="1" t="n">
        <v>743</v>
      </c>
      <c r="I26" s="5" t="n">
        <f aca="false">G26/H26</f>
        <v>0.0672947510094213</v>
      </c>
      <c r="J26" s="5" t="n">
        <f aca="false">H26/G26</f>
        <v>14.86</v>
      </c>
      <c r="K26" s="6" t="n">
        <f aca="false">H26*$K$20</f>
        <v>50.0039</v>
      </c>
      <c r="L26" s="6" t="n">
        <f aca="false">H26*$L$20</f>
        <v>469.7989</v>
      </c>
      <c r="M26" s="6" t="n">
        <f aca="false">L26/60</f>
        <v>7.82998166666667</v>
      </c>
      <c r="N26" s="6" t="n">
        <f aca="false">H26*$N$20</f>
        <v>222.9</v>
      </c>
      <c r="O26" s="6" t="n">
        <f aca="false">N26/5</f>
        <v>44.58</v>
      </c>
    </row>
    <row r="27" customFormat="false" ht="12.8" hidden="false" customHeight="false" outlineLevel="0" collapsed="false">
      <c r="I27" s="5" t="n">
        <f aca="false">AVERAGE(I21:I26)</f>
        <v>0.0673139286364556</v>
      </c>
      <c r="J27" s="5" t="n">
        <f aca="false">AVERAGE(J21:J26)</f>
        <v>14.8557707902001</v>
      </c>
    </row>
    <row r="30" customFormat="false" ht="12.8" hidden="false" customHeight="false" outlineLevel="0" collapsed="false">
      <c r="A30" s="2" t="s">
        <v>12</v>
      </c>
      <c r="B30" s="2" t="s">
        <v>13</v>
      </c>
      <c r="C30" s="2" t="s">
        <v>14</v>
      </c>
      <c r="D30" s="2" t="s">
        <v>15</v>
      </c>
      <c r="E30" s="2" t="s">
        <v>16</v>
      </c>
    </row>
    <row r="31" customFormat="false" ht="12.8" hidden="false" customHeight="false" outlineLevel="0" collapsed="false">
      <c r="A31" s="1" t="n">
        <v>32</v>
      </c>
      <c r="B31" s="7" t="n">
        <f aca="false">A31*B32</f>
        <v>5.01312</v>
      </c>
      <c r="C31" s="7" t="n">
        <f aca="false">A31*C32</f>
        <v>28.608</v>
      </c>
      <c r="D31" s="1" t="n">
        <v>5</v>
      </c>
      <c r="E31" s="7" t="n">
        <f aca="false">A31+(B31*60)+(C31*5)</f>
        <v>475.8272</v>
      </c>
      <c r="F31" s="7" t="n">
        <f aca="false">A31*F32</f>
        <v>475.84</v>
      </c>
    </row>
    <row r="32" customFormat="false" ht="12.8" hidden="false" customHeight="false" outlineLevel="0" collapsed="false">
      <c r="B32" s="4" t="n">
        <v>0.15666</v>
      </c>
      <c r="C32" s="4" t="n">
        <v>0.894</v>
      </c>
      <c r="F32" s="4" t="n">
        <v>14.87</v>
      </c>
    </row>
    <row r="33" customFormat="false" ht="12.8" hidden="false" customHeight="false" outlineLevel="0" collapsed="false">
      <c r="A33" s="2" t="s">
        <v>17</v>
      </c>
      <c r="C33" s="2" t="s">
        <v>18</v>
      </c>
      <c r="D33" s="2" t="s">
        <v>19</v>
      </c>
      <c r="F33" s="2" t="s">
        <v>20</v>
      </c>
    </row>
    <row r="34" customFormat="false" ht="12.8" hidden="false" customHeight="false" outlineLevel="0" collapsed="false">
      <c r="A34" s="1" t="n">
        <v>0</v>
      </c>
      <c r="B34" s="1" t="n">
        <v>0</v>
      </c>
      <c r="C34" s="8" t="n">
        <f aca="false">$A$31+$B$31*$A34+$C$31*$B34</f>
        <v>32</v>
      </c>
      <c r="D34" s="1" t="n">
        <f aca="false">ROUNDDOWN($A$31+$B$31*$A34+$C$31*$B34,0)</f>
        <v>32</v>
      </c>
      <c r="F34" s="1" t="n">
        <v>0</v>
      </c>
      <c r="H34" s="9" t="n">
        <f aca="false">F34/$A$31</f>
        <v>0</v>
      </c>
    </row>
    <row r="35" customFormat="false" ht="12.8" hidden="false" customHeight="false" outlineLevel="0" collapsed="false">
      <c r="A35" s="1" t="n">
        <v>1</v>
      </c>
      <c r="B35" s="1" t="n">
        <v>0</v>
      </c>
      <c r="C35" s="8" t="n">
        <f aca="false">$A$31+$B$31*$A35+$C$31*$B35</f>
        <v>37.01312</v>
      </c>
      <c r="D35" s="1" t="n">
        <f aca="false">ROUNDDOWN($A$31+$B$31*$A35+$C$31*$B35,0)</f>
        <v>37</v>
      </c>
      <c r="E35" s="2" t="str">
        <f aca="false">"+"&amp;($D35-$D34)</f>
        <v>+5</v>
      </c>
      <c r="F35" s="1" t="n">
        <v>6</v>
      </c>
      <c r="G35" s="1" t="n">
        <f aca="false">F35-F34</f>
        <v>6</v>
      </c>
      <c r="H35" s="9" t="n">
        <f aca="false">G35/$A$31</f>
        <v>0.1875</v>
      </c>
      <c r="J35" s="2" t="s">
        <v>0</v>
      </c>
      <c r="K35" s="1" t="n">
        <v>2856</v>
      </c>
      <c r="L35" s="1" t="n">
        <v>2781</v>
      </c>
    </row>
    <row r="36" customFormat="false" ht="12.8" hidden="false" customHeight="false" outlineLevel="0" collapsed="false">
      <c r="A36" s="1" t="n">
        <v>2</v>
      </c>
      <c r="B36" s="1" t="n">
        <v>0</v>
      </c>
      <c r="C36" s="8" t="n">
        <f aca="false">$A$31+$B$31*$A36+$C$31*$B36</f>
        <v>42.02624</v>
      </c>
      <c r="D36" s="1" t="n">
        <f aca="false">ROUNDDOWN($A$31+$B$31*$A36+$C$31*$B36,0)</f>
        <v>42</v>
      </c>
      <c r="E36" s="1" t="str">
        <f aca="false">"+"&amp;($D36-$D35)</f>
        <v>+5</v>
      </c>
      <c r="F36" s="1" t="n">
        <v>13</v>
      </c>
      <c r="G36" s="1" t="n">
        <f aca="false">F36-F35</f>
        <v>7</v>
      </c>
      <c r="H36" s="9" t="n">
        <f aca="false">G36/$A$31</f>
        <v>0.21875</v>
      </c>
      <c r="J36" s="2" t="s">
        <v>21</v>
      </c>
      <c r="K36" s="1" t="n">
        <v>68.2</v>
      </c>
      <c r="L36" s="1" t="n">
        <v>75.4</v>
      </c>
    </row>
    <row r="37" customFormat="false" ht="12.8" hidden="false" customHeight="false" outlineLevel="0" collapsed="false">
      <c r="A37" s="1" t="n">
        <v>3</v>
      </c>
      <c r="B37" s="1" t="n">
        <v>0</v>
      </c>
      <c r="C37" s="8" t="n">
        <f aca="false">$A$31+$B$31*$A37+$C$31*$B37</f>
        <v>47.03936</v>
      </c>
      <c r="D37" s="1" t="n">
        <f aca="false">ROUNDDOWN($A$31+$B$31*$A37+$C$31*$B37,0)</f>
        <v>47</v>
      </c>
      <c r="E37" s="1" t="str">
        <f aca="false">"+"&amp;($D37-$D36)</f>
        <v>+5</v>
      </c>
      <c r="F37" s="1" t="n">
        <v>19</v>
      </c>
      <c r="G37" s="1" t="n">
        <f aca="false">F37-F36</f>
        <v>6</v>
      </c>
      <c r="H37" s="9" t="n">
        <f aca="false">G37/$A$31</f>
        <v>0.1875</v>
      </c>
      <c r="J37" s="2" t="s">
        <v>22</v>
      </c>
      <c r="K37" s="1" t="n">
        <v>104.4</v>
      </c>
      <c r="L37" s="1" t="n">
        <v>104.4</v>
      </c>
    </row>
    <row r="38" customFormat="false" ht="12.8" hidden="false" customHeight="false" outlineLevel="0" collapsed="false">
      <c r="A38" s="1" t="n">
        <v>4</v>
      </c>
      <c r="B38" s="1" t="n">
        <v>0</v>
      </c>
      <c r="C38" s="8" t="n">
        <f aca="false">$A$31+$B$31*$A38+$C$31*$B38</f>
        <v>52.05248</v>
      </c>
      <c r="D38" s="1" t="n">
        <f aca="false">ROUNDDOWN($A$31+$B$31*$A38+$C$31*$B38,0)</f>
        <v>52</v>
      </c>
      <c r="E38" s="1" t="str">
        <f aca="false">"+"&amp;($D38-$D37)</f>
        <v>+5</v>
      </c>
      <c r="F38" s="1" t="n">
        <v>26</v>
      </c>
      <c r="G38" s="1" t="n">
        <f aca="false">F38-F37</f>
        <v>7</v>
      </c>
      <c r="H38" s="9" t="n">
        <f aca="false">G38/$A$31</f>
        <v>0.21875</v>
      </c>
    </row>
    <row r="39" customFormat="false" ht="12.8" hidden="false" customHeight="false" outlineLevel="0" collapsed="false">
      <c r="A39" s="1" t="n">
        <v>5</v>
      </c>
      <c r="B39" s="1" t="n">
        <v>0</v>
      </c>
      <c r="C39" s="8" t="n">
        <f aca="false">$A$31+$B$31*$A39+$C$31*$B39</f>
        <v>57.0656</v>
      </c>
      <c r="D39" s="1" t="n">
        <f aca="false">ROUNDDOWN($A$31+$B$31*$A39+$C$31*$B39,0)</f>
        <v>57</v>
      </c>
      <c r="E39" s="1" t="str">
        <f aca="false">"+"&amp;($D39-$D38)</f>
        <v>+5</v>
      </c>
      <c r="F39" s="1" t="n">
        <v>32</v>
      </c>
      <c r="G39" s="1" t="n">
        <f aca="false">F39-F38</f>
        <v>6</v>
      </c>
      <c r="H39" s="9" t="n">
        <f aca="false">G39/$A$31</f>
        <v>0.1875</v>
      </c>
      <c r="K39" s="10" t="n">
        <f aca="false">K35*(1+(K37/100)*(K36/100))</f>
        <v>4889.494848</v>
      </c>
      <c r="L39" s="10" t="n">
        <f aca="false">L35*(1+(L37/100)*(L36/100))</f>
        <v>4970.136456</v>
      </c>
    </row>
    <row r="40" customFormat="false" ht="12.8" hidden="false" customHeight="false" outlineLevel="0" collapsed="false">
      <c r="A40" s="1" t="n">
        <v>6</v>
      </c>
      <c r="B40" s="1" t="n">
        <v>0</v>
      </c>
      <c r="C40" s="8" t="n">
        <f aca="false">$A$31+$B$31*$A40+$C$31*$B40</f>
        <v>62.07872</v>
      </c>
      <c r="D40" s="1" t="n">
        <f aca="false">ROUNDDOWN($A$31+$B$31*$A40+$C$31*$B40,0)</f>
        <v>62</v>
      </c>
      <c r="E40" s="1" t="str">
        <f aca="false">"+"&amp;($D40-$D39)</f>
        <v>+5</v>
      </c>
      <c r="F40" s="1" t="n">
        <v>39</v>
      </c>
      <c r="G40" s="1" t="n">
        <f aca="false">F40-F39</f>
        <v>7</v>
      </c>
      <c r="H40" s="9" t="n">
        <f aca="false">G40/$A$31</f>
        <v>0.21875</v>
      </c>
      <c r="K40" s="10" t="n">
        <f aca="false">K39/K35</f>
        <v>1.712008</v>
      </c>
      <c r="L40" s="10" t="n">
        <f aca="false">L39/L35</f>
        <v>1.787176</v>
      </c>
    </row>
    <row r="41" customFormat="false" ht="12.8" hidden="false" customHeight="false" outlineLevel="0" collapsed="false">
      <c r="A41" s="1" t="n">
        <v>7</v>
      </c>
      <c r="B41" s="1" t="n">
        <v>0</v>
      </c>
      <c r="C41" s="8" t="n">
        <f aca="false">$A$31+$B$31*$A41+$C$31*$B41</f>
        <v>67.09184</v>
      </c>
      <c r="D41" s="1" t="n">
        <f aca="false">ROUNDDOWN($A$31+$B$31*$A41+$C$31*$B41,0)</f>
        <v>67</v>
      </c>
      <c r="E41" s="1" t="str">
        <f aca="false">"+"&amp;($D41-$D40)</f>
        <v>+5</v>
      </c>
      <c r="F41" s="1" t="n">
        <v>46</v>
      </c>
      <c r="G41" s="1" t="n">
        <f aca="false">F41-F40</f>
        <v>7</v>
      </c>
      <c r="H41" s="9" t="n">
        <f aca="false">G41/$A$31</f>
        <v>0.21875</v>
      </c>
    </row>
    <row r="42" customFormat="false" ht="12.8" hidden="false" customHeight="false" outlineLevel="0" collapsed="false">
      <c r="A42" s="1" t="n">
        <v>8</v>
      </c>
      <c r="B42" s="1" t="n">
        <v>0</v>
      </c>
      <c r="C42" s="8" t="n">
        <f aca="false">$A$31+$B$31*$A42+$C$31*$B42</f>
        <v>72.10496</v>
      </c>
      <c r="D42" s="1" t="n">
        <f aca="false">ROUNDDOWN($A$31+$B$31*$A42+$C$31*$B42,0)</f>
        <v>72</v>
      </c>
      <c r="E42" s="1" t="str">
        <f aca="false">"+"&amp;($D42-$D41)</f>
        <v>+5</v>
      </c>
      <c r="F42" s="1" t="n">
        <v>52</v>
      </c>
      <c r="G42" s="1" t="n">
        <f aca="false">F42-F41</f>
        <v>6</v>
      </c>
      <c r="H42" s="9" t="n">
        <f aca="false">G42/$A$31</f>
        <v>0.1875</v>
      </c>
    </row>
    <row r="43" customFormat="false" ht="12.8" hidden="false" customHeight="false" outlineLevel="0" collapsed="false">
      <c r="A43" s="1" t="n">
        <v>9</v>
      </c>
      <c r="B43" s="1" t="n">
        <v>0</v>
      </c>
      <c r="C43" s="8" t="n">
        <f aca="false">$A$31+$B$31*$A43+$C$31*$B43</f>
        <v>77.11808</v>
      </c>
      <c r="D43" s="1" t="n">
        <f aca="false">ROUNDDOWN($A$31+$B$31*$A43+$C$31*$B43,0)</f>
        <v>77</v>
      </c>
      <c r="E43" s="1" t="str">
        <f aca="false">"+"&amp;($D43-$D42)</f>
        <v>+5</v>
      </c>
      <c r="F43" s="1" t="n">
        <v>59</v>
      </c>
      <c r="G43" s="1" t="n">
        <f aca="false">F43-F42</f>
        <v>7</v>
      </c>
      <c r="H43" s="9" t="n">
        <f aca="false">G43/$A$31</f>
        <v>0.21875</v>
      </c>
    </row>
    <row r="44" customFormat="false" ht="12.8" hidden="false" customHeight="false" outlineLevel="0" collapsed="false">
      <c r="A44" s="1" t="n">
        <v>10</v>
      </c>
      <c r="B44" s="1" t="n">
        <v>0</v>
      </c>
      <c r="C44" s="8" t="n">
        <f aca="false">$A$31+$B$31*$A44+$C$31*$B44</f>
        <v>82.1312</v>
      </c>
      <c r="D44" s="1" t="n">
        <f aca="false">ROUNDDOWN($A$31+$B$31*$A44+$C$31*$B44,0)</f>
        <v>82</v>
      </c>
      <c r="E44" s="1" t="str">
        <f aca="false">"+"&amp;($D44-$D43)</f>
        <v>+5</v>
      </c>
      <c r="F44" s="1" t="n">
        <v>65</v>
      </c>
      <c r="G44" s="1" t="n">
        <f aca="false">F44-F43</f>
        <v>6</v>
      </c>
      <c r="H44" s="9" t="n">
        <f aca="false">G44/$A$31</f>
        <v>0.1875</v>
      </c>
    </row>
    <row r="45" customFormat="false" ht="12.8" hidden="false" customHeight="false" outlineLevel="0" collapsed="false">
      <c r="A45" s="1" t="n">
        <v>10</v>
      </c>
      <c r="B45" s="1" t="n">
        <v>1</v>
      </c>
      <c r="C45" s="8" t="n">
        <f aca="false">$A$31+$B$31*$A45+$C$31*$B45</f>
        <v>110.7392</v>
      </c>
      <c r="D45" s="1" t="n">
        <f aca="false">ROUNDDOWN($A$31+$B$31*$A45+$C$31*$B45,0)</f>
        <v>110</v>
      </c>
      <c r="E45" s="1" t="str">
        <f aca="false">"+"&amp;($D45-$D44)</f>
        <v>+28</v>
      </c>
      <c r="G45" s="9"/>
    </row>
    <row r="46" customFormat="false" ht="12.8" hidden="false" customHeight="false" outlineLevel="0" collapsed="false">
      <c r="A46" s="1" t="n">
        <v>11</v>
      </c>
      <c r="B46" s="1" t="n">
        <v>1</v>
      </c>
      <c r="C46" s="8" t="n">
        <f aca="false">$A$31+$B$31*$A46+$C$31*$B46</f>
        <v>115.75232</v>
      </c>
      <c r="D46" s="1" t="n">
        <f aca="false">ROUNDDOWN($A$31+$B$31*$A46+$C$31*$B46,0)</f>
        <v>115</v>
      </c>
      <c r="E46" s="1" t="str">
        <f aca="false">"+"&amp;($D46-$D45)</f>
        <v>+5</v>
      </c>
    </row>
    <row r="47" customFormat="false" ht="12.8" hidden="false" customHeight="false" outlineLevel="0" collapsed="false">
      <c r="A47" s="1" t="n">
        <v>12</v>
      </c>
      <c r="B47" s="1" t="n">
        <v>1</v>
      </c>
      <c r="C47" s="8" t="n">
        <f aca="false">$A$31+$B$31*$A47+$C$31*$B47</f>
        <v>120.76544</v>
      </c>
      <c r="D47" s="1" t="n">
        <f aca="false">ROUNDDOWN($A$31+$B$31*$A47+$C$31*$B47,0)</f>
        <v>120</v>
      </c>
      <c r="E47" s="1" t="str">
        <f aca="false">"+"&amp;($D47-$D46)</f>
        <v>+5</v>
      </c>
    </row>
    <row r="48" customFormat="false" ht="12.8" hidden="false" customHeight="false" outlineLevel="0" collapsed="false">
      <c r="A48" s="1" t="n">
        <v>13</v>
      </c>
      <c r="B48" s="1" t="n">
        <v>1</v>
      </c>
      <c r="C48" s="8" t="n">
        <f aca="false">$A$31+$B$31*$A48+$C$31*$B48</f>
        <v>125.77856</v>
      </c>
      <c r="D48" s="1" t="n">
        <f aca="false">ROUNDDOWN($A$31+$B$31*$A48+$C$31*$B48,0)</f>
        <v>125</v>
      </c>
      <c r="E48" s="1" t="str">
        <f aca="false">"+"&amp;($D48-$D47)</f>
        <v>+5</v>
      </c>
    </row>
    <row r="49" customFormat="false" ht="12.8" hidden="false" customHeight="false" outlineLevel="0" collapsed="false">
      <c r="A49" s="1" t="n">
        <v>14</v>
      </c>
      <c r="B49" s="1" t="n">
        <v>1</v>
      </c>
      <c r="C49" s="8" t="n">
        <f aca="false">$A$31+$B$31*$A49+$C$31*$B49</f>
        <v>130.79168</v>
      </c>
      <c r="D49" s="1" t="n">
        <f aca="false">ROUNDDOWN($A$31+$B$31*$A49+$C$31*$B49,0)</f>
        <v>130</v>
      </c>
      <c r="E49" s="1" t="str">
        <f aca="false">"+"&amp;($D49-$D48)</f>
        <v>+5</v>
      </c>
    </row>
    <row r="50" customFormat="false" ht="12.8" hidden="false" customHeight="false" outlineLevel="0" collapsed="false">
      <c r="A50" s="1" t="n">
        <v>15</v>
      </c>
      <c r="B50" s="1" t="n">
        <v>1</v>
      </c>
      <c r="C50" s="8" t="n">
        <f aca="false">$A$31+$B$31*$A50+$C$31*$B50</f>
        <v>135.8048</v>
      </c>
      <c r="D50" s="1" t="n">
        <f aca="false">ROUNDDOWN($A$31+$B$31*$A50+$C$31*$B50,0)</f>
        <v>135</v>
      </c>
      <c r="E50" s="1" t="str">
        <f aca="false">"+"&amp;($D50-$D49)</f>
        <v>+5</v>
      </c>
    </row>
    <row r="51" customFormat="false" ht="12.8" hidden="false" customHeight="false" outlineLevel="0" collapsed="false">
      <c r="A51" s="1" t="n">
        <v>16</v>
      </c>
      <c r="B51" s="1" t="n">
        <v>1</v>
      </c>
      <c r="C51" s="8" t="n">
        <f aca="false">$A$31+$B$31*$A51+$C$31*$B51</f>
        <v>140.81792</v>
      </c>
      <c r="D51" s="1" t="n">
        <f aca="false">ROUNDDOWN($A$31+$B$31*$A51+$C$31*$B51,0)</f>
        <v>140</v>
      </c>
      <c r="E51" s="1" t="str">
        <f aca="false">"+"&amp;($D51-$D50)</f>
        <v>+5</v>
      </c>
    </row>
    <row r="52" customFormat="false" ht="12.8" hidden="false" customHeight="false" outlineLevel="0" collapsed="false">
      <c r="A52" s="1" t="n">
        <v>17</v>
      </c>
      <c r="B52" s="1" t="n">
        <v>1</v>
      </c>
      <c r="C52" s="8" t="n">
        <f aca="false">$A$31+$B$31*$A52+$C$31*$B52</f>
        <v>145.83104</v>
      </c>
      <c r="D52" s="1" t="n">
        <f aca="false">ROUNDDOWN($A$31+$B$31*$A52+$C$31*$B52,0)</f>
        <v>145</v>
      </c>
      <c r="E52" s="1" t="str">
        <f aca="false">"+"&amp;($D52-$D51)</f>
        <v>+5</v>
      </c>
    </row>
    <row r="53" customFormat="false" ht="12.8" hidden="false" customHeight="false" outlineLevel="0" collapsed="false">
      <c r="A53" s="1" t="n">
        <v>18</v>
      </c>
      <c r="B53" s="1" t="n">
        <v>1</v>
      </c>
      <c r="C53" s="8" t="n">
        <f aca="false">$A$31+$B$31*$A53+$C$31*$B53</f>
        <v>150.84416</v>
      </c>
      <c r="D53" s="1" t="n">
        <f aca="false">ROUNDDOWN($A$31+$B$31*$A53+$C$31*$B53,0)</f>
        <v>150</v>
      </c>
      <c r="E53" s="1" t="str">
        <f aca="false">"+"&amp;($D53-$D52)</f>
        <v>+5</v>
      </c>
    </row>
    <row r="54" customFormat="false" ht="12.8" hidden="false" customHeight="false" outlineLevel="0" collapsed="false">
      <c r="A54" s="1" t="n">
        <v>19</v>
      </c>
      <c r="B54" s="1" t="n">
        <v>1</v>
      </c>
      <c r="C54" s="8" t="n">
        <f aca="false">$A$31+$B$31*$A54+$C$31*$B54</f>
        <v>155.85728</v>
      </c>
      <c r="D54" s="1" t="n">
        <f aca="false">ROUNDDOWN($A$31+$B$31*$A54+$C$31*$B54,0)</f>
        <v>155</v>
      </c>
      <c r="E54" s="1" t="str">
        <f aca="false">"+"&amp;($D54-$D53)</f>
        <v>+5</v>
      </c>
    </row>
    <row r="55" customFormat="false" ht="12.8" hidden="false" customHeight="false" outlineLevel="0" collapsed="false">
      <c r="A55" s="1" t="n">
        <v>20</v>
      </c>
      <c r="B55" s="1" t="n">
        <v>1</v>
      </c>
      <c r="C55" s="8" t="n">
        <f aca="false">$A$31+$B$31*$A55+$C$31*$B55</f>
        <v>160.8704</v>
      </c>
      <c r="D55" s="1" t="n">
        <f aca="false">ROUNDDOWN($A$31+$B$31*$A55+$C$31*$B55,0)</f>
        <v>160</v>
      </c>
      <c r="E55" s="1" t="str">
        <f aca="false">"+"&amp;($D55-$D54)</f>
        <v>+5</v>
      </c>
    </row>
    <row r="56" customFormat="false" ht="12.8" hidden="false" customHeight="false" outlineLevel="0" collapsed="false">
      <c r="A56" s="1" t="n">
        <v>20</v>
      </c>
      <c r="B56" s="1" t="n">
        <v>2</v>
      </c>
      <c r="C56" s="8" t="n">
        <f aca="false">$A$31+$B$31*$A56+$C$31*$B56</f>
        <v>189.4784</v>
      </c>
      <c r="D56" s="1" t="n">
        <f aca="false">ROUNDDOWN($A$31+$B$31*$A56+$C$31*$B56,0)</f>
        <v>189</v>
      </c>
      <c r="E56" s="1" t="str">
        <f aca="false">"+"&amp;($D56-$D55)</f>
        <v>+29</v>
      </c>
    </row>
    <row r="57" customFormat="false" ht="12.8" hidden="false" customHeight="false" outlineLevel="0" collapsed="false">
      <c r="A57" s="1" t="n">
        <v>21</v>
      </c>
      <c r="B57" s="1" t="n">
        <v>2</v>
      </c>
      <c r="C57" s="8" t="n">
        <f aca="false">$A$31+$B$31*$A57+$C$31*$B57</f>
        <v>194.49152</v>
      </c>
      <c r="D57" s="1" t="n">
        <f aca="false">ROUNDDOWN($A$31+$B$31*$A57+$C$31*$B57,0)</f>
        <v>194</v>
      </c>
      <c r="E57" s="1" t="str">
        <f aca="false">"+"&amp;($D57-$D56)</f>
        <v>+5</v>
      </c>
    </row>
    <row r="58" customFormat="false" ht="12.8" hidden="false" customHeight="false" outlineLevel="0" collapsed="false">
      <c r="A58" s="1" t="n">
        <v>22</v>
      </c>
      <c r="B58" s="1" t="n">
        <v>2</v>
      </c>
      <c r="C58" s="8" t="n">
        <f aca="false">$A$31+$B$31*$A58+$C$31*$B58</f>
        <v>199.50464</v>
      </c>
      <c r="D58" s="1" t="n">
        <f aca="false">ROUNDDOWN($A$31+$B$31*$A58+$C$31*$B58,0)</f>
        <v>199</v>
      </c>
      <c r="E58" s="1" t="str">
        <f aca="false">"+"&amp;($D58-$D57)</f>
        <v>+5</v>
      </c>
    </row>
    <row r="59" customFormat="false" ht="12.8" hidden="false" customHeight="false" outlineLevel="0" collapsed="false">
      <c r="A59" s="1" t="n">
        <v>23</v>
      </c>
      <c r="B59" s="1" t="n">
        <v>2</v>
      </c>
      <c r="C59" s="8" t="n">
        <f aca="false">$A$31+$B$31*$A59+$C$31*$B59</f>
        <v>204.51776</v>
      </c>
      <c r="D59" s="1" t="n">
        <f aca="false">ROUNDDOWN($A$31+$B$31*$A59+$C$31*$B59,0)</f>
        <v>204</v>
      </c>
      <c r="E59" s="1" t="str">
        <f aca="false">"+"&amp;($D59-$D58)</f>
        <v>+5</v>
      </c>
    </row>
    <row r="60" customFormat="false" ht="12.8" hidden="false" customHeight="false" outlineLevel="0" collapsed="false">
      <c r="A60" s="1" t="n">
        <v>24</v>
      </c>
      <c r="B60" s="1" t="n">
        <v>2</v>
      </c>
      <c r="C60" s="8" t="n">
        <f aca="false">$A$31+$B$31*$A60+$C$31*$B60</f>
        <v>209.53088</v>
      </c>
      <c r="D60" s="1" t="n">
        <f aca="false">ROUNDDOWN($A$31+$B$31*$A60+$C$31*$B60,0)</f>
        <v>209</v>
      </c>
      <c r="E60" s="1" t="str">
        <f aca="false">"+"&amp;($D60-$D59)</f>
        <v>+5</v>
      </c>
    </row>
    <row r="61" customFormat="false" ht="12.8" hidden="false" customHeight="false" outlineLevel="0" collapsed="false">
      <c r="A61" s="1" t="n">
        <v>25</v>
      </c>
      <c r="B61" s="1" t="n">
        <v>2</v>
      </c>
      <c r="C61" s="8" t="n">
        <f aca="false">$A$31+$B$31*$A61+$C$31*$B61</f>
        <v>214.544</v>
      </c>
      <c r="D61" s="1" t="n">
        <f aca="false">ROUNDDOWN($A$31+$B$31*$A61+$C$31*$B61,0)</f>
        <v>214</v>
      </c>
      <c r="E61" s="1" t="str">
        <f aca="false">"+"&amp;($D61-$D60)</f>
        <v>+5</v>
      </c>
    </row>
    <row r="62" customFormat="false" ht="12.8" hidden="false" customHeight="false" outlineLevel="0" collapsed="false">
      <c r="A62" s="1" t="n">
        <v>26</v>
      </c>
      <c r="B62" s="1" t="n">
        <v>2</v>
      </c>
      <c r="C62" s="8" t="n">
        <f aca="false">$A$31+$B$31*$A62+$C$31*$B62</f>
        <v>219.55712</v>
      </c>
      <c r="D62" s="1" t="n">
        <f aca="false">ROUNDDOWN($A$31+$B$31*$A62+$C$31*$B62,0)</f>
        <v>219</v>
      </c>
      <c r="E62" s="1" t="str">
        <f aca="false">"+"&amp;($D62-$D61)</f>
        <v>+5</v>
      </c>
    </row>
    <row r="63" customFormat="false" ht="12.8" hidden="false" customHeight="false" outlineLevel="0" collapsed="false">
      <c r="A63" s="1" t="n">
        <v>27</v>
      </c>
      <c r="B63" s="1" t="n">
        <v>2</v>
      </c>
      <c r="C63" s="8" t="n">
        <f aca="false">$A$31+$B$31*$A63+$C$31*$B63</f>
        <v>224.57024</v>
      </c>
      <c r="D63" s="1" t="n">
        <f aca="false">ROUNDDOWN($A$31+$B$31*$A63+$C$31*$B63,0)</f>
        <v>224</v>
      </c>
      <c r="E63" s="1" t="str">
        <f aca="false">"+"&amp;($D63-$D62)</f>
        <v>+5</v>
      </c>
    </row>
    <row r="64" customFormat="false" ht="12.8" hidden="false" customHeight="false" outlineLevel="0" collapsed="false">
      <c r="A64" s="1" t="n">
        <v>28</v>
      </c>
      <c r="B64" s="1" t="n">
        <v>2</v>
      </c>
      <c r="C64" s="8" t="n">
        <f aca="false">$A$31+$B$31*$A64+$C$31*$B64</f>
        <v>229.58336</v>
      </c>
      <c r="D64" s="1" t="n">
        <f aca="false">ROUNDDOWN($A$31+$B$31*$A64+$C$31*$B64,0)</f>
        <v>229</v>
      </c>
      <c r="E64" s="1" t="str">
        <f aca="false">"+"&amp;($D64-$D63)</f>
        <v>+5</v>
      </c>
    </row>
    <row r="65" customFormat="false" ht="12.8" hidden="false" customHeight="false" outlineLevel="0" collapsed="false">
      <c r="A65" s="1" t="n">
        <v>29</v>
      </c>
      <c r="B65" s="1" t="n">
        <v>2</v>
      </c>
      <c r="C65" s="8" t="n">
        <f aca="false">$A$31+$B$31*$A65+$C$31*$B65</f>
        <v>234.59648</v>
      </c>
      <c r="D65" s="1" t="n">
        <f aca="false">ROUNDDOWN($A$31+$B$31*$A65+$C$31*$B65,0)</f>
        <v>234</v>
      </c>
      <c r="E65" s="1" t="str">
        <f aca="false">"+"&amp;($D65-$D64)</f>
        <v>+5</v>
      </c>
    </row>
    <row r="66" customFormat="false" ht="12.8" hidden="false" customHeight="false" outlineLevel="0" collapsed="false">
      <c r="A66" s="1" t="n">
        <v>30</v>
      </c>
      <c r="B66" s="1" t="n">
        <v>2</v>
      </c>
      <c r="C66" s="8" t="n">
        <f aca="false">$A$31+$B$31*$A66+$C$31*$B66</f>
        <v>239.6096</v>
      </c>
      <c r="D66" s="1" t="n">
        <f aca="false">ROUNDDOWN($A$31+$B$31*$A66+$C$31*$B66,0)</f>
        <v>239</v>
      </c>
      <c r="E66" s="1" t="str">
        <f aca="false">"+"&amp;($D66-$D65)</f>
        <v>+5</v>
      </c>
    </row>
    <row r="67" customFormat="false" ht="12.8" hidden="false" customHeight="false" outlineLevel="0" collapsed="false">
      <c r="A67" s="1" t="n">
        <v>30</v>
      </c>
      <c r="B67" s="1" t="n">
        <v>3</v>
      </c>
      <c r="C67" s="8" t="n">
        <f aca="false">$A$31+$B$31*$A67+$C$31*$B67</f>
        <v>268.2176</v>
      </c>
      <c r="D67" s="1" t="n">
        <f aca="false">ROUNDDOWN($A$31+$B$31*$A67+$C$31*$B67,0)</f>
        <v>268</v>
      </c>
      <c r="E67" s="1" t="str">
        <f aca="false">"+"&amp;($D67-$D66)</f>
        <v>+29</v>
      </c>
    </row>
    <row r="68" customFormat="false" ht="12.8" hidden="false" customHeight="false" outlineLevel="0" collapsed="false">
      <c r="A68" s="1" t="n">
        <v>31</v>
      </c>
      <c r="B68" s="1" t="n">
        <v>3</v>
      </c>
      <c r="C68" s="8" t="n">
        <f aca="false">$A$31+$B$31*$A68+$C$31*$B68</f>
        <v>273.23072</v>
      </c>
      <c r="D68" s="1" t="n">
        <f aca="false">ROUNDDOWN($A$31+$B$31*$A68+$C$31*$B68,0)</f>
        <v>273</v>
      </c>
      <c r="E68" s="1" t="str">
        <f aca="false">"+"&amp;($D68-$D67)</f>
        <v>+5</v>
      </c>
    </row>
    <row r="69" customFormat="false" ht="12.8" hidden="false" customHeight="false" outlineLevel="0" collapsed="false">
      <c r="A69" s="1" t="n">
        <v>32</v>
      </c>
      <c r="B69" s="1" t="n">
        <v>3</v>
      </c>
      <c r="C69" s="8" t="n">
        <f aca="false">$A$31+$B$31*$A69+$C$31*$B69</f>
        <v>278.24384</v>
      </c>
      <c r="D69" s="1" t="n">
        <f aca="false">ROUNDDOWN($A$31+$B$31*$A69+$C$31*$B69,0)</f>
        <v>278</v>
      </c>
      <c r="E69" s="1" t="str">
        <f aca="false">"+"&amp;($D69-$D68)</f>
        <v>+5</v>
      </c>
    </row>
    <row r="70" customFormat="false" ht="12.8" hidden="false" customHeight="false" outlineLevel="0" collapsed="false">
      <c r="A70" s="1" t="n">
        <v>33</v>
      </c>
      <c r="B70" s="1" t="n">
        <v>3</v>
      </c>
      <c r="C70" s="8" t="n">
        <f aca="false">$A$31+$B$31*$A70+$C$31*$B70</f>
        <v>283.25696</v>
      </c>
      <c r="D70" s="1" t="n">
        <f aca="false">ROUNDDOWN($A$31+$B$31*$A70+$C$31*$B70,0)</f>
        <v>283</v>
      </c>
      <c r="E70" s="1" t="str">
        <f aca="false">"+"&amp;($D70-$D69)</f>
        <v>+5</v>
      </c>
    </row>
    <row r="71" customFormat="false" ht="12.8" hidden="false" customHeight="false" outlineLevel="0" collapsed="false">
      <c r="A71" s="1" t="n">
        <v>34</v>
      </c>
      <c r="B71" s="1" t="n">
        <v>3</v>
      </c>
      <c r="C71" s="8" t="n">
        <f aca="false">$A$31+$B$31*$A71+$C$31*$B71</f>
        <v>288.27008</v>
      </c>
      <c r="D71" s="1" t="n">
        <f aca="false">ROUNDDOWN($A$31+$B$31*$A71+$C$31*$B71,0)</f>
        <v>288</v>
      </c>
      <c r="E71" s="1" t="str">
        <f aca="false">"+"&amp;($D71-$D70)</f>
        <v>+5</v>
      </c>
    </row>
    <row r="72" customFormat="false" ht="12.8" hidden="false" customHeight="false" outlineLevel="0" collapsed="false">
      <c r="A72" s="1" t="n">
        <v>35</v>
      </c>
      <c r="B72" s="1" t="n">
        <v>3</v>
      </c>
      <c r="C72" s="8" t="n">
        <f aca="false">$A$31+$B$31*$A72+$C$31*$B72</f>
        <v>293.2832</v>
      </c>
      <c r="D72" s="1" t="n">
        <f aca="false">ROUNDDOWN($A$31+$B$31*$A72+$C$31*$B72,0)</f>
        <v>293</v>
      </c>
      <c r="E72" s="1" t="str">
        <f aca="false">"+"&amp;($D72-$D71)</f>
        <v>+5</v>
      </c>
    </row>
    <row r="73" customFormat="false" ht="12.8" hidden="false" customHeight="false" outlineLevel="0" collapsed="false">
      <c r="A73" s="1" t="n">
        <v>36</v>
      </c>
      <c r="B73" s="1" t="n">
        <v>3</v>
      </c>
      <c r="C73" s="8" t="n">
        <f aca="false">$A$31+$B$31*$A73+$C$31*$B73</f>
        <v>298.29632</v>
      </c>
      <c r="D73" s="1" t="n">
        <f aca="false">ROUNDDOWN($A$31+$B$31*$A73+$C$31*$B73,0)</f>
        <v>298</v>
      </c>
      <c r="E73" s="1" t="str">
        <f aca="false">"+"&amp;($D73-$D72)</f>
        <v>+5</v>
      </c>
    </row>
    <row r="74" customFormat="false" ht="12.8" hidden="false" customHeight="false" outlineLevel="0" collapsed="false">
      <c r="A74" s="1" t="n">
        <v>37</v>
      </c>
      <c r="B74" s="1" t="n">
        <v>3</v>
      </c>
      <c r="C74" s="8" t="n">
        <f aca="false">$A$31+$B$31*$A74+$C$31*$B74</f>
        <v>303.30944</v>
      </c>
      <c r="D74" s="1" t="n">
        <f aca="false">ROUNDDOWN($A$31+$B$31*$A74+$C$31*$B74,0)</f>
        <v>303</v>
      </c>
      <c r="E74" s="1" t="str">
        <f aca="false">"+"&amp;($D74-$D73)</f>
        <v>+5</v>
      </c>
    </row>
    <row r="75" customFormat="false" ht="12.8" hidden="false" customHeight="false" outlineLevel="0" collapsed="false">
      <c r="A75" s="1" t="n">
        <v>38</v>
      </c>
      <c r="B75" s="1" t="n">
        <v>3</v>
      </c>
      <c r="C75" s="8" t="n">
        <f aca="false">$A$31+$B$31*$A75+$C$31*$B75</f>
        <v>308.32256</v>
      </c>
      <c r="D75" s="1" t="n">
        <f aca="false">ROUNDDOWN($A$31+$B$31*$A75+$C$31*$B75,0)</f>
        <v>308</v>
      </c>
      <c r="E75" s="1" t="str">
        <f aca="false">"+"&amp;($D75-$D74)</f>
        <v>+5</v>
      </c>
    </row>
    <row r="76" customFormat="false" ht="12.8" hidden="false" customHeight="false" outlineLevel="0" collapsed="false">
      <c r="A76" s="1" t="n">
        <v>39</v>
      </c>
      <c r="B76" s="1" t="n">
        <v>3</v>
      </c>
      <c r="C76" s="8" t="n">
        <f aca="false">$A$31+$B$31*$A76+$C$31*$B76</f>
        <v>313.33568</v>
      </c>
      <c r="D76" s="1" t="n">
        <f aca="false">ROUNDDOWN($A$31+$B$31*$A76+$C$31*$B76,0)</f>
        <v>313</v>
      </c>
      <c r="E76" s="1" t="str">
        <f aca="false">"+"&amp;($D76-$D75)</f>
        <v>+5</v>
      </c>
    </row>
    <row r="77" customFormat="false" ht="12.8" hidden="false" customHeight="false" outlineLevel="0" collapsed="false">
      <c r="A77" s="1" t="n">
        <v>40</v>
      </c>
      <c r="B77" s="1" t="n">
        <v>3</v>
      </c>
      <c r="C77" s="8" t="n">
        <f aca="false">$A$31+$B$31*$A77+$C$31*$B77</f>
        <v>318.3488</v>
      </c>
      <c r="D77" s="1" t="n">
        <f aca="false">ROUNDDOWN($A$31+$B$31*$A77+$C$31*$B77,0)</f>
        <v>318</v>
      </c>
      <c r="E77" s="1" t="str">
        <f aca="false">"+"&amp;($D77-$D76)</f>
        <v>+5</v>
      </c>
    </row>
    <row r="78" customFormat="false" ht="12.8" hidden="false" customHeight="false" outlineLevel="0" collapsed="false">
      <c r="A78" s="1" t="n">
        <v>40</v>
      </c>
      <c r="B78" s="1" t="n">
        <v>4</v>
      </c>
      <c r="C78" s="8" t="n">
        <f aca="false">$A$31+$B$31*$A78+$C$31*$B78</f>
        <v>346.9568</v>
      </c>
      <c r="D78" s="1" t="n">
        <f aca="false">ROUNDDOWN($A$31+$B$31*$A78+$C$31*$B78,0)</f>
        <v>346</v>
      </c>
      <c r="E78" s="1" t="str">
        <f aca="false">"+"&amp;($D78-$D77)</f>
        <v>+28</v>
      </c>
    </row>
    <row r="79" customFormat="false" ht="12.8" hidden="false" customHeight="false" outlineLevel="0" collapsed="false">
      <c r="A79" s="1" t="n">
        <v>41</v>
      </c>
      <c r="B79" s="1" t="n">
        <v>4</v>
      </c>
      <c r="C79" s="8" t="n">
        <f aca="false">$A$31+$B$31*$A79+$C$31*$B79</f>
        <v>351.96992</v>
      </c>
      <c r="D79" s="1" t="n">
        <f aca="false">ROUNDDOWN($A$31+$B$31*$A79+$C$31*$B79,0)</f>
        <v>351</v>
      </c>
      <c r="E79" s="1" t="str">
        <f aca="false">"+"&amp;($D79-$D78)</f>
        <v>+5</v>
      </c>
    </row>
    <row r="80" customFormat="false" ht="12.8" hidden="false" customHeight="false" outlineLevel="0" collapsed="false">
      <c r="A80" s="1" t="n">
        <v>42</v>
      </c>
      <c r="B80" s="1" t="n">
        <v>4</v>
      </c>
      <c r="C80" s="8" t="n">
        <f aca="false">$A$31+$B$31*$A80+$C$31*$B80</f>
        <v>356.98304</v>
      </c>
      <c r="D80" s="1" t="n">
        <f aca="false">ROUNDDOWN($A$31+$B$31*$A80+$C$31*$B80,0)</f>
        <v>356</v>
      </c>
      <c r="E80" s="1" t="str">
        <f aca="false">"+"&amp;($D80-$D79)</f>
        <v>+5</v>
      </c>
    </row>
    <row r="81" customFormat="false" ht="12.8" hidden="false" customHeight="false" outlineLevel="0" collapsed="false">
      <c r="A81" s="1" t="n">
        <v>43</v>
      </c>
      <c r="B81" s="1" t="n">
        <v>4</v>
      </c>
      <c r="C81" s="8" t="n">
        <f aca="false">$A$31+$B$31*$A81+$C$31*$B81</f>
        <v>361.99616</v>
      </c>
      <c r="D81" s="1" t="n">
        <f aca="false">ROUNDDOWN($A$31+$B$31*$A81+$C$31*$B81,0)</f>
        <v>361</v>
      </c>
      <c r="E81" s="1" t="str">
        <f aca="false">"+"&amp;($D81-$D80)</f>
        <v>+5</v>
      </c>
    </row>
    <row r="82" customFormat="false" ht="12.8" hidden="false" customHeight="false" outlineLevel="0" collapsed="false">
      <c r="A82" s="1" t="n">
        <v>44</v>
      </c>
      <c r="B82" s="1" t="n">
        <v>4</v>
      </c>
      <c r="C82" s="8" t="n">
        <f aca="false">$A$31+$B$31*$A82+$C$31*$B82</f>
        <v>367.00928</v>
      </c>
      <c r="D82" s="1" t="n">
        <f aca="false">ROUNDDOWN($A$31+$B$31*$A82+$C$31*$B82,0)</f>
        <v>367</v>
      </c>
      <c r="E82" s="1" t="str">
        <f aca="false">"+"&amp;($D82-$D81)</f>
        <v>+6</v>
      </c>
    </row>
    <row r="83" customFormat="false" ht="12.8" hidden="false" customHeight="false" outlineLevel="0" collapsed="false">
      <c r="A83" s="1" t="n">
        <v>45</v>
      </c>
      <c r="B83" s="1" t="n">
        <v>4</v>
      </c>
      <c r="C83" s="8" t="n">
        <f aca="false">$A$31+$B$31*$A83+$C$31*$B83</f>
        <v>372.0224</v>
      </c>
      <c r="D83" s="1" t="n">
        <f aca="false">ROUNDDOWN($A$31+$B$31*$A83+$C$31*$B83,0)</f>
        <v>372</v>
      </c>
      <c r="E83" s="1" t="str">
        <f aca="false">"+"&amp;($D83-$D82)</f>
        <v>+5</v>
      </c>
    </row>
    <row r="84" customFormat="false" ht="12.8" hidden="false" customHeight="false" outlineLevel="0" collapsed="false">
      <c r="A84" s="1" t="n">
        <v>46</v>
      </c>
      <c r="B84" s="1" t="n">
        <v>4</v>
      </c>
      <c r="C84" s="8" t="n">
        <f aca="false">$A$31+$B$31*$A84+$C$31*$B84</f>
        <v>377.03552</v>
      </c>
      <c r="D84" s="1" t="n">
        <f aca="false">ROUNDDOWN($A$31+$B$31*$A84+$C$31*$B84,0)</f>
        <v>377</v>
      </c>
      <c r="E84" s="1" t="str">
        <f aca="false">"+"&amp;($D84-$D83)</f>
        <v>+5</v>
      </c>
    </row>
    <row r="85" customFormat="false" ht="12.8" hidden="false" customHeight="false" outlineLevel="0" collapsed="false">
      <c r="A85" s="1" t="n">
        <v>47</v>
      </c>
      <c r="B85" s="1" t="n">
        <v>4</v>
      </c>
      <c r="C85" s="8" t="n">
        <f aca="false">$A$31+$B$31*$A85+$C$31*$B85</f>
        <v>382.04864</v>
      </c>
      <c r="D85" s="1" t="n">
        <f aca="false">ROUNDDOWN($A$31+$B$31*$A85+$C$31*$B85,0)</f>
        <v>382</v>
      </c>
      <c r="E85" s="1" t="str">
        <f aca="false">"+"&amp;($D85-$D84)</f>
        <v>+5</v>
      </c>
    </row>
    <row r="86" customFormat="false" ht="12.8" hidden="false" customHeight="false" outlineLevel="0" collapsed="false">
      <c r="A86" s="1" t="n">
        <v>48</v>
      </c>
      <c r="B86" s="1" t="n">
        <v>4</v>
      </c>
      <c r="C86" s="8" t="n">
        <f aca="false">$A$31+$B$31*$A86+$C$31*$B86</f>
        <v>387.06176</v>
      </c>
      <c r="D86" s="1" t="n">
        <f aca="false">ROUNDDOWN($A$31+$B$31*$A86+$C$31*$B86,0)</f>
        <v>387</v>
      </c>
      <c r="E86" s="1" t="str">
        <f aca="false">"+"&amp;($D86-$D85)</f>
        <v>+5</v>
      </c>
    </row>
    <row r="87" customFormat="false" ht="12.8" hidden="false" customHeight="false" outlineLevel="0" collapsed="false">
      <c r="A87" s="1" t="n">
        <v>49</v>
      </c>
      <c r="B87" s="1" t="n">
        <v>4</v>
      </c>
      <c r="C87" s="8" t="n">
        <f aca="false">$A$31+$B$31*$A87+$C$31*$B87</f>
        <v>392.07488</v>
      </c>
      <c r="D87" s="1" t="n">
        <f aca="false">ROUNDDOWN($A$31+$B$31*$A87+$C$31*$B87,0)</f>
        <v>392</v>
      </c>
      <c r="E87" s="1" t="str">
        <f aca="false">"+"&amp;($D87-$D86)</f>
        <v>+5</v>
      </c>
    </row>
    <row r="88" customFormat="false" ht="12.8" hidden="false" customHeight="false" outlineLevel="0" collapsed="false">
      <c r="A88" s="1" t="n">
        <v>50</v>
      </c>
      <c r="B88" s="1" t="n">
        <v>4</v>
      </c>
      <c r="C88" s="8" t="n">
        <f aca="false">$A$31+$B$31*$A88+$C$31*$B88</f>
        <v>397.088</v>
      </c>
      <c r="D88" s="1" t="n">
        <f aca="false">ROUNDDOWN($A$31+$B$31*$A88+$C$31*$B88,0)</f>
        <v>397</v>
      </c>
      <c r="E88" s="1" t="str">
        <f aca="false">"+"&amp;($D88-$D87)</f>
        <v>+5</v>
      </c>
    </row>
    <row r="89" customFormat="false" ht="12.8" hidden="false" customHeight="false" outlineLevel="0" collapsed="false">
      <c r="A89" s="1" t="n">
        <v>50</v>
      </c>
      <c r="B89" s="1" t="n">
        <v>5</v>
      </c>
      <c r="C89" s="8" t="n">
        <f aca="false">$A$31+$B$31*$A89+$C$31*$B89</f>
        <v>425.696</v>
      </c>
      <c r="D89" s="1" t="n">
        <f aca="false">ROUNDDOWN($A$31+$B$31*$A89+$C$31*$B89,0)</f>
        <v>425</v>
      </c>
      <c r="E89" s="1" t="str">
        <f aca="false">"+"&amp;($D89-$D88)</f>
        <v>+28</v>
      </c>
    </row>
    <row r="90" customFormat="false" ht="12.8" hidden="false" customHeight="false" outlineLevel="0" collapsed="false">
      <c r="A90" s="1" t="n">
        <v>51</v>
      </c>
      <c r="B90" s="1" t="n">
        <v>5</v>
      </c>
      <c r="C90" s="8" t="n">
        <f aca="false">$A$31+$B$31*$A90+$C$31*$B90</f>
        <v>430.70912</v>
      </c>
      <c r="D90" s="1" t="n">
        <f aca="false">ROUNDDOWN($A$31+$B$31*$A90+$C$31*$B90,0)</f>
        <v>430</v>
      </c>
      <c r="E90" s="1" t="str">
        <f aca="false">"+"&amp;($D90-$D89)</f>
        <v>+5</v>
      </c>
    </row>
    <row r="91" customFormat="false" ht="12.8" hidden="false" customHeight="false" outlineLevel="0" collapsed="false">
      <c r="A91" s="1" t="n">
        <v>52</v>
      </c>
      <c r="B91" s="1" t="n">
        <v>5</v>
      </c>
      <c r="C91" s="8" t="n">
        <f aca="false">$A$31+$B$31*$A91+$C$31*$B91</f>
        <v>435.72224</v>
      </c>
      <c r="D91" s="1" t="n">
        <f aca="false">ROUNDDOWN($A$31+$B$31*$A91+$C$31*$B91,0)</f>
        <v>435</v>
      </c>
      <c r="E91" s="1" t="str">
        <f aca="false">"+"&amp;($D91-$D90)</f>
        <v>+5</v>
      </c>
    </row>
    <row r="92" customFormat="false" ht="12.8" hidden="false" customHeight="false" outlineLevel="0" collapsed="false">
      <c r="A92" s="1" t="n">
        <v>53</v>
      </c>
      <c r="B92" s="1" t="n">
        <v>5</v>
      </c>
      <c r="C92" s="8" t="n">
        <f aca="false">$A$31+$B$31*$A92+$C$31*$B92</f>
        <v>440.73536</v>
      </c>
      <c r="D92" s="1" t="n">
        <f aca="false">ROUNDDOWN($A$31+$B$31*$A92+$C$31*$B92,0)</f>
        <v>440</v>
      </c>
      <c r="E92" s="1" t="str">
        <f aca="false">"+"&amp;($D92-$D91)</f>
        <v>+5</v>
      </c>
    </row>
    <row r="93" customFormat="false" ht="12.8" hidden="false" customHeight="false" outlineLevel="0" collapsed="false">
      <c r="A93" s="1" t="n">
        <v>54</v>
      </c>
      <c r="B93" s="1" t="n">
        <v>5</v>
      </c>
      <c r="C93" s="8" t="n">
        <f aca="false">$A$31+$B$31*$A93+$C$31*$B93</f>
        <v>445.74848</v>
      </c>
      <c r="D93" s="1" t="n">
        <f aca="false">ROUNDDOWN($A$31+$B$31*$A93+$C$31*$B93,0)</f>
        <v>445</v>
      </c>
      <c r="E93" s="1" t="str">
        <f aca="false">"+"&amp;($D93-$D92)</f>
        <v>+5</v>
      </c>
    </row>
    <row r="94" customFormat="false" ht="12.8" hidden="false" customHeight="false" outlineLevel="0" collapsed="false">
      <c r="A94" s="1" t="n">
        <v>55</v>
      </c>
      <c r="B94" s="1" t="n">
        <v>5</v>
      </c>
      <c r="C94" s="8" t="n">
        <f aca="false">$A$31+$B$31*$A94+$C$31*$B94</f>
        <v>450.7616</v>
      </c>
      <c r="D94" s="1" t="n">
        <f aca="false">ROUNDDOWN($A$31+$B$31*$A94+$C$31*$B94,0)</f>
        <v>450</v>
      </c>
      <c r="E94" s="1" t="str">
        <f aca="false">"+"&amp;($D94-$D93)</f>
        <v>+5</v>
      </c>
    </row>
    <row r="95" customFormat="false" ht="12.8" hidden="false" customHeight="false" outlineLevel="0" collapsed="false">
      <c r="A95" s="1" t="n">
        <v>56</v>
      </c>
      <c r="B95" s="1" t="n">
        <v>5</v>
      </c>
      <c r="C95" s="8" t="n">
        <f aca="false">$A$31+$B$31*$A95+$C$31*$B95</f>
        <v>455.77472</v>
      </c>
      <c r="D95" s="1" t="n">
        <f aca="false">ROUNDDOWN($A$31+$B$31*$A95+$C$31*$B95,0)</f>
        <v>455</v>
      </c>
      <c r="E95" s="1" t="str">
        <f aca="false">"+"&amp;($D95-$D94)</f>
        <v>+5</v>
      </c>
    </row>
    <row r="96" customFormat="false" ht="12.8" hidden="false" customHeight="false" outlineLevel="0" collapsed="false">
      <c r="A96" s="1" t="n">
        <v>57</v>
      </c>
      <c r="B96" s="1" t="n">
        <v>5</v>
      </c>
      <c r="C96" s="8" t="n">
        <f aca="false">$A$31+$B$31*$A96+$C$31*$B96</f>
        <v>460.78784</v>
      </c>
      <c r="D96" s="1" t="n">
        <f aca="false">ROUNDDOWN($A$31+$B$31*$A96+$C$31*$B96,0)</f>
        <v>460</v>
      </c>
      <c r="E96" s="1" t="str">
        <f aca="false">"+"&amp;($D96-$D95)</f>
        <v>+5</v>
      </c>
    </row>
    <row r="97" customFormat="false" ht="12.8" hidden="false" customHeight="false" outlineLevel="0" collapsed="false">
      <c r="A97" s="1" t="n">
        <v>58</v>
      </c>
      <c r="B97" s="1" t="n">
        <v>5</v>
      </c>
      <c r="C97" s="8" t="n">
        <f aca="false">$A$31+$B$31*$A97+$C$31*$B97</f>
        <v>465.80096</v>
      </c>
      <c r="D97" s="1" t="n">
        <f aca="false">ROUNDDOWN($A$31+$B$31*$A97+$C$31*$B97,0)</f>
        <v>465</v>
      </c>
      <c r="E97" s="1" t="str">
        <f aca="false">"+"&amp;($D97-$D96)</f>
        <v>+5</v>
      </c>
    </row>
    <row r="98" customFormat="false" ht="12.8" hidden="false" customHeight="false" outlineLevel="0" collapsed="false">
      <c r="A98" s="1" t="n">
        <v>59</v>
      </c>
      <c r="B98" s="1" t="n">
        <v>5</v>
      </c>
      <c r="C98" s="8" t="n">
        <f aca="false">$A$31+$B$31*$A98+$C$31*$B98</f>
        <v>470.81408</v>
      </c>
      <c r="D98" s="1" t="n">
        <f aca="false">ROUNDDOWN($A$31+$B$31*$A98+$C$31*$B98,0)</f>
        <v>470</v>
      </c>
      <c r="E98" s="1" t="str">
        <f aca="false">"+"&amp;($D98-$D97)</f>
        <v>+5</v>
      </c>
    </row>
    <row r="99" customFormat="false" ht="12.8" hidden="false" customHeight="false" outlineLevel="0" collapsed="false">
      <c r="A99" s="1" t="n">
        <v>60</v>
      </c>
      <c r="B99" s="1" t="n">
        <v>5</v>
      </c>
      <c r="C99" s="8" t="n">
        <f aca="false">$A$31+$B$31*$A99+$C$31*$B99</f>
        <v>475.8272</v>
      </c>
      <c r="D99" s="1" t="n">
        <f aca="false">ROUNDDOWN($A$31+$B$31*$A99+$C$31*$B99,0)</f>
        <v>475</v>
      </c>
      <c r="E99" s="1" t="str">
        <f aca="false">"+"&amp;($D99-$D98)</f>
        <v>+5</v>
      </c>
    </row>
    <row r="105" customFormat="false" ht="12.8" hidden="false" customHeight="false" outlineLevel="0" collapsed="false">
      <c r="C105" s="1" t="n">
        <v>603</v>
      </c>
      <c r="D105" s="1" t="n">
        <v>95</v>
      </c>
      <c r="E105" s="1" t="n">
        <v>49</v>
      </c>
    </row>
    <row r="107" customFormat="false" ht="12.8" hidden="false" customHeight="false" outlineLevel="0" collapsed="false">
      <c r="C107" s="1" t="n">
        <f aca="false">1753-1339</f>
        <v>414</v>
      </c>
      <c r="D107" s="1" t="n">
        <f aca="false">177-143</f>
        <v>34</v>
      </c>
      <c r="E107" s="1" t="n">
        <f aca="false">143-109</f>
        <v>34</v>
      </c>
    </row>
    <row r="108" customFormat="false" ht="12.8" hidden="false" customHeight="false" outlineLevel="0" collapsed="false">
      <c r="C108" s="1" t="n">
        <f aca="false">2986-2572</f>
        <v>414</v>
      </c>
      <c r="D108" s="1" t="n">
        <f aca="false">266-232</f>
        <v>34</v>
      </c>
      <c r="E108" s="1" t="n">
        <f aca="false">244-210</f>
        <v>34</v>
      </c>
    </row>
    <row r="109" customFormat="false" ht="12.8" hidden="false" customHeight="false" outlineLevel="0" collapsed="false">
      <c r="C109" s="1" t="n">
        <f aca="false">4218-3804</f>
        <v>414</v>
      </c>
      <c r="D109" s="1" t="n">
        <f aca="false">354-320</f>
        <v>34</v>
      </c>
      <c r="E109" s="1" t="n">
        <f aca="false">343-310</f>
        <v>33</v>
      </c>
    </row>
    <row r="110" customFormat="false" ht="12.8" hidden="false" customHeight="false" outlineLevel="0" collapsed="false">
      <c r="C110" s="1" t="n">
        <f aca="false">5450-5036</f>
        <v>414</v>
      </c>
      <c r="D110" s="1" t="n">
        <f aca="false">441-408</f>
        <v>33</v>
      </c>
      <c r="E110" s="1" t="n">
        <f aca="false">444-410</f>
        <v>34</v>
      </c>
    </row>
    <row r="111" customFormat="false" ht="12.8" hidden="false" customHeight="false" outlineLevel="0" collapsed="false">
      <c r="C111" s="1" t="n">
        <f aca="false">6682-6269</f>
        <v>413</v>
      </c>
      <c r="D111" s="1" t="n">
        <f aca="false">529-495</f>
        <v>34</v>
      </c>
      <c r="E111" s="1" t="n">
        <f aca="false">545-511</f>
        <v>34</v>
      </c>
    </row>
    <row r="112" customFormat="false" ht="12.8" hidden="false" customHeight="false" outlineLevel="0" collapsed="false">
      <c r="C112" s="1" t="n">
        <f aca="false">AVERAGE(C107:C111)</f>
        <v>413.8</v>
      </c>
      <c r="D112" s="1" t="n">
        <f aca="false">AVERAGE(D107:D111)</f>
        <v>33.8</v>
      </c>
      <c r="E112" s="1" t="n">
        <f aca="false">AVERAGE(E107:E111)</f>
        <v>33.8</v>
      </c>
    </row>
    <row r="113" customFormat="false" ht="12.8" hidden="false" customHeight="false" outlineLevel="0" collapsed="false">
      <c r="C113" s="1" t="n">
        <f aca="false">C112/C105</f>
        <v>0.686235489220564</v>
      </c>
      <c r="D113" s="1" t="n">
        <f aca="false">D112/D105</f>
        <v>0.355789473684211</v>
      </c>
      <c r="E113" s="1" t="n">
        <f aca="false">E112/E105</f>
        <v>0.689795918367347</v>
      </c>
    </row>
    <row r="115" customFormat="false" ht="12.8" hidden="false" customHeight="false" outlineLevel="0" collapsed="false">
      <c r="C115" s="1" t="n">
        <v>7500</v>
      </c>
      <c r="D115" s="1" t="n">
        <v>583</v>
      </c>
      <c r="E115" s="1" t="n">
        <v>612</v>
      </c>
    </row>
    <row r="117" customFormat="false" ht="12.8" hidden="false" customHeight="false" outlineLevel="0" collapsed="false">
      <c r="C117" s="1" t="n">
        <f aca="false">1554*(100 - 51.4)</f>
        <v>75524.4</v>
      </c>
      <c r="D117" s="1" t="n">
        <f aca="false">(1554*1.788)*51.4</f>
        <v>142817.5728</v>
      </c>
      <c r="E117" s="1" t="n">
        <f aca="false">(C117+D117)/100</f>
        <v>2183.419728</v>
      </c>
    </row>
    <row r="120" customFormat="false" ht="12.8" hidden="false" customHeight="false" outlineLevel="0" collapsed="false">
      <c r="D120" s="1" t="n">
        <v>94.8</v>
      </c>
      <c r="E120" s="1" t="n">
        <v>51.4</v>
      </c>
    </row>
    <row r="121" customFormat="false" ht="12.8" hidden="false" customHeight="false" outlineLevel="0" collapsed="false">
      <c r="C121" s="1" t="n">
        <v>74565</v>
      </c>
      <c r="D121" s="1" t="n">
        <f aca="false">C121*(100 + D120) /100</f>
        <v>145252.62</v>
      </c>
      <c r="E121" s="1" t="n">
        <f aca="false">(C121*(100-E120) + D121 * E120) /100</f>
        <v>110898.43668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&amp;C&amp;"Arial,標準"&amp;A</oddHeader>
    <oddFooter>&amp;C&amp;"Arial,標準"ページ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J30"/>
  <sheetViews>
    <sheetView showFormulas="false" showGridLines="true" showRowColHeaders="true" showZeros="true" rightToLeft="false" tabSelected="false" showOutlineSymbols="true" defaultGridColor="true" view="normal" topLeftCell="H1" colorId="64" zoomScale="90" zoomScaleNormal="90" zoomScalePageLayoutView="100" workbookViewId="0">
      <selection pane="topLeft" activeCell="L5" activeCellId="0" sqref="L5"/>
    </sheetView>
  </sheetViews>
  <sheetFormatPr defaultColWidth="12.8046875" defaultRowHeight="12.8" customHeight="true" zeroHeight="false" outlineLevelRow="0" outlineLevelCol="0"/>
  <sheetData>
    <row r="1" customFormat="false" ht="12.8" hidden="false" customHeight="false" outlineLevel="0" collapsed="false">
      <c r="A1" s="23"/>
      <c r="B1" s="24" t="s">
        <v>930</v>
      </c>
      <c r="C1" s="25" t="n">
        <v>1</v>
      </c>
      <c r="D1" s="25" t="n">
        <v>2</v>
      </c>
      <c r="E1" s="25" t="n">
        <v>3</v>
      </c>
      <c r="F1" s="25" t="n">
        <v>4</v>
      </c>
      <c r="G1" s="25" t="n">
        <v>5</v>
      </c>
      <c r="H1" s="25" t="n">
        <v>6</v>
      </c>
      <c r="I1" s="25" t="n">
        <v>7</v>
      </c>
      <c r="J1" s="25" t="n">
        <v>8</v>
      </c>
      <c r="K1" s="25" t="n">
        <v>9</v>
      </c>
      <c r="L1" s="25" t="n">
        <v>10</v>
      </c>
      <c r="M1" s="25" t="n">
        <v>11</v>
      </c>
      <c r="N1" s="25" t="n">
        <v>12</v>
      </c>
      <c r="O1" s="25" t="n">
        <v>13</v>
      </c>
      <c r="P1" s="25" t="n">
        <v>14</v>
      </c>
      <c r="Q1" s="25" t="n">
        <v>15</v>
      </c>
      <c r="R1" s="25" t="n">
        <v>16</v>
      </c>
      <c r="S1" s="25" t="n">
        <v>17</v>
      </c>
      <c r="T1" s="25" t="n">
        <v>18</v>
      </c>
      <c r="U1" s="25" t="n">
        <v>19</v>
      </c>
      <c r="V1" s="25" t="n">
        <v>20</v>
      </c>
      <c r="W1" s="25" t="n">
        <v>21</v>
      </c>
      <c r="X1" s="25" t="n">
        <v>22</v>
      </c>
      <c r="Y1" s="25" t="n">
        <v>23</v>
      </c>
      <c r="Z1" s="25" t="n">
        <v>24</v>
      </c>
      <c r="AA1" s="25" t="n">
        <v>25</v>
      </c>
      <c r="AB1" s="25" t="n">
        <v>26</v>
      </c>
      <c r="AC1" s="25" t="n">
        <v>27</v>
      </c>
      <c r="AD1" s="25" t="n">
        <v>28</v>
      </c>
      <c r="AE1" s="25" t="n">
        <v>29</v>
      </c>
      <c r="AF1" s="25" t="n">
        <v>30</v>
      </c>
      <c r="AG1" s="25" t="n">
        <v>31</v>
      </c>
      <c r="AH1" s="25" t="n">
        <v>32</v>
      </c>
      <c r="AI1" s="25" t="n">
        <v>33</v>
      </c>
      <c r="AJ1" s="25" t="n">
        <v>34</v>
      </c>
      <c r="AK1" s="25" t="n">
        <v>35</v>
      </c>
      <c r="AL1" s="25" t="n">
        <v>36</v>
      </c>
      <c r="AM1" s="25" t="n">
        <v>37</v>
      </c>
      <c r="AN1" s="25" t="n">
        <v>38</v>
      </c>
      <c r="AO1" s="25" t="n">
        <v>39</v>
      </c>
      <c r="AP1" s="25" t="n">
        <v>40</v>
      </c>
      <c r="AQ1" s="25" t="n">
        <v>41</v>
      </c>
      <c r="AR1" s="25" t="n">
        <v>42</v>
      </c>
      <c r="AS1" s="25" t="n">
        <v>43</v>
      </c>
      <c r="AT1" s="25" t="n">
        <v>44</v>
      </c>
      <c r="AU1" s="25" t="n">
        <v>45</v>
      </c>
      <c r="AV1" s="25" t="n">
        <v>46</v>
      </c>
      <c r="AW1" s="25" t="n">
        <v>47</v>
      </c>
      <c r="AX1" s="25" t="n">
        <v>48</v>
      </c>
      <c r="AY1" s="25" t="n">
        <v>49</v>
      </c>
      <c r="AZ1" s="25" t="n">
        <v>50</v>
      </c>
      <c r="BA1" s="25" t="n">
        <v>51</v>
      </c>
      <c r="BB1" s="25" t="n">
        <v>52</v>
      </c>
      <c r="BC1" s="25" t="n">
        <v>53</v>
      </c>
      <c r="BD1" s="25" t="n">
        <v>54</v>
      </c>
      <c r="BE1" s="25" t="n">
        <v>55</v>
      </c>
      <c r="BF1" s="25" t="n">
        <v>56</v>
      </c>
      <c r="BG1" s="25" t="n">
        <v>57</v>
      </c>
      <c r="BH1" s="25" t="n">
        <v>58</v>
      </c>
      <c r="BI1" s="25" t="n">
        <v>59</v>
      </c>
      <c r="BJ1" s="25" t="n">
        <v>60</v>
      </c>
    </row>
    <row r="2" customFormat="false" ht="12.8" hidden="false" customHeight="false" outlineLevel="0" collapsed="false">
      <c r="B2" s="26" t="s">
        <v>931</v>
      </c>
      <c r="C2" s="2" t="n">
        <v>1</v>
      </c>
      <c r="D2" s="2" t="n">
        <v>1.08</v>
      </c>
      <c r="E2" s="2" t="n">
        <v>1.16</v>
      </c>
      <c r="F2" s="2" t="n">
        <v>1.24</v>
      </c>
      <c r="G2" s="2" t="n">
        <v>1.32</v>
      </c>
      <c r="H2" s="2" t="n">
        <v>1.42</v>
      </c>
      <c r="I2" s="2" t="n">
        <v>1.52</v>
      </c>
      <c r="J2" s="2" t="n">
        <v>1.64</v>
      </c>
      <c r="K2" s="2" t="n">
        <v>1.76</v>
      </c>
      <c r="L2" s="2" t="n">
        <v>1.88</v>
      </c>
      <c r="M2" s="2" t="n">
        <v>2</v>
      </c>
      <c r="N2" s="2" t="n">
        <v>2.14</v>
      </c>
      <c r="O2" s="2" t="n">
        <v>2.28</v>
      </c>
      <c r="P2" s="2" t="n">
        <v>2.42</v>
      </c>
      <c r="Q2" s="2" t="n">
        <v>2.58</v>
      </c>
      <c r="R2" s="2" t="n">
        <v>2.74</v>
      </c>
      <c r="S2" s="2" t="n">
        <v>2.9</v>
      </c>
      <c r="T2" s="2" t="n">
        <v>3.06</v>
      </c>
      <c r="U2" s="2" t="n">
        <v>3.24</v>
      </c>
      <c r="V2" s="2" t="n">
        <v>3.44</v>
      </c>
      <c r="W2" s="2" t="n">
        <v>3.62</v>
      </c>
      <c r="X2" s="2" t="n">
        <v>3.82</v>
      </c>
      <c r="Y2" s="2" t="n">
        <v>4.02</v>
      </c>
      <c r="Z2" s="2" t="n">
        <v>4.22</v>
      </c>
      <c r="AA2" s="2" t="n">
        <v>4.44</v>
      </c>
      <c r="AB2" s="2" t="n">
        <v>4.66</v>
      </c>
      <c r="AC2" s="2" t="n">
        <v>4.9</v>
      </c>
      <c r="AD2" s="2" t="n">
        <v>5.12</v>
      </c>
      <c r="AE2" s="2" t="n">
        <v>5.36</v>
      </c>
      <c r="AF2" s="2" t="n">
        <v>5.62</v>
      </c>
      <c r="AG2" s="2" t="n">
        <v>5.86</v>
      </c>
      <c r="AH2" s="2" t="n">
        <v>6.12</v>
      </c>
      <c r="AI2" s="2" t="n">
        <v>6.38</v>
      </c>
      <c r="AJ2" s="2" t="n">
        <v>6.66</v>
      </c>
      <c r="AK2" s="2" t="n">
        <v>6.94</v>
      </c>
      <c r="AL2" s="2" t="n">
        <v>7.22</v>
      </c>
      <c r="AM2" s="2" t="n">
        <v>7.5</v>
      </c>
      <c r="AN2" s="2" t="n">
        <v>7.8</v>
      </c>
      <c r="AO2" s="2" t="n">
        <v>8.1</v>
      </c>
      <c r="AP2" s="2" t="n">
        <v>8.42</v>
      </c>
      <c r="AQ2" s="2" t="n">
        <v>8.72</v>
      </c>
      <c r="AR2" s="2" t="n">
        <v>9.04</v>
      </c>
      <c r="AS2" s="2" t="n">
        <v>9.38</v>
      </c>
      <c r="AT2" s="2" t="n">
        <v>9.7</v>
      </c>
      <c r="AU2" s="2" t="n">
        <v>10.04</v>
      </c>
      <c r="AV2" s="2" t="n">
        <v>10.38</v>
      </c>
      <c r="AW2" s="2" t="n">
        <v>10.74</v>
      </c>
      <c r="AX2" s="2" t="n">
        <v>11.1</v>
      </c>
      <c r="AY2" s="2" t="n">
        <v>11.46</v>
      </c>
      <c r="AZ2" s="2" t="n">
        <v>11.84</v>
      </c>
      <c r="BA2" s="2" t="n">
        <v>12.2</v>
      </c>
      <c r="BB2" s="2" t="n">
        <v>12.58</v>
      </c>
      <c r="BC2" s="2" t="n">
        <v>12.98</v>
      </c>
      <c r="BD2" s="2" t="n">
        <v>13.38</v>
      </c>
      <c r="BE2" s="2" t="n">
        <v>13.78</v>
      </c>
      <c r="BF2" s="2" t="n">
        <v>14.18</v>
      </c>
      <c r="BG2" s="2" t="n">
        <v>14.6</v>
      </c>
      <c r="BH2" s="2" t="n">
        <v>15.02</v>
      </c>
      <c r="BI2" s="2" t="n">
        <v>15.44</v>
      </c>
      <c r="BJ2" s="2" t="n">
        <v>15.88</v>
      </c>
    </row>
    <row r="3" customFormat="false" ht="12.8" hidden="false" customHeight="false" outlineLevel="0" collapsed="false">
      <c r="B3" s="26" t="s">
        <v>932</v>
      </c>
      <c r="C3" s="2" t="n">
        <v>1</v>
      </c>
      <c r="D3" s="2" t="n">
        <f aca="false">D2-C2</f>
        <v>0.0800000000000001</v>
      </c>
      <c r="E3" s="2" t="n">
        <f aca="false">E2-D2</f>
        <v>0.0799999999999999</v>
      </c>
      <c r="F3" s="2" t="n">
        <f aca="false">F2-E2</f>
        <v>0.0800000000000001</v>
      </c>
      <c r="G3" s="2" t="n">
        <f aca="false">G2-F2</f>
        <v>0.0800000000000001</v>
      </c>
      <c r="H3" s="2" t="n">
        <f aca="false">H2-G2</f>
        <v>0.0999999999999999</v>
      </c>
      <c r="I3" s="2" t="n">
        <f aca="false">I2-H2</f>
        <v>0.1</v>
      </c>
      <c r="J3" s="2" t="n">
        <f aca="false">J2-I2</f>
        <v>0.12</v>
      </c>
      <c r="K3" s="2" t="n">
        <f aca="false">K2-J2</f>
        <v>0.12</v>
      </c>
      <c r="L3" s="2" t="n">
        <f aca="false">L2-K2</f>
        <v>0.12</v>
      </c>
      <c r="M3" s="2" t="n">
        <f aca="false">M2-L2</f>
        <v>0.12</v>
      </c>
      <c r="N3" s="2" t="n">
        <f aca="false">N2-M2</f>
        <v>0.14</v>
      </c>
      <c r="O3" s="2" t="n">
        <f aca="false">O2-N2</f>
        <v>0.14</v>
      </c>
      <c r="P3" s="2" t="n">
        <f aca="false">P2-O2</f>
        <v>0.14</v>
      </c>
      <c r="Q3" s="2" t="n">
        <f aca="false">Q2-P2</f>
        <v>0.16</v>
      </c>
      <c r="R3" s="2" t="n">
        <f aca="false">R2-Q2</f>
        <v>0.16</v>
      </c>
      <c r="S3" s="2" t="n">
        <f aca="false">S2-R2</f>
        <v>0.16</v>
      </c>
      <c r="T3" s="2" t="n">
        <f aca="false">T2-S2</f>
        <v>0.16</v>
      </c>
      <c r="U3" s="2" t="n">
        <f aca="false">U2-T2</f>
        <v>0.18</v>
      </c>
      <c r="V3" s="2" t="n">
        <f aca="false">V2-U2</f>
        <v>0.2</v>
      </c>
      <c r="W3" s="2" t="n">
        <f aca="false">W2-V2</f>
        <v>0.18</v>
      </c>
      <c r="X3" s="2" t="n">
        <f aca="false">X2-W2</f>
        <v>0.2</v>
      </c>
      <c r="Y3" s="2" t="n">
        <f aca="false">Y2-X2</f>
        <v>0.2</v>
      </c>
      <c r="Z3" s="2" t="n">
        <f aca="false">Z2-Y2</f>
        <v>0.2</v>
      </c>
      <c r="AA3" s="2" t="n">
        <f aca="false">AA2-Z2</f>
        <v>0.220000000000001</v>
      </c>
      <c r="AB3" s="2" t="n">
        <f aca="false">AB2-AA2</f>
        <v>0.22</v>
      </c>
      <c r="AC3" s="2" t="n">
        <f aca="false">AC2-AB2</f>
        <v>0.24</v>
      </c>
      <c r="AD3" s="2" t="n">
        <f aca="false">AD2-AC2</f>
        <v>0.22</v>
      </c>
      <c r="AE3" s="2" t="n">
        <f aca="false">AE2-AD2</f>
        <v>0.24</v>
      </c>
      <c r="AF3" s="2" t="n">
        <f aca="false">AF2-AE2</f>
        <v>0.26</v>
      </c>
      <c r="AG3" s="2" t="n">
        <f aca="false">AG2-AF2</f>
        <v>0.24</v>
      </c>
      <c r="AH3" s="2" t="n">
        <f aca="false">AH2-AG2</f>
        <v>0.26</v>
      </c>
      <c r="AI3" s="2" t="n">
        <f aca="false">AI2-AH2</f>
        <v>0.26</v>
      </c>
      <c r="AJ3" s="2" t="n">
        <f aca="false">AJ2-AI2</f>
        <v>0.28</v>
      </c>
      <c r="AK3" s="2" t="n">
        <f aca="false">AK2-AJ2</f>
        <v>0.28</v>
      </c>
      <c r="AL3" s="2" t="n">
        <f aca="false">AL2-AK2</f>
        <v>0.279999999999999</v>
      </c>
      <c r="AM3" s="2" t="n">
        <f aca="false">AM2-AL2</f>
        <v>0.28</v>
      </c>
      <c r="AN3" s="2" t="n">
        <f aca="false">AN2-AM2</f>
        <v>0.3</v>
      </c>
      <c r="AO3" s="2" t="n">
        <f aca="false">AO2-AN2</f>
        <v>0.3</v>
      </c>
      <c r="AP3" s="2" t="n">
        <f aca="false">AP2-AO2</f>
        <v>0.32</v>
      </c>
      <c r="AQ3" s="2" t="n">
        <f aca="false">AQ2-AP2</f>
        <v>0.300000000000001</v>
      </c>
      <c r="AR3" s="2" t="n">
        <f aca="false">AR2-AQ2</f>
        <v>0.319999999999999</v>
      </c>
      <c r="AS3" s="2" t="n">
        <f aca="false">AS2-AR2</f>
        <v>0.340000000000002</v>
      </c>
      <c r="AT3" s="2" t="n">
        <f aca="false">AT2-AS2</f>
        <v>0.319999999999999</v>
      </c>
      <c r="AU3" s="2" t="n">
        <f aca="false">AU2-AT2</f>
        <v>0.34</v>
      </c>
      <c r="AV3" s="2" t="n">
        <f aca="false">AV2-AU2</f>
        <v>0.340000000000002</v>
      </c>
      <c r="AW3" s="2" t="n">
        <f aca="false">AW2-AV2</f>
        <v>0.359999999999999</v>
      </c>
      <c r="AX3" s="2" t="n">
        <f aca="false">AX2-AW2</f>
        <v>0.359999999999999</v>
      </c>
      <c r="AY3" s="2" t="n">
        <f aca="false">AY2-AX2</f>
        <v>0.360000000000001</v>
      </c>
      <c r="AZ3" s="2" t="n">
        <f aca="false">AZ2-AY2</f>
        <v>0.379999999999999</v>
      </c>
      <c r="BA3" s="2" t="n">
        <f aca="false">BA2-AZ2</f>
        <v>0.359999999999999</v>
      </c>
      <c r="BB3" s="2" t="n">
        <f aca="false">BB2-BA2</f>
        <v>0.380000000000001</v>
      </c>
      <c r="BC3" s="2" t="n">
        <f aca="false">BC2-BB2</f>
        <v>0.4</v>
      </c>
      <c r="BD3" s="2" t="n">
        <f aca="false">BD2-BC2</f>
        <v>0.4</v>
      </c>
      <c r="BE3" s="2" t="n">
        <f aca="false">BE2-BD2</f>
        <v>0.399999999999999</v>
      </c>
      <c r="BF3" s="2" t="n">
        <f aca="false">BF2-BE2</f>
        <v>0.4</v>
      </c>
      <c r="BG3" s="2" t="n">
        <f aca="false">BG2-BF2</f>
        <v>0.42</v>
      </c>
      <c r="BH3" s="2" t="n">
        <f aca="false">BH2-BG2</f>
        <v>0.42</v>
      </c>
      <c r="BI3" s="2" t="n">
        <f aca="false">BI2-BH2</f>
        <v>0.42</v>
      </c>
      <c r="BJ3" s="2" t="n">
        <f aca="false">BJ2-BI2</f>
        <v>0.440000000000001</v>
      </c>
    </row>
    <row r="4" customFormat="false" ht="12.8" hidden="false" customHeight="false" outlineLevel="0" collapsed="false">
      <c r="A4" s="23" t="s">
        <v>933</v>
      </c>
      <c r="B4" s="24" t="n">
        <v>50</v>
      </c>
      <c r="C4" s="25" t="n">
        <f aca="false">$B4*C$2</f>
        <v>50</v>
      </c>
      <c r="D4" s="25" t="n">
        <f aca="false">$B4*D2</f>
        <v>54</v>
      </c>
      <c r="E4" s="25" t="n">
        <f aca="false">$B4*E2</f>
        <v>58</v>
      </c>
      <c r="F4" s="25" t="n">
        <f aca="false">$B4*F2</f>
        <v>62</v>
      </c>
      <c r="G4" s="25" t="n">
        <f aca="false">$B4*G2</f>
        <v>66</v>
      </c>
      <c r="H4" s="25" t="n">
        <f aca="false">$B4*H2</f>
        <v>71</v>
      </c>
      <c r="I4" s="25" t="n">
        <f aca="false">$B4*I2</f>
        <v>76</v>
      </c>
      <c r="J4" s="25" t="n">
        <f aca="false">$B4*J2</f>
        <v>82</v>
      </c>
      <c r="K4" s="25" t="n">
        <f aca="false">$B4*K2</f>
        <v>88</v>
      </c>
      <c r="L4" s="25" t="n">
        <f aca="false">$B4*L2</f>
        <v>94</v>
      </c>
      <c r="M4" s="25" t="n">
        <f aca="false">$B4*M2</f>
        <v>100</v>
      </c>
      <c r="N4" s="25" t="n">
        <f aca="false">$B4*N2</f>
        <v>107</v>
      </c>
      <c r="O4" s="25" t="n">
        <f aca="false">$B4*O2</f>
        <v>114</v>
      </c>
      <c r="P4" s="25" t="n">
        <f aca="false">$B4*P2</f>
        <v>121</v>
      </c>
      <c r="Q4" s="25" t="n">
        <f aca="false">$B4*Q2</f>
        <v>129</v>
      </c>
      <c r="R4" s="25" t="n">
        <f aca="false">$B4*R2</f>
        <v>137</v>
      </c>
      <c r="S4" s="25" t="n">
        <f aca="false">$B4*S2</f>
        <v>145</v>
      </c>
      <c r="T4" s="25" t="n">
        <f aca="false">$B4*T2</f>
        <v>153</v>
      </c>
      <c r="U4" s="25" t="n">
        <f aca="false">$B4*U2</f>
        <v>162</v>
      </c>
      <c r="V4" s="25" t="n">
        <f aca="false">$B4*V2</f>
        <v>172</v>
      </c>
      <c r="W4" s="25" t="n">
        <f aca="false">$B4*W2</f>
        <v>181</v>
      </c>
      <c r="X4" s="25" t="n">
        <f aca="false">$B4*X2</f>
        <v>191</v>
      </c>
      <c r="Y4" s="25" t="n">
        <f aca="false">$B4*Y2</f>
        <v>201</v>
      </c>
      <c r="Z4" s="25" t="n">
        <f aca="false">$B4*Z2</f>
        <v>211</v>
      </c>
      <c r="AA4" s="25" t="n">
        <f aca="false">$B4*AA2</f>
        <v>222</v>
      </c>
      <c r="AB4" s="25" t="n">
        <f aca="false">$B4*AB2</f>
        <v>233</v>
      </c>
      <c r="AC4" s="25" t="n">
        <f aca="false">$B4*AC2</f>
        <v>245</v>
      </c>
      <c r="AD4" s="25" t="n">
        <f aca="false">$B4*AD2</f>
        <v>256</v>
      </c>
      <c r="AE4" s="25" t="n">
        <f aca="false">$B4*AE2</f>
        <v>268</v>
      </c>
      <c r="AF4" s="25" t="n">
        <f aca="false">$B4*AF2</f>
        <v>281</v>
      </c>
      <c r="AG4" s="25" t="n">
        <f aca="false">$B4*AG2</f>
        <v>293</v>
      </c>
      <c r="AH4" s="25" t="n">
        <f aca="false">$B4*AH2</f>
        <v>306</v>
      </c>
      <c r="AI4" s="25" t="n">
        <f aca="false">$B4*AI2</f>
        <v>319</v>
      </c>
      <c r="AJ4" s="25" t="n">
        <f aca="false">$B4*AJ2</f>
        <v>333</v>
      </c>
      <c r="AK4" s="25" t="n">
        <f aca="false">$B4*AK2</f>
        <v>347</v>
      </c>
      <c r="AL4" s="25" t="n">
        <f aca="false">$B4*AL2</f>
        <v>361</v>
      </c>
      <c r="AM4" s="25" t="n">
        <f aca="false">$B4*AM2</f>
        <v>375</v>
      </c>
      <c r="AN4" s="25" t="n">
        <f aca="false">$B4*AN2</f>
        <v>390</v>
      </c>
      <c r="AO4" s="25" t="n">
        <f aca="false">$B4*AO2</f>
        <v>405</v>
      </c>
      <c r="AP4" s="25" t="n">
        <f aca="false">$B4*AP2</f>
        <v>421</v>
      </c>
      <c r="AQ4" s="25" t="n">
        <f aca="false">$B4*AQ2</f>
        <v>436</v>
      </c>
      <c r="AR4" s="25" t="n">
        <f aca="false">$B4*AR2</f>
        <v>452</v>
      </c>
      <c r="AS4" s="25" t="n">
        <f aca="false">$B4*AS2</f>
        <v>469</v>
      </c>
      <c r="AT4" s="25" t="n">
        <f aca="false">$B4*AT2</f>
        <v>485</v>
      </c>
      <c r="AU4" s="25" t="n">
        <f aca="false">$B4*AU2</f>
        <v>502</v>
      </c>
      <c r="AV4" s="25" t="n">
        <f aca="false">$B4*AV2</f>
        <v>519</v>
      </c>
      <c r="AW4" s="25" t="n">
        <f aca="false">$B4*AW2</f>
        <v>537</v>
      </c>
      <c r="AX4" s="25" t="n">
        <f aca="false">$B4*AX2</f>
        <v>555</v>
      </c>
      <c r="AY4" s="25" t="n">
        <f aca="false">$B4*AY2</f>
        <v>573</v>
      </c>
      <c r="AZ4" s="25" t="n">
        <f aca="false">$B4*AZ2</f>
        <v>592</v>
      </c>
      <c r="BA4" s="25" t="n">
        <f aca="false">$B4*BA2</f>
        <v>610</v>
      </c>
      <c r="BB4" s="25" t="n">
        <f aca="false">$B4*BB2</f>
        <v>629</v>
      </c>
      <c r="BC4" s="25" t="n">
        <f aca="false">$B4*BC2</f>
        <v>649</v>
      </c>
      <c r="BD4" s="25" t="n">
        <f aca="false">$B4*BD2</f>
        <v>669</v>
      </c>
      <c r="BE4" s="25" t="n">
        <f aca="false">$B4*BE2</f>
        <v>689</v>
      </c>
      <c r="BF4" s="25" t="n">
        <f aca="false">$B4*BF2</f>
        <v>709</v>
      </c>
      <c r="BG4" s="25" t="n">
        <f aca="false">$B4*BG2</f>
        <v>730</v>
      </c>
      <c r="BH4" s="25" t="n">
        <f aca="false">$B4*BH2</f>
        <v>751</v>
      </c>
      <c r="BI4" s="25" t="n">
        <f aca="false">$B4*BI2</f>
        <v>772</v>
      </c>
      <c r="BJ4" s="25" t="n">
        <f aca="false">$B4*BJ2</f>
        <v>794</v>
      </c>
    </row>
    <row r="5" customFormat="false" ht="12.8" hidden="false" customHeight="false" outlineLevel="0" collapsed="false">
      <c r="A5" s="1" t="s">
        <v>934</v>
      </c>
      <c r="B5" s="2" t="n">
        <v>45</v>
      </c>
      <c r="C5" s="25" t="n">
        <f aca="false">$B5*C$2</f>
        <v>45</v>
      </c>
      <c r="D5" s="25" t="n">
        <f aca="false">$B5*D$2</f>
        <v>48.6</v>
      </c>
      <c r="E5" s="25" t="n">
        <f aca="false">$B5*E$2</f>
        <v>52.2</v>
      </c>
      <c r="F5" s="25" t="n">
        <f aca="false">$B5*F$2</f>
        <v>55.8</v>
      </c>
      <c r="G5" s="25" t="n">
        <f aca="false">$B5*G$2</f>
        <v>59.4</v>
      </c>
      <c r="H5" s="25" t="n">
        <f aca="false">$B5*H$2</f>
        <v>63.9</v>
      </c>
      <c r="I5" s="25" t="n">
        <f aca="false">$B5*I$2</f>
        <v>68.4</v>
      </c>
      <c r="J5" s="25" t="n">
        <f aca="false">$B5*J$2</f>
        <v>73.8</v>
      </c>
      <c r="K5" s="25" t="n">
        <f aca="false">$B5*K$2</f>
        <v>79.2</v>
      </c>
      <c r="L5" s="25" t="n">
        <f aca="false">$B5*L$2</f>
        <v>84.6</v>
      </c>
      <c r="M5" s="25" t="n">
        <f aca="false">$B5*M$2</f>
        <v>90</v>
      </c>
      <c r="N5" s="25" t="n">
        <f aca="false">$B5*N$2</f>
        <v>96.3</v>
      </c>
      <c r="O5" s="25" t="n">
        <f aca="false">$B5*O$2</f>
        <v>102.6</v>
      </c>
      <c r="P5" s="25" t="n">
        <f aca="false">$B5*P$2</f>
        <v>108.9</v>
      </c>
      <c r="Q5" s="25" t="n">
        <f aca="false">$B5*Q$2</f>
        <v>116.1</v>
      </c>
      <c r="R5" s="25" t="n">
        <f aca="false">$B5*R$2</f>
        <v>123.3</v>
      </c>
      <c r="S5" s="25" t="n">
        <f aca="false">$B5*S$2</f>
        <v>130.5</v>
      </c>
      <c r="T5" s="25" t="n">
        <f aca="false">$B5*T$2</f>
        <v>137.7</v>
      </c>
      <c r="U5" s="25" t="n">
        <f aca="false">$B5*U$2</f>
        <v>145.8</v>
      </c>
      <c r="V5" s="25" t="n">
        <f aca="false">$B5*V$2</f>
        <v>154.8</v>
      </c>
      <c r="W5" s="25" t="n">
        <f aca="false">$B5*W$2</f>
        <v>162.9</v>
      </c>
      <c r="X5" s="25" t="n">
        <f aca="false">$B5*X$2</f>
        <v>171.9</v>
      </c>
      <c r="Y5" s="25" t="n">
        <f aca="false">$B5*Y$2</f>
        <v>180.9</v>
      </c>
      <c r="Z5" s="25" t="n">
        <f aca="false">$B5*Z$2</f>
        <v>189.9</v>
      </c>
      <c r="AA5" s="25" t="n">
        <f aca="false">$B5*AA$2</f>
        <v>199.8</v>
      </c>
      <c r="AB5" s="25" t="n">
        <f aca="false">$B5*AB$2</f>
        <v>209.7</v>
      </c>
      <c r="AC5" s="25" t="n">
        <f aca="false">$B5*AC$2</f>
        <v>220.5</v>
      </c>
      <c r="AD5" s="25" t="n">
        <f aca="false">$B5*AD$2</f>
        <v>230.4</v>
      </c>
      <c r="AE5" s="25" t="n">
        <f aca="false">$B5*AE$2</f>
        <v>241.2</v>
      </c>
      <c r="AF5" s="25" t="n">
        <f aca="false">$B5*AF$2</f>
        <v>252.9</v>
      </c>
      <c r="AG5" s="25" t="n">
        <f aca="false">$B5*AG$2</f>
        <v>263.7</v>
      </c>
      <c r="AH5" s="25" t="n">
        <f aca="false">$B5*AH$2</f>
        <v>275.4</v>
      </c>
      <c r="AI5" s="25" t="n">
        <f aca="false">$B5*AI$2</f>
        <v>287.1</v>
      </c>
      <c r="AJ5" s="25" t="n">
        <f aca="false">$B5*AJ$2</f>
        <v>299.7</v>
      </c>
      <c r="AK5" s="25" t="n">
        <f aca="false">$B5*AK$2</f>
        <v>312.3</v>
      </c>
      <c r="AL5" s="25" t="n">
        <f aca="false">$B5*AL$2</f>
        <v>324.9</v>
      </c>
      <c r="AM5" s="25" t="n">
        <f aca="false">$B5*AM$2</f>
        <v>337.5</v>
      </c>
      <c r="AN5" s="25" t="n">
        <f aca="false">$B5*AN$2</f>
        <v>351</v>
      </c>
      <c r="AO5" s="25" t="n">
        <f aca="false">$B5*AO$2</f>
        <v>364.5</v>
      </c>
      <c r="AP5" s="25" t="n">
        <f aca="false">$B5*AP$2</f>
        <v>378.9</v>
      </c>
      <c r="AQ5" s="25" t="n">
        <f aca="false">$B5*AQ$2</f>
        <v>392.4</v>
      </c>
      <c r="AR5" s="25" t="n">
        <f aca="false">$B5*AR$2</f>
        <v>406.8</v>
      </c>
      <c r="AS5" s="25" t="n">
        <f aca="false">$B5*AS$2</f>
        <v>422.1</v>
      </c>
      <c r="AT5" s="25" t="n">
        <f aca="false">$B5*AT$2</f>
        <v>436.5</v>
      </c>
      <c r="AU5" s="25" t="n">
        <f aca="false">$B5*AU$2</f>
        <v>451.8</v>
      </c>
      <c r="AV5" s="25" t="n">
        <f aca="false">$B5*AV$2</f>
        <v>467.1</v>
      </c>
      <c r="AW5" s="25" t="n">
        <f aca="false">$B5*AW$2</f>
        <v>483.3</v>
      </c>
      <c r="AX5" s="25" t="n">
        <f aca="false">$B5*AX$2</f>
        <v>499.5</v>
      </c>
      <c r="AY5" s="25" t="n">
        <f aca="false">$B5*AY$2</f>
        <v>515.7</v>
      </c>
      <c r="AZ5" s="25" t="n">
        <f aca="false">$B5*AZ$2</f>
        <v>532.8</v>
      </c>
      <c r="BA5" s="25" t="n">
        <f aca="false">$B5*BA$2</f>
        <v>549</v>
      </c>
      <c r="BB5" s="25" t="n">
        <f aca="false">$B5*BB$2</f>
        <v>566.1</v>
      </c>
      <c r="BC5" s="25" t="n">
        <f aca="false">$B5*BC$2</f>
        <v>584.1</v>
      </c>
      <c r="BD5" s="25" t="n">
        <f aca="false">$B5*BD$2</f>
        <v>602.1</v>
      </c>
      <c r="BE5" s="25" t="n">
        <f aca="false">$B5*BE$2</f>
        <v>620.1</v>
      </c>
      <c r="BF5" s="25" t="n">
        <f aca="false">$B5*BF$2</f>
        <v>638.1</v>
      </c>
      <c r="BG5" s="25" t="n">
        <f aca="false">$B5*BG$2</f>
        <v>657</v>
      </c>
      <c r="BH5" s="25" t="n">
        <f aca="false">$B5*BH$2</f>
        <v>675.9</v>
      </c>
      <c r="BI5" s="25" t="n">
        <f aca="false">$B5*BI$2</f>
        <v>694.8</v>
      </c>
      <c r="BJ5" s="25" t="n">
        <f aca="false">$B5*BJ$2</f>
        <v>714.6</v>
      </c>
    </row>
    <row r="6" customFormat="false" ht="12.8" hidden="false" customHeight="false" outlineLevel="0" collapsed="false">
      <c r="B6" s="2" t="n">
        <v>60</v>
      </c>
      <c r="C6" s="25" t="n">
        <f aca="false">$B6*C$2</f>
        <v>60</v>
      </c>
      <c r="D6" s="25" t="n">
        <f aca="false">$B6*D$2</f>
        <v>64.8</v>
      </c>
      <c r="E6" s="25" t="n">
        <f aca="false">$B6*E$2</f>
        <v>69.6</v>
      </c>
      <c r="F6" s="25" t="n">
        <f aca="false">$B6*F$2</f>
        <v>74.4</v>
      </c>
      <c r="G6" s="25" t="n">
        <f aca="false">$B6*G$2</f>
        <v>79.2</v>
      </c>
      <c r="H6" s="25" t="n">
        <f aca="false">$B6*H$2</f>
        <v>85.2</v>
      </c>
      <c r="I6" s="25" t="n">
        <f aca="false">$B6*I$2</f>
        <v>91.2</v>
      </c>
      <c r="J6" s="25" t="n">
        <f aca="false">$B6*J$2</f>
        <v>98.4</v>
      </c>
      <c r="K6" s="25" t="n">
        <f aca="false">$B6*K$2</f>
        <v>105.6</v>
      </c>
      <c r="L6" s="25" t="n">
        <f aca="false">$B6*L$2</f>
        <v>112.8</v>
      </c>
      <c r="M6" s="25" t="n">
        <f aca="false">$B6*M$2</f>
        <v>120</v>
      </c>
      <c r="N6" s="25" t="n">
        <f aca="false">$B6*N$2</f>
        <v>128.4</v>
      </c>
      <c r="O6" s="25" t="n">
        <f aca="false">$B6*O$2</f>
        <v>136.8</v>
      </c>
      <c r="P6" s="25" t="n">
        <f aca="false">$B6*P$2</f>
        <v>145.2</v>
      </c>
      <c r="Q6" s="25" t="n">
        <f aca="false">$B6*Q$2</f>
        <v>154.8</v>
      </c>
      <c r="R6" s="25" t="n">
        <f aca="false">$B6*R$2</f>
        <v>164.4</v>
      </c>
      <c r="S6" s="25" t="n">
        <f aca="false">$B6*S$2</f>
        <v>174</v>
      </c>
      <c r="T6" s="25" t="n">
        <f aca="false">$B6*T$2</f>
        <v>183.6</v>
      </c>
      <c r="U6" s="25" t="n">
        <f aca="false">$B6*U$2</f>
        <v>194.4</v>
      </c>
      <c r="V6" s="25" t="n">
        <f aca="false">$B6*V$2</f>
        <v>206.4</v>
      </c>
      <c r="W6" s="25" t="n">
        <f aca="false">$B6*W$2</f>
        <v>217.2</v>
      </c>
      <c r="X6" s="25" t="n">
        <f aca="false">$B6*X$2</f>
        <v>229.2</v>
      </c>
      <c r="Y6" s="25" t="n">
        <f aca="false">$B6*Y$2</f>
        <v>241.2</v>
      </c>
      <c r="Z6" s="25" t="n">
        <f aca="false">$B6*Z$2</f>
        <v>253.2</v>
      </c>
      <c r="AA6" s="25" t="n">
        <f aca="false">$B6*AA$2</f>
        <v>266.4</v>
      </c>
      <c r="AB6" s="25" t="n">
        <f aca="false">$B6*AB$2</f>
        <v>279.6</v>
      </c>
      <c r="AC6" s="25" t="n">
        <f aca="false">$B6*AC$2</f>
        <v>294</v>
      </c>
      <c r="AD6" s="25" t="n">
        <f aca="false">$B6*AD$2</f>
        <v>307.2</v>
      </c>
      <c r="AE6" s="25" t="n">
        <f aca="false">$B6*AE$2</f>
        <v>321.6</v>
      </c>
      <c r="AF6" s="25" t="n">
        <f aca="false">$B6*AF$2</f>
        <v>337.2</v>
      </c>
      <c r="AG6" s="25" t="n">
        <f aca="false">$B6*AG$2</f>
        <v>351.6</v>
      </c>
      <c r="AH6" s="25" t="n">
        <f aca="false">$B6*AH$2</f>
        <v>367.2</v>
      </c>
      <c r="AI6" s="25" t="n">
        <f aca="false">$B6*AI$2</f>
        <v>382.8</v>
      </c>
      <c r="AJ6" s="25" t="n">
        <f aca="false">$B6*AJ$2</f>
        <v>399.6</v>
      </c>
      <c r="AK6" s="25" t="n">
        <f aca="false">$B6*AK$2</f>
        <v>416.4</v>
      </c>
      <c r="AL6" s="25" t="n">
        <f aca="false">$B6*AL$2</f>
        <v>433.2</v>
      </c>
      <c r="AM6" s="25" t="n">
        <f aca="false">$B6*AM$2</f>
        <v>450</v>
      </c>
      <c r="AN6" s="25" t="n">
        <f aca="false">$B6*AN$2</f>
        <v>468</v>
      </c>
      <c r="AO6" s="25" t="n">
        <f aca="false">$B6*AO$2</f>
        <v>486</v>
      </c>
      <c r="AP6" s="25" t="n">
        <f aca="false">$B6*AP$2</f>
        <v>505.2</v>
      </c>
      <c r="AQ6" s="25" t="n">
        <f aca="false">$B6*AQ$2</f>
        <v>523.2</v>
      </c>
      <c r="AR6" s="25" t="n">
        <f aca="false">$B6*AR$2</f>
        <v>542.4</v>
      </c>
      <c r="AS6" s="25" t="n">
        <f aca="false">$B6*AS$2</f>
        <v>562.8</v>
      </c>
      <c r="AT6" s="25" t="n">
        <f aca="false">$B6*AT$2</f>
        <v>582</v>
      </c>
      <c r="AU6" s="25" t="n">
        <f aca="false">$B6*AU$2</f>
        <v>602.4</v>
      </c>
      <c r="AV6" s="25" t="n">
        <f aca="false">$B6*AV$2</f>
        <v>622.8</v>
      </c>
      <c r="AW6" s="25" t="n">
        <f aca="false">$B6*AW$2</f>
        <v>644.4</v>
      </c>
      <c r="AX6" s="25" t="n">
        <f aca="false">$B6*AX$2</f>
        <v>666</v>
      </c>
      <c r="AY6" s="25" t="n">
        <f aca="false">$B6*AY$2</f>
        <v>687.6</v>
      </c>
      <c r="AZ6" s="25" t="n">
        <f aca="false">$B6*AZ$2</f>
        <v>710.4</v>
      </c>
      <c r="BA6" s="25" t="n">
        <f aca="false">$B6*BA$2</f>
        <v>732</v>
      </c>
      <c r="BB6" s="25" t="n">
        <f aca="false">$B6*BB$2</f>
        <v>754.8</v>
      </c>
      <c r="BC6" s="25" t="n">
        <f aca="false">$B6*BC$2</f>
        <v>778.8</v>
      </c>
      <c r="BD6" s="25" t="n">
        <f aca="false">$B6*BD$2</f>
        <v>802.8</v>
      </c>
      <c r="BE6" s="25" t="n">
        <f aca="false">$B6*BE$2</f>
        <v>826.8</v>
      </c>
      <c r="BF6" s="25" t="n">
        <f aca="false">$B6*BF$2</f>
        <v>850.8</v>
      </c>
      <c r="BG6" s="25" t="n">
        <f aca="false">$B6*BG$2</f>
        <v>876</v>
      </c>
      <c r="BH6" s="25" t="n">
        <f aca="false">$B6*BH$2</f>
        <v>901.2</v>
      </c>
      <c r="BI6" s="25" t="n">
        <f aca="false">$B6*BI$2</f>
        <v>926.4</v>
      </c>
      <c r="BJ6" s="25" t="n">
        <f aca="false">$B6*BJ$2</f>
        <v>952.8</v>
      </c>
    </row>
    <row r="8" customFormat="false" ht="12.8" hidden="false" customHeight="false" outlineLevel="0" collapsed="false">
      <c r="B8" s="1" t="s">
        <v>935</v>
      </c>
      <c r="C8" s="1" t="s">
        <v>936</v>
      </c>
      <c r="D8" s="1" t="s">
        <v>937</v>
      </c>
      <c r="E8" s="1" t="s">
        <v>938</v>
      </c>
      <c r="F8" s="1" t="s">
        <v>939</v>
      </c>
    </row>
    <row r="9" customFormat="false" ht="12.8" hidden="false" customHeight="false" outlineLevel="0" collapsed="false">
      <c r="B9" s="1" t="n">
        <v>1470</v>
      </c>
      <c r="C9" s="3" t="n">
        <v>0.626</v>
      </c>
      <c r="D9" s="1" t="n">
        <v>45</v>
      </c>
      <c r="E9" s="1" t="n">
        <v>60</v>
      </c>
      <c r="F9" s="1" t="n">
        <v>794</v>
      </c>
    </row>
    <row r="11" customFormat="false" ht="12.8" hidden="false" customHeight="false" outlineLevel="0" collapsed="false">
      <c r="A11" s="1" t="s">
        <v>940</v>
      </c>
      <c r="C11" s="1" t="s">
        <v>941</v>
      </c>
      <c r="D11" s="1" t="s">
        <v>936</v>
      </c>
      <c r="E11" s="1" t="s">
        <v>942</v>
      </c>
      <c r="F11" s="1" t="s">
        <v>943</v>
      </c>
      <c r="G11" s="1" t="s">
        <v>944</v>
      </c>
      <c r="H11" s="1" t="s">
        <v>945</v>
      </c>
      <c r="I11" s="1" t="s">
        <v>946</v>
      </c>
      <c r="J11" s="1" t="s">
        <v>947</v>
      </c>
    </row>
    <row r="12" customFormat="false" ht="12.8" hidden="false" customHeight="false" outlineLevel="0" collapsed="false">
      <c r="A12" s="27" t="n">
        <f aca="false">C12*D12*E12*F12*G12*H12*I12*J12</f>
        <v>870.863742550656</v>
      </c>
      <c r="B12" s="28" t="s">
        <v>948</v>
      </c>
      <c r="C12" s="27" t="n">
        <f aca="false">C18</f>
        <v>1470</v>
      </c>
      <c r="D12" s="3" t="n">
        <f aca="false">C9</f>
        <v>0.626</v>
      </c>
      <c r="E12" s="3" t="n">
        <v>1</v>
      </c>
      <c r="F12" s="3" t="n">
        <v>1</v>
      </c>
      <c r="G12" s="3" t="n">
        <v>1</v>
      </c>
      <c r="H12" s="3" t="n">
        <v>1</v>
      </c>
      <c r="I12" s="9" t="n">
        <f aca="false">I15</f>
        <v>0.946364719904648</v>
      </c>
      <c r="J12" s="3" t="n">
        <v>1</v>
      </c>
    </row>
    <row r="13" customFormat="false" ht="12.8" hidden="false" customHeight="false" outlineLevel="0" collapsed="false">
      <c r="C13" s="29" t="s">
        <v>949</v>
      </c>
      <c r="I13" s="29" t="s">
        <v>949</v>
      </c>
    </row>
    <row r="14" customFormat="false" ht="12.8" hidden="false" customHeight="false" outlineLevel="0" collapsed="false">
      <c r="C14" s="29" t="s">
        <v>949</v>
      </c>
      <c r="I14" s="29" t="s">
        <v>949</v>
      </c>
      <c r="J14" s="1" t="s">
        <v>950</v>
      </c>
      <c r="K14" s="1" t="s">
        <v>951</v>
      </c>
    </row>
    <row r="15" customFormat="false" ht="12.8" hidden="false" customHeight="false" outlineLevel="0" collapsed="false">
      <c r="C15" s="29" t="s">
        <v>949</v>
      </c>
      <c r="I15" s="9" t="n">
        <f aca="false">J15/(J15+K15)</f>
        <v>0.946364719904648</v>
      </c>
      <c r="J15" s="1" t="n">
        <f aca="false">F9</f>
        <v>794</v>
      </c>
      <c r="K15" s="1" t="n">
        <f aca="false">IF(K18&lt;0,0,K18)</f>
        <v>45</v>
      </c>
    </row>
    <row r="16" customFormat="false" ht="12.8" hidden="false" customHeight="false" outlineLevel="0" collapsed="false">
      <c r="C16" s="29" t="s">
        <v>949</v>
      </c>
      <c r="K16" s="29" t="s">
        <v>949</v>
      </c>
    </row>
    <row r="17" customFormat="false" ht="12.8" hidden="false" customHeight="false" outlineLevel="0" collapsed="false">
      <c r="C17" s="29" t="s">
        <v>949</v>
      </c>
      <c r="D17" s="1" t="s">
        <v>935</v>
      </c>
      <c r="E17" s="1" t="s">
        <v>952</v>
      </c>
      <c r="F17" s="1" t="s">
        <v>953</v>
      </c>
      <c r="G17" s="1" t="s">
        <v>954</v>
      </c>
      <c r="H17" s="1" t="s">
        <v>955</v>
      </c>
      <c r="K17" s="29" t="s">
        <v>949</v>
      </c>
      <c r="L17" s="1" t="s">
        <v>956</v>
      </c>
      <c r="M17" s="1" t="s">
        <v>957</v>
      </c>
      <c r="N17" s="1" t="s">
        <v>958</v>
      </c>
      <c r="O17" s="1" t="s">
        <v>959</v>
      </c>
    </row>
    <row r="18" customFormat="false" ht="12.8" hidden="false" customHeight="false" outlineLevel="0" collapsed="false">
      <c r="C18" s="1" t="n">
        <f aca="false">(D18*(E18)+F18)*G18+H18</f>
        <v>1470</v>
      </c>
      <c r="D18" s="1" t="n">
        <f aca="false">B9</f>
        <v>1470</v>
      </c>
      <c r="E18" s="3" t="n">
        <v>1</v>
      </c>
      <c r="F18" s="1" t="n">
        <v>0</v>
      </c>
      <c r="G18" s="3" t="n">
        <v>1</v>
      </c>
      <c r="H18" s="1" t="n">
        <v>0</v>
      </c>
      <c r="K18" s="1" t="n">
        <f aca="false">(L18*(1-M18)*(1-N18))-O18</f>
        <v>45</v>
      </c>
      <c r="L18" s="1" t="n">
        <f aca="false">L21</f>
        <v>45</v>
      </c>
      <c r="M18" s="3" t="n">
        <v>0</v>
      </c>
      <c r="N18" s="3" t="n">
        <v>0</v>
      </c>
      <c r="O18" s="1" t="n">
        <v>0</v>
      </c>
    </row>
    <row r="20" customFormat="false" ht="12.8" hidden="false" customHeight="false" outlineLevel="0" collapsed="false">
      <c r="M20" s="1" t="s">
        <v>960</v>
      </c>
      <c r="N20" s="1" t="s">
        <v>961</v>
      </c>
      <c r="O20" s="1" t="s">
        <v>932</v>
      </c>
    </row>
    <row r="21" customFormat="false" ht="12.8" hidden="false" customHeight="false" outlineLevel="0" collapsed="false">
      <c r="L21" s="1" t="n">
        <f aca="false">M21+(M21*O21*(N21-1))</f>
        <v>45</v>
      </c>
      <c r="M21" s="1" t="n">
        <f aca="false">D9</f>
        <v>45</v>
      </c>
      <c r="N21" s="1" t="n">
        <v>1</v>
      </c>
      <c r="O21" s="4" t="n">
        <f aca="false">M26</f>
        <v>0.252203389830508</v>
      </c>
    </row>
    <row r="23" customFormat="false" ht="12.8" hidden="false" customHeight="false" outlineLevel="0" collapsed="false">
      <c r="A23" s="1" t="s">
        <v>962</v>
      </c>
      <c r="B23" s="1" t="s">
        <v>938</v>
      </c>
      <c r="C23" s="1" t="s">
        <v>963</v>
      </c>
      <c r="D23" s="1" t="s">
        <v>946</v>
      </c>
      <c r="E23" s="1" t="s">
        <v>951</v>
      </c>
    </row>
    <row r="24" customFormat="false" ht="12.8" hidden="false" customHeight="false" outlineLevel="0" collapsed="false">
      <c r="B24" s="1" t="n">
        <v>1</v>
      </c>
      <c r="C24" s="1" t="n">
        <v>870.86</v>
      </c>
      <c r="D24" s="1" t="n">
        <f aca="false">$C24/$C$12/$D$12/$E$12/$F$12/$G$12/$H$12/$J$12</f>
        <v>0.946360652887353</v>
      </c>
      <c r="E24" s="1" t="n">
        <f aca="false">($J$15/D24)-$J$15</f>
        <v>45.0036056312151</v>
      </c>
    </row>
    <row r="25" customFormat="false" ht="12.8" hidden="false" customHeight="false" outlineLevel="0" collapsed="false">
      <c r="A25" s="1" t="n">
        <v>45</v>
      </c>
      <c r="B25" s="1" t="n">
        <v>10</v>
      </c>
      <c r="C25" s="1" t="n">
        <v>832</v>
      </c>
      <c r="D25" s="1" t="n">
        <f aca="false">$C25/$C$12/$D$12/$E$12/$F$12/$G$12/$H$12/$J$12</f>
        <v>0.904131620699398</v>
      </c>
      <c r="E25" s="1" t="n">
        <f aca="false">($J$15/D25)-$J$15</f>
        <v>84.1907211538461</v>
      </c>
      <c r="F25" s="1" t="n">
        <f aca="false">E25-$A$25</f>
        <v>39.1907211538461</v>
      </c>
      <c r="G25" s="1" t="n">
        <f aca="false">F25/9</f>
        <v>4.35452457264957</v>
      </c>
      <c r="H25" s="1" t="n">
        <f aca="false">G25/A25</f>
        <v>0.0967672127255459</v>
      </c>
    </row>
    <row r="26" customFormat="false" ht="12.8" hidden="false" customHeight="false" outlineLevel="0" collapsed="false">
      <c r="B26" s="1" t="n">
        <v>20</v>
      </c>
      <c r="C26" s="1" t="n">
        <v>771</v>
      </c>
      <c r="D26" s="1" t="n">
        <f aca="false">$C26/$C$12/$D$12/$E$12/$F$12/$G$12/$H$12/$J$12</f>
        <v>0.837843124470235</v>
      </c>
      <c r="E26" s="1" t="n">
        <f aca="false">($J$15/D26)-$J$15</f>
        <v>153.671439688716</v>
      </c>
      <c r="F26" s="1" t="n">
        <f aca="false">E26-$A$25</f>
        <v>108.671439688716</v>
      </c>
      <c r="G26" s="1" t="n">
        <f aca="false">F26/10</f>
        <v>10.8671439688716</v>
      </c>
      <c r="M26" s="1" t="n">
        <f aca="false">(952.8-60)/59/60</f>
        <v>0.252203389830508</v>
      </c>
    </row>
    <row r="27" customFormat="false" ht="12.8" hidden="false" customHeight="false" outlineLevel="0" collapsed="false">
      <c r="B27" s="1" t="n">
        <v>30</v>
      </c>
      <c r="C27" s="1" t="n">
        <v>698</v>
      </c>
      <c r="D27" s="1" t="n">
        <f aca="false">$C27/$C$12/$D$12/$E$12/$F$12/$G$12/$H$12/$J$12</f>
        <v>0.758514268327139</v>
      </c>
      <c r="E27" s="1" t="n">
        <f aca="false">($J$15/D27)-$J$15</f>
        <v>252.783209169054</v>
      </c>
      <c r="F27" s="1" t="n">
        <f aca="false">E27-$A$25</f>
        <v>207.783209169054</v>
      </c>
      <c r="G27" s="1" t="n">
        <f aca="false">F27/10</f>
        <v>20.7783209169054</v>
      </c>
    </row>
    <row r="28" customFormat="false" ht="12.8" hidden="false" customHeight="false" outlineLevel="0" collapsed="false">
      <c r="B28" s="1" t="n">
        <v>40</v>
      </c>
      <c r="C28" s="1" t="n">
        <v>623</v>
      </c>
      <c r="D28" s="1" t="n">
        <f aca="false">$C28/$C$12/$D$12/$E$12/$F$12/$G$12/$H$12/$J$12</f>
        <v>0.677012018865054</v>
      </c>
      <c r="E28" s="1" t="n">
        <f aca="false">($J$15/D28)-$J$15</f>
        <v>378.800449438202</v>
      </c>
      <c r="F28" s="1" t="n">
        <f aca="false">E28-$A$25</f>
        <v>333.800449438202</v>
      </c>
      <c r="G28" s="1" t="n">
        <f aca="false">F28/10</f>
        <v>33.3800449438202</v>
      </c>
    </row>
    <row r="29" customFormat="false" ht="12.8" hidden="false" customHeight="false" outlineLevel="0" collapsed="false">
      <c r="B29" s="1" t="n">
        <v>50</v>
      </c>
      <c r="C29" s="1" t="n">
        <v>551</v>
      </c>
      <c r="D29" s="1" t="n">
        <f aca="false">$C29/$C$12/$D$12/$E$12/$F$12/$G$12/$H$12/$J$12</f>
        <v>0.598769859381452</v>
      </c>
      <c r="E29" s="1" t="n">
        <f aca="false">($J$15/D29)-$J$15</f>
        <v>532.052050816697</v>
      </c>
      <c r="F29" s="1" t="n">
        <f aca="false">E29-$A$25</f>
        <v>487.052050816697</v>
      </c>
      <c r="G29" s="1" t="n">
        <f aca="false">F29/10</f>
        <v>48.7052050816697</v>
      </c>
    </row>
    <row r="30" customFormat="false" ht="12.8" hidden="false" customHeight="false" outlineLevel="0" collapsed="false">
      <c r="B30" s="1" t="n">
        <v>60</v>
      </c>
      <c r="C30" s="1" t="n">
        <v>485</v>
      </c>
      <c r="D30" s="1" t="n">
        <f aca="false">$C30/$C$12/$D$12/$E$12/$F$12/$G$12/$H$12/$J$12</f>
        <v>0.527047879854817</v>
      </c>
      <c r="E30" s="1" t="n">
        <f aca="false">($J$15/D30)-$J$15</f>
        <v>712.504494845361</v>
      </c>
      <c r="F30" s="1" t="n">
        <f aca="false">E30-$A$25</f>
        <v>667.504494845361</v>
      </c>
      <c r="G30" s="1" t="n">
        <f aca="false">F30/10</f>
        <v>66.7504494845361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&amp;C&amp;"Arial,標準"&amp;A</oddHeader>
    <oddFooter>&amp;C&amp;"Arial,標準"ページ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S3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S4" activeCellId="0" sqref="S4"/>
    </sheetView>
  </sheetViews>
  <sheetFormatPr defaultColWidth="12.8046875" defaultRowHeight="12.8" customHeight="true" zeroHeight="false" outlineLevelRow="0" outlineLevelCol="0"/>
  <cols>
    <col collapsed="false" customWidth="true" hidden="false" outlineLevel="0" max="1" min="1" style="1" width="4.21"/>
    <col collapsed="false" customWidth="true" hidden="false" outlineLevel="0" max="3" min="3" style="1" width="6.79"/>
    <col collapsed="false" customWidth="true" hidden="false" outlineLevel="0" max="4" min="4" style="1" width="9.7"/>
    <col collapsed="false" customWidth="true" hidden="false" outlineLevel="0" max="5" min="5" style="1" width="11.93"/>
    <col collapsed="false" customWidth="true" hidden="false" outlineLevel="0" max="6" min="6" style="1" width="7.47"/>
    <col collapsed="false" customWidth="true" hidden="false" outlineLevel="0" max="7" min="7" style="1" width="18.11"/>
    <col collapsed="false" customWidth="true" hidden="false" outlineLevel="0" max="8" min="8" style="1" width="5.41"/>
    <col collapsed="false" customWidth="true" hidden="false" outlineLevel="0" max="9" min="9" style="1" width="5.59"/>
    <col collapsed="false" customWidth="true" hidden="false" outlineLevel="0" max="10" min="10" style="1" width="5.93"/>
    <col collapsed="false" customWidth="true" hidden="false" outlineLevel="0" max="11" min="11" style="1" width="7.99"/>
    <col collapsed="false" customWidth="true" hidden="false" outlineLevel="0" max="13" min="12" style="1" width="11.59"/>
    <col collapsed="false" customWidth="true" hidden="false" outlineLevel="0" max="14" min="14" style="1" width="9.02"/>
    <col collapsed="false" customWidth="true" hidden="false" outlineLevel="0" max="15" min="15" style="1" width="12.1"/>
    <col collapsed="false" customWidth="true" hidden="false" outlineLevel="0" max="16" min="16" style="1" width="10.9"/>
    <col collapsed="false" customWidth="true" hidden="false" outlineLevel="0" max="17" min="17" style="1" width="11.59"/>
  </cols>
  <sheetData>
    <row r="1" customFormat="false" ht="12.8" hidden="false" customHeight="false" outlineLevel="0" collapsed="false">
      <c r="A1" s="2" t="s">
        <v>23</v>
      </c>
      <c r="B1" s="2" t="s">
        <v>24</v>
      </c>
      <c r="C1" s="2" t="s">
        <v>25</v>
      </c>
      <c r="D1" s="11" t="s">
        <v>26</v>
      </c>
      <c r="E1" s="11"/>
      <c r="F1" s="2" t="s">
        <v>27</v>
      </c>
      <c r="H1" s="2" t="s">
        <v>28</v>
      </c>
      <c r="R1" s="2" t="s">
        <v>29</v>
      </c>
    </row>
    <row r="2" customFormat="false" ht="12.8" hidden="false" customHeight="false" outlineLevel="0" collapsed="false">
      <c r="D2" s="2" t="s">
        <v>30</v>
      </c>
      <c r="E2" s="2" t="s">
        <v>31</v>
      </c>
      <c r="F2" s="2" t="s">
        <v>32</v>
      </c>
      <c r="G2" s="2" t="s">
        <v>33</v>
      </c>
      <c r="H2" s="2" t="s">
        <v>34</v>
      </c>
      <c r="I2" s="2" t="s">
        <v>0</v>
      </c>
      <c r="J2" s="2" t="s">
        <v>35</v>
      </c>
      <c r="K2" s="2" t="s">
        <v>36</v>
      </c>
      <c r="L2" s="2" t="s">
        <v>37</v>
      </c>
      <c r="N2" s="2" t="s">
        <v>38</v>
      </c>
      <c r="P2" s="2" t="s">
        <v>39</v>
      </c>
      <c r="Q2" s="2" t="s">
        <v>40</v>
      </c>
      <c r="R2" s="2" t="s">
        <v>41</v>
      </c>
      <c r="S2" s="2" t="s">
        <v>42</v>
      </c>
    </row>
    <row r="3" customFormat="false" ht="12.8" hidden="false" customHeight="false" outlineLevel="0" collapsed="false">
      <c r="L3" s="2" t="s">
        <v>43</v>
      </c>
      <c r="M3" s="2" t="s">
        <v>44</v>
      </c>
      <c r="N3" s="2" t="s">
        <v>45</v>
      </c>
      <c r="O3" s="2" t="s">
        <v>46</v>
      </c>
    </row>
    <row r="4" customFormat="false" ht="12.8" hidden="false" customHeight="false" outlineLevel="0" collapsed="false">
      <c r="A4" s="1" t="n">
        <v>0</v>
      </c>
      <c r="B4" s="2" t="s">
        <v>47</v>
      </c>
      <c r="C4" s="2" t="s">
        <v>48</v>
      </c>
      <c r="D4" s="2" t="s">
        <v>49</v>
      </c>
      <c r="G4" s="1" t="s">
        <v>50</v>
      </c>
      <c r="H4" s="1" t="n">
        <v>603</v>
      </c>
      <c r="I4" s="1" t="n">
        <v>95</v>
      </c>
      <c r="J4" s="1" t="n">
        <v>49</v>
      </c>
      <c r="K4" s="1" t="n">
        <v>71</v>
      </c>
      <c r="L4" s="1" t="n">
        <v>5</v>
      </c>
      <c r="M4" s="1" t="n">
        <v>50</v>
      </c>
      <c r="N4" s="1" t="n">
        <v>93</v>
      </c>
      <c r="O4" s="1" t="n">
        <v>92</v>
      </c>
      <c r="P4" s="1" t="n">
        <v>0</v>
      </c>
      <c r="Q4" s="1" t="n">
        <v>1.2</v>
      </c>
    </row>
    <row r="5" customFormat="false" ht="12.8" hidden="false" customHeight="false" outlineLevel="0" collapsed="false">
      <c r="A5" s="1" t="n">
        <v>1</v>
      </c>
      <c r="B5" s="2" t="s">
        <v>51</v>
      </c>
      <c r="C5" s="2" t="s">
        <v>48</v>
      </c>
      <c r="D5" s="2" t="s">
        <v>52</v>
      </c>
      <c r="G5" s="1" t="s">
        <v>53</v>
      </c>
      <c r="H5" s="1" t="n">
        <v>555</v>
      </c>
      <c r="I5" s="1" t="n">
        <v>113</v>
      </c>
      <c r="J5" s="1" t="n">
        <v>49</v>
      </c>
      <c r="K5" s="1" t="n">
        <v>72</v>
      </c>
      <c r="L5" s="1" t="n">
        <v>5</v>
      </c>
      <c r="M5" s="1" t="n">
        <v>50</v>
      </c>
      <c r="N5" s="1" t="n">
        <v>93</v>
      </c>
      <c r="O5" s="1" t="n">
        <v>92</v>
      </c>
      <c r="P5" s="1" t="n">
        <v>0</v>
      </c>
      <c r="Q5" s="1" t="n">
        <v>1.2</v>
      </c>
    </row>
    <row r="6" customFormat="false" ht="12.8" hidden="false" customHeight="false" outlineLevel="0" collapsed="false">
      <c r="A6" s="1" t="n">
        <v>2</v>
      </c>
      <c r="B6" s="2" t="s">
        <v>54</v>
      </c>
      <c r="C6" s="2" t="s">
        <v>48</v>
      </c>
      <c r="D6" s="2" t="s">
        <v>55</v>
      </c>
      <c r="G6" s="1" t="s">
        <v>56</v>
      </c>
      <c r="H6" s="1" t="n">
        <v>655</v>
      </c>
      <c r="I6" s="1" t="n">
        <v>93</v>
      </c>
      <c r="J6" s="1" t="n">
        <v>50</v>
      </c>
      <c r="K6" s="1" t="n">
        <v>73</v>
      </c>
      <c r="L6" s="1" t="n">
        <v>5</v>
      </c>
      <c r="M6" s="1" t="n">
        <v>50</v>
      </c>
      <c r="N6" s="1" t="n">
        <v>93</v>
      </c>
      <c r="O6" s="1" t="n">
        <v>92</v>
      </c>
      <c r="P6" s="1" t="n">
        <v>0</v>
      </c>
      <c r="Q6" s="1" t="n">
        <v>1.2</v>
      </c>
    </row>
    <row r="7" customFormat="false" ht="12.8" hidden="false" customHeight="false" outlineLevel="0" collapsed="false">
      <c r="A7" s="1" t="n">
        <v>3</v>
      </c>
      <c r="B7" s="2" t="s">
        <v>51</v>
      </c>
      <c r="C7" s="2" t="s">
        <v>57</v>
      </c>
      <c r="D7" s="2" t="s">
        <v>52</v>
      </c>
      <c r="G7" s="1" t="s">
        <v>58</v>
      </c>
      <c r="H7" s="1" t="n">
        <v>608</v>
      </c>
      <c r="I7" s="1" t="n">
        <v>131</v>
      </c>
      <c r="J7" s="1" t="n">
        <v>47</v>
      </c>
      <c r="K7" s="1" t="n">
        <v>74</v>
      </c>
      <c r="L7" s="1" t="n">
        <v>5</v>
      </c>
      <c r="M7" s="1" t="n">
        <v>50</v>
      </c>
      <c r="N7" s="1" t="n">
        <v>93</v>
      </c>
      <c r="O7" s="1" t="n">
        <v>92</v>
      </c>
      <c r="P7" s="1" t="n">
        <v>0</v>
      </c>
      <c r="Q7" s="1" t="n">
        <v>1.2</v>
      </c>
    </row>
    <row r="8" customFormat="false" ht="12.8" hidden="false" customHeight="false" outlineLevel="0" collapsed="false">
      <c r="A8" s="1" t="n">
        <v>4</v>
      </c>
      <c r="B8" s="2" t="s">
        <v>51</v>
      </c>
      <c r="C8" s="2" t="s">
        <v>57</v>
      </c>
      <c r="D8" s="2" t="s">
        <v>59</v>
      </c>
      <c r="G8" s="1" t="s">
        <v>60</v>
      </c>
      <c r="H8" s="1" t="n">
        <v>617</v>
      </c>
      <c r="I8" s="1" t="n">
        <v>128</v>
      </c>
      <c r="J8" s="1" t="n">
        <v>49</v>
      </c>
      <c r="K8" s="1" t="n">
        <v>75</v>
      </c>
      <c r="L8" s="1" t="n">
        <v>5</v>
      </c>
      <c r="M8" s="1" t="n">
        <v>50</v>
      </c>
      <c r="N8" s="1" t="n">
        <v>93</v>
      </c>
      <c r="O8" s="1" t="n">
        <v>92</v>
      </c>
      <c r="P8" s="1" t="n">
        <v>0</v>
      </c>
      <c r="Q8" s="1" t="n">
        <v>1.2</v>
      </c>
    </row>
    <row r="9" customFormat="false" ht="12.8" hidden="false" customHeight="false" outlineLevel="0" collapsed="false">
      <c r="A9" s="1" t="n">
        <v>5</v>
      </c>
      <c r="B9" s="2" t="s">
        <v>51</v>
      </c>
      <c r="C9" s="2" t="s">
        <v>48</v>
      </c>
      <c r="D9" s="2" t="s">
        <v>52</v>
      </c>
      <c r="G9" s="1" t="s">
        <v>61</v>
      </c>
      <c r="H9" s="1" t="n">
        <v>561</v>
      </c>
      <c r="I9" s="1" t="n">
        <v>116</v>
      </c>
      <c r="J9" s="1" t="n">
        <v>49</v>
      </c>
      <c r="K9" s="1" t="n">
        <v>76</v>
      </c>
      <c r="L9" s="1" t="n">
        <v>5</v>
      </c>
      <c r="M9" s="1" t="n">
        <v>50</v>
      </c>
      <c r="N9" s="1" t="n">
        <v>93</v>
      </c>
      <c r="O9" s="1" t="n">
        <v>92</v>
      </c>
      <c r="P9" s="1" t="n">
        <v>0</v>
      </c>
      <c r="Q9" s="1" t="n">
        <v>1.2</v>
      </c>
    </row>
    <row r="10" customFormat="false" ht="12.8" hidden="false" customHeight="false" outlineLevel="0" collapsed="false">
      <c r="A10" s="1" t="n">
        <v>6</v>
      </c>
      <c r="B10" s="2" t="s">
        <v>51</v>
      </c>
      <c r="C10" s="2" t="s">
        <v>48</v>
      </c>
      <c r="D10" s="2" t="s">
        <v>49</v>
      </c>
      <c r="G10" s="1" t="s">
        <v>62</v>
      </c>
      <c r="H10" s="1" t="n">
        <v>580</v>
      </c>
      <c r="I10" s="1" t="n">
        <v>114</v>
      </c>
      <c r="J10" s="1" t="n">
        <v>50</v>
      </c>
      <c r="K10" s="1" t="n">
        <v>77</v>
      </c>
      <c r="L10" s="1" t="n">
        <v>5</v>
      </c>
      <c r="M10" s="1" t="n">
        <v>50</v>
      </c>
      <c r="N10" s="1" t="n">
        <v>93</v>
      </c>
      <c r="O10" s="1" t="n">
        <v>92</v>
      </c>
      <c r="P10" s="1" t="n">
        <v>0</v>
      </c>
      <c r="Q10" s="1" t="n">
        <v>1.2</v>
      </c>
    </row>
    <row r="11" customFormat="false" ht="12.8" hidden="false" customHeight="false" outlineLevel="0" collapsed="false">
      <c r="A11" s="1" t="n">
        <v>7</v>
      </c>
      <c r="B11" s="2" t="s">
        <v>63</v>
      </c>
      <c r="C11" s="2" t="s">
        <v>48</v>
      </c>
      <c r="D11" s="2" t="s">
        <v>59</v>
      </c>
      <c r="G11" s="1" t="s">
        <v>64</v>
      </c>
      <c r="H11" s="1" t="n">
        <v>690</v>
      </c>
      <c r="I11" s="1" t="n">
        <v>117</v>
      </c>
      <c r="J11" s="1" t="n">
        <v>58</v>
      </c>
      <c r="K11" s="1" t="n">
        <v>78</v>
      </c>
      <c r="L11" s="1" t="n">
        <v>5</v>
      </c>
      <c r="M11" s="1" t="n">
        <v>50</v>
      </c>
      <c r="N11" s="1" t="n">
        <v>93</v>
      </c>
      <c r="O11" s="1" t="n">
        <v>92</v>
      </c>
      <c r="P11" s="1" t="n">
        <v>0</v>
      </c>
      <c r="Q11" s="1" t="n">
        <v>1.2</v>
      </c>
    </row>
    <row r="12" customFormat="false" ht="12.8" hidden="false" customHeight="false" outlineLevel="0" collapsed="false">
      <c r="A12" s="1" t="n">
        <v>8</v>
      </c>
      <c r="B12" s="2" t="s">
        <v>47</v>
      </c>
      <c r="C12" s="2" t="s">
        <v>57</v>
      </c>
      <c r="D12" s="2" t="s">
        <v>59</v>
      </c>
      <c r="G12" s="1" t="s">
        <v>65</v>
      </c>
      <c r="H12" s="1" t="n">
        <v>653</v>
      </c>
      <c r="I12" s="1" t="n">
        <v>106</v>
      </c>
      <c r="J12" s="1" t="n">
        <v>48</v>
      </c>
      <c r="K12" s="1" t="n">
        <v>79</v>
      </c>
      <c r="L12" s="1" t="n">
        <v>5</v>
      </c>
      <c r="M12" s="1" t="n">
        <v>50</v>
      </c>
      <c r="N12" s="1" t="n">
        <v>93</v>
      </c>
      <c r="O12" s="1" t="n">
        <v>92</v>
      </c>
      <c r="P12" s="1" t="n">
        <v>0</v>
      </c>
      <c r="Q12" s="1" t="n">
        <v>1.2</v>
      </c>
    </row>
    <row r="13" customFormat="false" ht="12.8" hidden="false" customHeight="false" outlineLevel="0" collapsed="false">
      <c r="A13" s="1" t="n">
        <v>9</v>
      </c>
      <c r="B13" s="2" t="s">
        <v>38</v>
      </c>
      <c r="C13" s="2" t="s">
        <v>57</v>
      </c>
      <c r="D13" s="2" t="s">
        <v>49</v>
      </c>
      <c r="G13" s="1" t="s">
        <v>66</v>
      </c>
      <c r="H13" s="1" t="n">
        <v>602</v>
      </c>
      <c r="I13" s="1" t="n">
        <v>119</v>
      </c>
      <c r="J13" s="1" t="n">
        <v>48</v>
      </c>
      <c r="K13" s="1" t="n">
        <v>80</v>
      </c>
      <c r="L13" s="1" t="n">
        <v>5</v>
      </c>
      <c r="M13" s="1" t="n">
        <v>50</v>
      </c>
      <c r="N13" s="1" t="n">
        <v>93</v>
      </c>
      <c r="O13" s="1" t="n">
        <v>92</v>
      </c>
      <c r="P13" s="1" t="n">
        <v>0</v>
      </c>
      <c r="Q13" s="1" t="n">
        <v>1.2</v>
      </c>
    </row>
    <row r="14" customFormat="false" ht="12.8" hidden="false" customHeight="false" outlineLevel="0" collapsed="false">
      <c r="A14" s="1" t="n">
        <v>10</v>
      </c>
      <c r="B14" s="2" t="s">
        <v>47</v>
      </c>
      <c r="C14" s="2" t="s">
        <v>57</v>
      </c>
      <c r="D14" s="2" t="s">
        <v>67</v>
      </c>
      <c r="G14" s="1" t="s">
        <v>68</v>
      </c>
      <c r="H14" s="1" t="n">
        <v>677</v>
      </c>
      <c r="I14" s="1" t="n">
        <v>105</v>
      </c>
      <c r="J14" s="1" t="n">
        <v>49</v>
      </c>
      <c r="K14" s="1" t="n">
        <v>81</v>
      </c>
      <c r="L14" s="1" t="n">
        <v>5</v>
      </c>
      <c r="M14" s="1" t="n">
        <v>50</v>
      </c>
      <c r="N14" s="1" t="n">
        <v>93</v>
      </c>
      <c r="O14" s="1" t="n">
        <v>92</v>
      </c>
      <c r="P14" s="1" t="n">
        <v>0</v>
      </c>
      <c r="Q14" s="1" t="n">
        <v>1.2</v>
      </c>
    </row>
    <row r="15" customFormat="false" ht="12.8" hidden="false" customHeight="false" outlineLevel="0" collapsed="false">
      <c r="A15" s="1" t="n">
        <v>11</v>
      </c>
      <c r="B15" s="2" t="s">
        <v>51</v>
      </c>
      <c r="C15" s="2" t="s">
        <v>57</v>
      </c>
      <c r="D15" s="2" t="s">
        <v>67</v>
      </c>
      <c r="G15" s="1" t="s">
        <v>69</v>
      </c>
      <c r="H15" s="1" t="n">
        <v>617</v>
      </c>
      <c r="I15" s="1" t="n">
        <v>135</v>
      </c>
      <c r="J15" s="1" t="n">
        <v>49</v>
      </c>
      <c r="K15" s="1" t="n">
        <v>82</v>
      </c>
      <c r="L15" s="1" t="n">
        <v>5</v>
      </c>
      <c r="M15" s="1" t="n">
        <v>50</v>
      </c>
      <c r="N15" s="1" t="n">
        <v>93</v>
      </c>
      <c r="O15" s="1" t="n">
        <v>92</v>
      </c>
      <c r="P15" s="1" t="n">
        <v>0</v>
      </c>
      <c r="Q15" s="1" t="n">
        <v>1.2</v>
      </c>
    </row>
    <row r="16" customFormat="false" ht="12.8" hidden="false" customHeight="false" outlineLevel="0" collapsed="false">
      <c r="A16" s="1" t="n">
        <v>12</v>
      </c>
      <c r="B16" s="2" t="s">
        <v>54</v>
      </c>
      <c r="C16" s="2" t="s">
        <v>57</v>
      </c>
      <c r="D16" s="2" t="s">
        <v>49</v>
      </c>
      <c r="G16" s="1" t="s">
        <v>70</v>
      </c>
      <c r="H16" s="1" t="n">
        <v>692</v>
      </c>
      <c r="I16" s="1" t="n">
        <v>103</v>
      </c>
      <c r="J16" s="1" t="n">
        <v>48</v>
      </c>
      <c r="K16" s="1" t="n">
        <v>83</v>
      </c>
      <c r="L16" s="1" t="n">
        <v>5</v>
      </c>
      <c r="M16" s="1" t="n">
        <v>50</v>
      </c>
      <c r="N16" s="1" t="n">
        <v>93</v>
      </c>
      <c r="O16" s="1" t="n">
        <v>92</v>
      </c>
      <c r="P16" s="1" t="n">
        <v>0</v>
      </c>
      <c r="Q16" s="1" t="n">
        <v>1.2</v>
      </c>
      <c r="R16" s="2" t="s">
        <v>71</v>
      </c>
      <c r="S16" s="2" t="s">
        <v>72</v>
      </c>
    </row>
    <row r="17" customFormat="false" ht="12.8" hidden="false" customHeight="false" outlineLevel="0" collapsed="false">
      <c r="A17" s="1" t="n">
        <v>13</v>
      </c>
      <c r="B17" s="2" t="s">
        <v>51</v>
      </c>
      <c r="C17" s="2" t="s">
        <v>57</v>
      </c>
      <c r="D17" s="2" t="s">
        <v>55</v>
      </c>
      <c r="G17" s="1" t="s">
        <v>73</v>
      </c>
      <c r="H17" s="1" t="n">
        <v>602</v>
      </c>
      <c r="I17" s="1" t="n">
        <v>132</v>
      </c>
      <c r="J17" s="1" t="n">
        <v>48</v>
      </c>
      <c r="K17" s="1" t="n">
        <v>84</v>
      </c>
      <c r="L17" s="1" t="n">
        <v>5</v>
      </c>
      <c r="M17" s="1" t="n">
        <v>50</v>
      </c>
      <c r="N17" s="1" t="n">
        <v>93</v>
      </c>
      <c r="O17" s="1" t="n">
        <v>92</v>
      </c>
      <c r="P17" s="1" t="n">
        <v>0</v>
      </c>
      <c r="Q17" s="1" t="n">
        <v>1.2</v>
      </c>
    </row>
    <row r="18" customFormat="false" ht="12.8" hidden="false" customHeight="false" outlineLevel="0" collapsed="false">
      <c r="A18" s="1" t="n">
        <v>14</v>
      </c>
      <c r="B18" s="2" t="s">
        <v>54</v>
      </c>
      <c r="C18" s="2" t="s">
        <v>48</v>
      </c>
      <c r="D18" s="2" t="s">
        <v>67</v>
      </c>
      <c r="G18" s="1" t="s">
        <v>74</v>
      </c>
      <c r="H18" s="1" t="n">
        <v>645</v>
      </c>
      <c r="I18" s="1" t="n">
        <v>96</v>
      </c>
      <c r="J18" s="1" t="n">
        <v>48</v>
      </c>
      <c r="K18" s="1" t="n">
        <v>85</v>
      </c>
      <c r="L18" s="1" t="n">
        <v>5</v>
      </c>
      <c r="M18" s="1" t="n">
        <v>50</v>
      </c>
      <c r="N18" s="1" t="n">
        <v>93</v>
      </c>
      <c r="O18" s="1" t="n">
        <v>92</v>
      </c>
      <c r="P18" s="1" t="n">
        <v>0</v>
      </c>
      <c r="Q18" s="1" t="n">
        <v>1.2</v>
      </c>
    </row>
    <row r="19" customFormat="false" ht="12.8" hidden="false" customHeight="false" outlineLevel="0" collapsed="false">
      <c r="A19" s="1" t="n">
        <v>15</v>
      </c>
      <c r="B19" s="2" t="s">
        <v>54</v>
      </c>
      <c r="C19" s="2" t="s">
        <v>48</v>
      </c>
      <c r="D19" s="2" t="s">
        <v>59</v>
      </c>
      <c r="G19" s="1" t="s">
        <v>75</v>
      </c>
      <c r="H19" s="1" t="n">
        <v>645</v>
      </c>
      <c r="I19" s="1" t="n">
        <v>95</v>
      </c>
      <c r="J19" s="1" t="n">
        <v>49</v>
      </c>
      <c r="K19" s="1" t="n">
        <v>86</v>
      </c>
      <c r="L19" s="1" t="n">
        <v>5</v>
      </c>
      <c r="M19" s="1" t="n">
        <v>50</v>
      </c>
      <c r="N19" s="1" t="n">
        <v>93</v>
      </c>
      <c r="O19" s="1" t="n">
        <v>92</v>
      </c>
      <c r="P19" s="1" t="n">
        <v>0</v>
      </c>
      <c r="Q19" s="1" t="n">
        <v>1.2</v>
      </c>
    </row>
    <row r="20" customFormat="false" ht="12.8" hidden="false" customHeight="false" outlineLevel="0" collapsed="false">
      <c r="A20" s="1" t="n">
        <v>16</v>
      </c>
      <c r="B20" s="2" t="s">
        <v>38</v>
      </c>
      <c r="C20" s="2" t="s">
        <v>48</v>
      </c>
      <c r="D20" s="2" t="s">
        <v>52</v>
      </c>
      <c r="G20" s="1" t="s">
        <v>76</v>
      </c>
      <c r="H20" s="1" t="n">
        <v>561</v>
      </c>
      <c r="I20" s="1" t="n">
        <v>109</v>
      </c>
      <c r="J20" s="1" t="n">
        <v>49</v>
      </c>
      <c r="K20" s="1" t="n">
        <v>87</v>
      </c>
      <c r="L20" s="1" t="n">
        <v>5</v>
      </c>
      <c r="M20" s="1" t="n">
        <v>50</v>
      </c>
      <c r="N20" s="1" t="n">
        <v>93</v>
      </c>
      <c r="O20" s="1" t="n">
        <v>92</v>
      </c>
      <c r="P20" s="1" t="n">
        <v>0</v>
      </c>
      <c r="Q20" s="1" t="n">
        <v>1.2</v>
      </c>
    </row>
    <row r="21" customFormat="false" ht="12.8" hidden="false" customHeight="false" outlineLevel="0" collapsed="false">
      <c r="A21" s="1" t="n">
        <v>17</v>
      </c>
      <c r="B21" s="2" t="s">
        <v>47</v>
      </c>
      <c r="C21" s="2" t="s">
        <v>57</v>
      </c>
      <c r="D21" s="2" t="s">
        <v>49</v>
      </c>
      <c r="G21" s="1" t="s">
        <v>77</v>
      </c>
      <c r="H21" s="1" t="n">
        <v>663</v>
      </c>
      <c r="I21" s="1" t="n">
        <v>109</v>
      </c>
      <c r="J21" s="1" t="n">
        <v>49</v>
      </c>
      <c r="K21" s="1" t="n">
        <v>88</v>
      </c>
      <c r="L21" s="1" t="n">
        <v>5</v>
      </c>
      <c r="M21" s="1" t="n">
        <v>50</v>
      </c>
      <c r="N21" s="1" t="n">
        <v>93</v>
      </c>
      <c r="O21" s="1" t="n">
        <v>92</v>
      </c>
      <c r="P21" s="1" t="n">
        <v>0</v>
      </c>
      <c r="Q21" s="1" t="n">
        <v>1.2</v>
      </c>
    </row>
    <row r="22" customFormat="false" ht="12.8" hidden="false" customHeight="false" outlineLevel="0" collapsed="false">
      <c r="A22" s="1" t="n">
        <v>18</v>
      </c>
      <c r="B22" s="2" t="s">
        <v>38</v>
      </c>
      <c r="C22" s="2" t="s">
        <v>57</v>
      </c>
      <c r="D22" s="2" t="s">
        <v>52</v>
      </c>
      <c r="G22" s="1" t="s">
        <v>78</v>
      </c>
      <c r="H22" s="1" t="n">
        <v>626</v>
      </c>
      <c r="I22" s="1" t="n">
        <v>127</v>
      </c>
      <c r="J22" s="1" t="n">
        <v>49</v>
      </c>
      <c r="K22" s="1" t="n">
        <v>89</v>
      </c>
      <c r="L22" s="1" t="n">
        <v>5</v>
      </c>
      <c r="M22" s="1" t="n">
        <v>50</v>
      </c>
      <c r="N22" s="1" t="n">
        <v>93</v>
      </c>
      <c r="O22" s="1" t="n">
        <v>92</v>
      </c>
      <c r="P22" s="1" t="n">
        <v>0</v>
      </c>
      <c r="Q22" s="1" t="n">
        <v>1.2</v>
      </c>
    </row>
    <row r="23" customFormat="false" ht="12.8" hidden="false" customHeight="false" outlineLevel="0" collapsed="false">
      <c r="A23" s="1" t="n">
        <v>19</v>
      </c>
      <c r="B23" s="2" t="s">
        <v>63</v>
      </c>
      <c r="C23" s="2" t="s">
        <v>48</v>
      </c>
      <c r="D23" s="2" t="s">
        <v>49</v>
      </c>
      <c r="G23" s="1" t="s">
        <v>79</v>
      </c>
      <c r="H23" s="1" t="n">
        <v>699</v>
      </c>
      <c r="I23" s="1" t="n">
        <v>93</v>
      </c>
      <c r="J23" s="1" t="n">
        <v>60</v>
      </c>
      <c r="K23" s="1" t="n">
        <v>90</v>
      </c>
      <c r="L23" s="1" t="n">
        <v>5</v>
      </c>
      <c r="M23" s="1" t="n">
        <v>50</v>
      </c>
      <c r="N23" s="1" t="n">
        <v>93</v>
      </c>
      <c r="O23" s="1" t="n">
        <v>92</v>
      </c>
      <c r="P23" s="1" t="n">
        <v>0</v>
      </c>
      <c r="Q23" s="1" t="n">
        <v>1.2</v>
      </c>
    </row>
    <row r="24" customFormat="false" ht="12.8" hidden="false" customHeight="false" outlineLevel="0" collapsed="false">
      <c r="A24" s="1" t="n">
        <v>20</v>
      </c>
      <c r="B24" s="2" t="s">
        <v>63</v>
      </c>
      <c r="C24" s="2" t="s">
        <v>57</v>
      </c>
      <c r="D24" s="2" t="s">
        <v>52</v>
      </c>
      <c r="G24" s="1" t="s">
        <v>80</v>
      </c>
      <c r="H24" s="1" t="n">
        <v>766</v>
      </c>
      <c r="I24" s="1" t="n">
        <v>101</v>
      </c>
      <c r="J24" s="1" t="n">
        <v>61</v>
      </c>
      <c r="K24" s="1" t="n">
        <v>91</v>
      </c>
      <c r="L24" s="1" t="n">
        <v>5</v>
      </c>
      <c r="M24" s="1" t="n">
        <v>50</v>
      </c>
      <c r="N24" s="1" t="n">
        <v>93</v>
      </c>
      <c r="O24" s="1" t="n">
        <v>92</v>
      </c>
      <c r="P24" s="1" t="n">
        <v>0</v>
      </c>
      <c r="Q24" s="1" t="n">
        <v>1.2</v>
      </c>
    </row>
    <row r="25" customFormat="false" ht="12.8" hidden="false" customHeight="false" outlineLevel="0" collapsed="false">
      <c r="A25" s="1" t="n">
        <v>21</v>
      </c>
      <c r="B25" s="2" t="s">
        <v>38</v>
      </c>
      <c r="C25" s="2" t="s">
        <v>57</v>
      </c>
      <c r="D25" s="2" t="s">
        <v>59</v>
      </c>
      <c r="G25" s="1" t="s">
        <v>81</v>
      </c>
      <c r="H25" s="1" t="n">
        <v>592</v>
      </c>
      <c r="I25" s="1" t="n">
        <v>124</v>
      </c>
      <c r="J25" s="1" t="n">
        <v>48</v>
      </c>
      <c r="K25" s="1" t="n">
        <v>92</v>
      </c>
      <c r="L25" s="1" t="n">
        <v>5</v>
      </c>
      <c r="M25" s="1" t="n">
        <v>50</v>
      </c>
      <c r="N25" s="1" t="n">
        <v>93</v>
      </c>
      <c r="O25" s="1" t="n">
        <v>92</v>
      </c>
      <c r="P25" s="1" t="n">
        <v>0</v>
      </c>
      <c r="Q25" s="1" t="n">
        <v>1.2</v>
      </c>
    </row>
    <row r="26" customFormat="false" ht="12.8" hidden="false" customHeight="false" outlineLevel="0" collapsed="false">
      <c r="A26" s="1" t="n">
        <v>22</v>
      </c>
      <c r="B26" s="2" t="s">
        <v>38</v>
      </c>
      <c r="C26" s="2" t="s">
        <v>57</v>
      </c>
      <c r="D26" s="2" t="s">
        <v>49</v>
      </c>
      <c r="G26" s="1" t="s">
        <v>82</v>
      </c>
      <c r="H26" s="1" t="n">
        <v>626</v>
      </c>
      <c r="I26" s="1" t="n">
        <v>126</v>
      </c>
      <c r="J26" s="1" t="n">
        <v>49</v>
      </c>
      <c r="K26" s="1" t="n">
        <v>93</v>
      </c>
      <c r="L26" s="1" t="n">
        <v>5</v>
      </c>
      <c r="M26" s="1" t="n">
        <v>50</v>
      </c>
      <c r="N26" s="1" t="n">
        <v>93</v>
      </c>
      <c r="O26" s="1" t="n">
        <v>92</v>
      </c>
      <c r="P26" s="1" t="n">
        <v>0</v>
      </c>
      <c r="Q26" s="1" t="n">
        <v>1.2</v>
      </c>
    </row>
    <row r="27" customFormat="false" ht="12.8" hidden="false" customHeight="false" outlineLevel="0" collapsed="false">
      <c r="A27" s="1" t="n">
        <v>23</v>
      </c>
      <c r="B27" s="2" t="s">
        <v>47</v>
      </c>
      <c r="C27" s="2" t="s">
        <v>57</v>
      </c>
      <c r="D27" s="2" t="s">
        <v>59</v>
      </c>
      <c r="G27" s="1" t="s">
        <v>83</v>
      </c>
      <c r="H27" s="1" t="n">
        <v>677</v>
      </c>
      <c r="I27" s="1" t="n">
        <v>109</v>
      </c>
      <c r="J27" s="1" t="n">
        <v>49</v>
      </c>
      <c r="K27" s="1" t="n">
        <v>94</v>
      </c>
      <c r="L27" s="1" t="n">
        <v>5</v>
      </c>
      <c r="M27" s="1" t="n">
        <v>50</v>
      </c>
      <c r="N27" s="1" t="n">
        <v>93</v>
      </c>
      <c r="O27" s="1" t="n">
        <v>92</v>
      </c>
      <c r="P27" s="1" t="n">
        <v>0</v>
      </c>
      <c r="Q27" s="1" t="n">
        <v>1.2</v>
      </c>
    </row>
    <row r="28" customFormat="false" ht="12.8" hidden="false" customHeight="false" outlineLevel="0" collapsed="false">
      <c r="A28" s="1" t="n">
        <v>24</v>
      </c>
      <c r="B28" s="2" t="s">
        <v>38</v>
      </c>
      <c r="C28" s="2" t="s">
        <v>57</v>
      </c>
      <c r="D28" s="2" t="s">
        <v>67</v>
      </c>
      <c r="E28" s="2" t="s">
        <v>84</v>
      </c>
      <c r="G28" s="1" t="s">
        <v>85</v>
      </c>
      <c r="H28" s="1" t="n">
        <v>617</v>
      </c>
      <c r="I28" s="1" t="n">
        <v>127</v>
      </c>
      <c r="J28" s="1" t="n">
        <v>49</v>
      </c>
      <c r="K28" s="1" t="n">
        <v>95</v>
      </c>
      <c r="L28" s="1" t="n">
        <v>5</v>
      </c>
      <c r="M28" s="1" t="n">
        <v>50</v>
      </c>
      <c r="N28" s="1" t="n">
        <v>93</v>
      </c>
      <c r="O28" s="1" t="n">
        <v>92</v>
      </c>
      <c r="P28" s="1" t="n">
        <v>0</v>
      </c>
      <c r="Q28" s="1" t="n">
        <v>1.2</v>
      </c>
    </row>
    <row r="29" customFormat="false" ht="12.8" hidden="false" customHeight="false" outlineLevel="0" collapsed="false">
      <c r="A29" s="1" t="n">
        <v>25</v>
      </c>
      <c r="B29" s="2" t="s">
        <v>51</v>
      </c>
      <c r="C29" s="2" t="s">
        <v>57</v>
      </c>
      <c r="D29" s="2" t="s">
        <v>49</v>
      </c>
      <c r="G29" s="1" t="s">
        <v>86</v>
      </c>
      <c r="H29" s="1" t="n">
        <v>595</v>
      </c>
      <c r="I29" s="1" t="n">
        <v>132</v>
      </c>
      <c r="J29" s="1" t="n">
        <v>48</v>
      </c>
      <c r="K29" s="1" t="n">
        <v>96</v>
      </c>
      <c r="L29" s="1" t="n">
        <v>5</v>
      </c>
      <c r="M29" s="1" t="n">
        <v>50</v>
      </c>
      <c r="N29" s="1" t="n">
        <v>93</v>
      </c>
      <c r="O29" s="1" t="n">
        <v>92</v>
      </c>
      <c r="P29" s="1" t="n">
        <v>0</v>
      </c>
      <c r="Q29" s="1" t="n">
        <v>1.2</v>
      </c>
    </row>
    <row r="30" customFormat="false" ht="12.8" hidden="false" customHeight="false" outlineLevel="0" collapsed="false">
      <c r="A30" s="1" t="n">
        <v>26</v>
      </c>
      <c r="B30" s="2" t="s">
        <v>54</v>
      </c>
      <c r="C30" s="2" t="s">
        <v>57</v>
      </c>
      <c r="D30" s="2" t="s">
        <v>55</v>
      </c>
      <c r="G30" s="1" t="s">
        <v>87</v>
      </c>
      <c r="H30" s="1" t="n">
        <v>692</v>
      </c>
      <c r="I30" s="1" t="n">
        <v>103</v>
      </c>
      <c r="J30" s="1" t="n">
        <v>48</v>
      </c>
      <c r="K30" s="1" t="n">
        <v>97</v>
      </c>
      <c r="L30" s="1" t="n">
        <v>5</v>
      </c>
      <c r="M30" s="1" t="n">
        <v>50</v>
      </c>
      <c r="N30" s="1" t="n">
        <v>93</v>
      </c>
      <c r="O30" s="1" t="n">
        <v>92</v>
      </c>
      <c r="P30" s="1" t="n">
        <v>0</v>
      </c>
      <c r="Q30" s="1" t="n">
        <v>1.2</v>
      </c>
    </row>
    <row r="31" customFormat="false" ht="12.8" hidden="false" customHeight="false" outlineLevel="0" collapsed="false">
      <c r="A31" s="1" t="n">
        <v>27</v>
      </c>
      <c r="B31" s="2" t="s">
        <v>51</v>
      </c>
      <c r="C31" s="2" t="s">
        <v>57</v>
      </c>
      <c r="D31" s="2" t="s">
        <v>59</v>
      </c>
      <c r="G31" s="1" t="s">
        <v>88</v>
      </c>
      <c r="H31" s="1" t="n">
        <v>626</v>
      </c>
      <c r="I31" s="1" t="n">
        <v>134</v>
      </c>
      <c r="J31" s="1" t="n">
        <v>49</v>
      </c>
      <c r="K31" s="1" t="n">
        <v>98</v>
      </c>
      <c r="L31" s="1" t="n">
        <v>5</v>
      </c>
      <c r="M31" s="1" t="n">
        <v>50</v>
      </c>
      <c r="N31" s="1" t="n">
        <v>93</v>
      </c>
      <c r="O31" s="1" t="n">
        <v>92</v>
      </c>
      <c r="P31" s="1" t="n">
        <v>0</v>
      </c>
      <c r="Q31" s="1" t="n">
        <v>1.2</v>
      </c>
    </row>
  </sheetData>
  <mergeCells count="1">
    <mergeCell ref="D1:E1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&amp;C&amp;"Arial,標準"&amp;A</oddHeader>
    <oddFooter>&amp;C&amp;"Arial,標準"ページ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1040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E3" activeCellId="0" sqref="E3"/>
    </sheetView>
  </sheetViews>
  <sheetFormatPr defaultColWidth="12.8046875" defaultRowHeight="12.8" customHeight="true" zeroHeight="false" outlineLevelRow="1" outlineLevelCol="0"/>
  <cols>
    <col collapsed="false" customWidth="true" hidden="false" outlineLevel="0" max="1" min="1" style="12" width="4.21"/>
    <col collapsed="false" customWidth="true" hidden="false" outlineLevel="0" max="2" min="2" style="13" width="6.27"/>
    <col collapsed="false" customWidth="true" hidden="false" outlineLevel="0" max="3" min="3" style="12" width="6.79"/>
    <col collapsed="false" customWidth="true" hidden="false" outlineLevel="0" max="4" min="4" style="12" width="9.53"/>
    <col collapsed="false" customWidth="true" hidden="false" outlineLevel="0" max="5" min="5" style="12" width="8.68"/>
    <col collapsed="false" customWidth="true" hidden="false" outlineLevel="0" max="6" min="6" style="12" width="23.09"/>
    <col collapsed="false" customWidth="true" hidden="false" outlineLevel="0" max="7" min="7" style="12" width="32.7"/>
    <col collapsed="false" customWidth="true" hidden="false" outlineLevel="0" max="8" min="8" style="12" width="12.11"/>
    <col collapsed="false" customWidth="true" hidden="false" outlineLevel="0" max="9" min="9" style="12" width="10.56"/>
    <col collapsed="false" customWidth="true" hidden="false" outlineLevel="0" max="10" min="10" style="12" width="5.41"/>
    <col collapsed="false" customWidth="true" hidden="false" outlineLevel="0" max="11" min="11" style="12" width="5.59"/>
    <col collapsed="false" customWidth="true" hidden="false" outlineLevel="0" max="12" min="12" style="12" width="5.93"/>
    <col collapsed="false" customWidth="true" hidden="false" outlineLevel="0" max="14" min="13" style="12" width="5.41"/>
    <col collapsed="false" customWidth="true" hidden="false" outlineLevel="0" max="15" min="15" style="12" width="6.27"/>
    <col collapsed="false" customWidth="true" hidden="false" outlineLevel="0" max="16" min="16" style="12" width="6.1"/>
    <col collapsed="false" customWidth="true" hidden="false" outlineLevel="0" max="17" min="17" style="12" width="5.59"/>
    <col collapsed="false" customWidth="true" hidden="false" outlineLevel="0" max="18" min="18" style="12" width="5.41"/>
    <col collapsed="false" customWidth="true" hidden="false" outlineLevel="0" max="19" min="19" style="12" width="6.96"/>
    <col collapsed="false" customWidth="true" hidden="false" outlineLevel="0" max="20" min="20" style="12" width="8.16"/>
    <col collapsed="false" customWidth="true" hidden="false" outlineLevel="0" max="21" min="21" style="12" width="5.93"/>
    <col collapsed="false" customWidth="true" hidden="false" outlineLevel="0" max="22" min="22" style="12" width="6.62"/>
    <col collapsed="false" customWidth="true" hidden="false" outlineLevel="0" max="23" min="23" style="12" width="4.21"/>
    <col collapsed="false" customWidth="true" hidden="false" outlineLevel="0" max="24" min="24" style="13" width="11.08"/>
    <col collapsed="false" customWidth="false" hidden="false" outlineLevel="0" max="16380" min="25" style="13" width="12.8"/>
  </cols>
  <sheetData>
    <row r="1" customFormat="false" ht="12.8" hidden="false" customHeight="false" outlineLevel="1" collapsed="false">
      <c r="A1" s="12" t="s">
        <v>23</v>
      </c>
      <c r="B1" s="12" t="s">
        <v>89</v>
      </c>
      <c r="C1" s="12" t="s">
        <v>90</v>
      </c>
      <c r="D1" s="14" t="s">
        <v>91</v>
      </c>
      <c r="E1" s="14" t="s">
        <v>92</v>
      </c>
      <c r="F1" s="12" t="s">
        <v>27</v>
      </c>
      <c r="H1" s="12" t="s">
        <v>93</v>
      </c>
      <c r="J1" s="12" t="s">
        <v>28</v>
      </c>
      <c r="T1" s="15" t="s">
        <v>29</v>
      </c>
      <c r="U1" s="15"/>
      <c r="V1" s="15"/>
      <c r="W1" s="15"/>
    </row>
    <row r="2" customFormat="false" ht="12.8" hidden="false" customHeight="false" outlineLevel="1" collapsed="false">
      <c r="B2" s="13" t="s">
        <v>23</v>
      </c>
      <c r="C2" s="12" t="s">
        <v>23</v>
      </c>
      <c r="D2" s="12" t="s">
        <v>23</v>
      </c>
      <c r="E2" s="12" t="s">
        <v>23</v>
      </c>
      <c r="F2" s="12" t="s">
        <v>32</v>
      </c>
      <c r="G2" s="12" t="s">
        <v>33</v>
      </c>
      <c r="H2" s="12" t="s">
        <v>32</v>
      </c>
      <c r="I2" s="12" t="s">
        <v>33</v>
      </c>
      <c r="J2" s="12" t="s">
        <v>94</v>
      </c>
      <c r="K2" s="12" t="s">
        <v>72</v>
      </c>
      <c r="L2" s="12" t="s">
        <v>95</v>
      </c>
      <c r="M2" s="12" t="s">
        <v>96</v>
      </c>
      <c r="N2" s="12" t="s">
        <v>97</v>
      </c>
      <c r="O2" s="12" t="s">
        <v>98</v>
      </c>
      <c r="P2" s="12" t="s">
        <v>99</v>
      </c>
      <c r="Q2" s="12" t="s">
        <v>100</v>
      </c>
      <c r="R2" s="12" t="s">
        <v>101</v>
      </c>
      <c r="S2" s="12" t="s">
        <v>102</v>
      </c>
      <c r="T2" s="12" t="s">
        <v>41</v>
      </c>
      <c r="U2" s="12" t="s">
        <v>103</v>
      </c>
      <c r="V2" s="12" t="s">
        <v>42</v>
      </c>
      <c r="W2" s="12" t="s">
        <v>103</v>
      </c>
      <c r="X2" s="12" t="s">
        <v>2</v>
      </c>
    </row>
    <row r="3" customFormat="false" ht="12.8" hidden="false" customHeight="false" outlineLevel="0" collapsed="false">
      <c r="A3" s="12" t="n">
        <v>0</v>
      </c>
      <c r="B3" s="12" t="n">
        <v>2</v>
      </c>
      <c r="C3" s="12" t="n">
        <v>1</v>
      </c>
      <c r="D3" s="12" t="n">
        <v>0</v>
      </c>
      <c r="E3" s="12" t="n">
        <v>0</v>
      </c>
      <c r="F3" s="12" t="s">
        <v>104</v>
      </c>
      <c r="G3" s="12" t="s">
        <v>50</v>
      </c>
      <c r="H3" s="12" t="s">
        <v>105</v>
      </c>
      <c r="I3" s="12" t="s">
        <v>106</v>
      </c>
      <c r="J3" s="12" t="n">
        <v>7500</v>
      </c>
      <c r="K3" s="12" t="n">
        <v>583</v>
      </c>
      <c r="L3" s="12" t="n">
        <v>612</v>
      </c>
      <c r="M3" s="12" t="n">
        <v>118</v>
      </c>
      <c r="N3" s="12" t="n">
        <v>5</v>
      </c>
      <c r="O3" s="12" t="n">
        <v>50</v>
      </c>
      <c r="P3" s="12" t="n">
        <v>94</v>
      </c>
      <c r="Q3" s="12" t="n">
        <v>93</v>
      </c>
      <c r="R3" s="12" t="n">
        <v>0</v>
      </c>
      <c r="S3" s="12" t="n">
        <v>1.2</v>
      </c>
      <c r="T3" s="12" t="s">
        <v>96</v>
      </c>
      <c r="U3" s="12" t="n">
        <v>6</v>
      </c>
      <c r="V3" s="12" t="s">
        <v>72</v>
      </c>
      <c r="W3" s="12" t="n">
        <v>25</v>
      </c>
      <c r="X3" s="12" t="n">
        <v>0</v>
      </c>
    </row>
    <row r="4" customFormat="false" ht="12.8" hidden="false" customHeight="false" outlineLevel="0" collapsed="false">
      <c r="A4" s="12" t="n">
        <v>1</v>
      </c>
      <c r="B4" s="12" t="n">
        <v>0</v>
      </c>
      <c r="C4" s="12" t="n">
        <v>1</v>
      </c>
      <c r="D4" s="12" t="n">
        <v>4</v>
      </c>
      <c r="E4" s="12" t="n">
        <v>0</v>
      </c>
      <c r="F4" s="12" t="s">
        <v>107</v>
      </c>
      <c r="G4" s="12" t="s">
        <v>53</v>
      </c>
      <c r="H4" s="12" t="s">
        <v>108</v>
      </c>
      <c r="I4" s="12" t="s">
        <v>109</v>
      </c>
      <c r="J4" s="12" t="n">
        <v>6907</v>
      </c>
      <c r="K4" s="12" t="n">
        <v>712</v>
      </c>
      <c r="L4" s="12" t="n">
        <v>606</v>
      </c>
      <c r="M4" s="12" t="n">
        <v>91</v>
      </c>
      <c r="N4" s="12" t="n">
        <v>5</v>
      </c>
      <c r="O4" s="12" t="n">
        <v>50</v>
      </c>
      <c r="P4" s="12" t="n">
        <v>92</v>
      </c>
      <c r="Q4" s="12" t="n">
        <v>91</v>
      </c>
      <c r="R4" s="12" t="n">
        <v>0</v>
      </c>
      <c r="S4" s="12" t="n">
        <v>1.2</v>
      </c>
      <c r="T4" s="12" t="s">
        <v>97</v>
      </c>
      <c r="U4" s="12" t="n">
        <v>4.8</v>
      </c>
      <c r="V4" s="12" t="s">
        <v>72</v>
      </c>
      <c r="W4" s="12" t="n">
        <v>25</v>
      </c>
      <c r="X4" s="12" t="n">
        <v>28</v>
      </c>
    </row>
    <row r="5" customFormat="false" ht="12.8" hidden="false" customHeight="false" outlineLevel="0" collapsed="false">
      <c r="A5" s="12" t="n">
        <v>2</v>
      </c>
      <c r="B5" s="12" t="n">
        <v>4</v>
      </c>
      <c r="C5" s="12" t="n">
        <v>1</v>
      </c>
      <c r="D5" s="12" t="n">
        <v>1</v>
      </c>
      <c r="E5" s="12" t="n">
        <v>0</v>
      </c>
      <c r="F5" s="12" t="s">
        <v>110</v>
      </c>
      <c r="G5" s="12" t="s">
        <v>56</v>
      </c>
      <c r="H5" s="12" t="s">
        <v>111</v>
      </c>
      <c r="I5" s="12" t="s">
        <v>112</v>
      </c>
      <c r="J5" s="12" t="n">
        <v>8145</v>
      </c>
      <c r="K5" s="12" t="n">
        <v>574</v>
      </c>
      <c r="L5" s="12" t="n">
        <v>622</v>
      </c>
      <c r="M5" s="12" t="n">
        <v>80</v>
      </c>
      <c r="N5" s="12" t="n">
        <v>5</v>
      </c>
      <c r="O5" s="12" t="n">
        <v>50</v>
      </c>
      <c r="P5" s="12" t="n">
        <v>90</v>
      </c>
      <c r="Q5" s="12" t="n">
        <v>93</v>
      </c>
      <c r="R5" s="12" t="n">
        <v>0</v>
      </c>
      <c r="S5" s="12" t="n">
        <v>1.2</v>
      </c>
      <c r="T5" s="12" t="s">
        <v>102</v>
      </c>
      <c r="U5" s="12" t="n">
        <v>0.12</v>
      </c>
      <c r="V5" s="12" t="s">
        <v>72</v>
      </c>
      <c r="W5" s="12" t="n">
        <v>25</v>
      </c>
      <c r="X5" s="12" t="n">
        <v>26</v>
      </c>
    </row>
    <row r="6" customFormat="false" ht="12.8" hidden="false" customHeight="false" outlineLevel="0" collapsed="false">
      <c r="A6" s="12" t="n">
        <v>3</v>
      </c>
      <c r="B6" s="12" t="n">
        <v>0</v>
      </c>
      <c r="C6" s="12" t="n">
        <v>0</v>
      </c>
      <c r="D6" s="12" t="n">
        <v>4</v>
      </c>
      <c r="E6" s="12" t="n">
        <v>0</v>
      </c>
      <c r="F6" s="12" t="s">
        <v>113</v>
      </c>
      <c r="G6" s="12" t="s">
        <v>58</v>
      </c>
      <c r="H6" s="12" t="s">
        <v>114</v>
      </c>
      <c r="I6" s="12" t="s">
        <v>115</v>
      </c>
      <c r="J6" s="12" t="n">
        <v>7560</v>
      </c>
      <c r="K6" s="12" t="n">
        <v>835</v>
      </c>
      <c r="L6" s="12" t="n">
        <v>587</v>
      </c>
      <c r="M6" s="12" t="n">
        <v>92</v>
      </c>
      <c r="N6" s="12" t="n">
        <v>5</v>
      </c>
      <c r="O6" s="12" t="n">
        <v>50</v>
      </c>
      <c r="P6" s="12" t="n">
        <v>97</v>
      </c>
      <c r="Q6" s="12" t="n">
        <v>96</v>
      </c>
      <c r="R6" s="12" t="n">
        <v>0</v>
      </c>
      <c r="S6" s="12" t="n">
        <v>1.2</v>
      </c>
      <c r="T6" s="12" t="s">
        <v>97</v>
      </c>
      <c r="U6" s="12" t="n">
        <v>4.8</v>
      </c>
      <c r="V6" s="12" t="s">
        <v>72</v>
      </c>
      <c r="W6" s="12" t="n">
        <v>25</v>
      </c>
      <c r="X6" s="12" t="n">
        <v>35</v>
      </c>
    </row>
    <row r="7" customFormat="false" ht="12.8" hidden="false" customHeight="false" outlineLevel="0" collapsed="false">
      <c r="A7" s="12" t="n">
        <v>4</v>
      </c>
      <c r="B7" s="12" t="n">
        <v>0</v>
      </c>
      <c r="C7" s="12" t="n">
        <v>0</v>
      </c>
      <c r="D7" s="12" t="n">
        <v>2</v>
      </c>
      <c r="E7" s="12" t="n">
        <v>3</v>
      </c>
      <c r="F7" s="12" t="s">
        <v>116</v>
      </c>
      <c r="G7" s="16" t="s">
        <v>60</v>
      </c>
      <c r="H7" s="12" t="s">
        <v>117</v>
      </c>
      <c r="I7" s="12" t="s">
        <v>118</v>
      </c>
      <c r="J7" s="16" t="n">
        <v>7673</v>
      </c>
      <c r="K7" s="16" t="n">
        <v>813</v>
      </c>
      <c r="L7" s="16" t="n">
        <v>612</v>
      </c>
      <c r="M7" s="16" t="n">
        <v>93</v>
      </c>
      <c r="N7" s="16" t="n">
        <v>5</v>
      </c>
      <c r="O7" s="16" t="n">
        <v>50</v>
      </c>
      <c r="P7" s="16" t="n">
        <v>94</v>
      </c>
      <c r="Q7" s="16" t="n">
        <v>93</v>
      </c>
      <c r="R7" s="16" t="n">
        <v>0</v>
      </c>
      <c r="S7" s="16" t="n">
        <v>1.2</v>
      </c>
      <c r="T7" s="12" t="s">
        <v>97</v>
      </c>
      <c r="U7" s="16" t="n">
        <v>4.8</v>
      </c>
      <c r="V7" s="12" t="s">
        <v>72</v>
      </c>
      <c r="W7" s="16" t="n">
        <v>25</v>
      </c>
      <c r="X7" s="16" t="n">
        <v>36</v>
      </c>
    </row>
    <row r="8" customFormat="false" ht="12.8" hidden="false" customHeight="false" outlineLevel="0" collapsed="false">
      <c r="A8" s="16" t="n">
        <v>5</v>
      </c>
      <c r="B8" s="12" t="n">
        <v>0</v>
      </c>
      <c r="C8" s="12" t="n">
        <v>1</v>
      </c>
      <c r="D8" s="12" t="n">
        <v>4</v>
      </c>
      <c r="E8" s="16" t="n">
        <v>1</v>
      </c>
      <c r="F8" s="12" t="s">
        <v>119</v>
      </c>
      <c r="G8" s="12" t="s">
        <v>61</v>
      </c>
      <c r="H8" s="12" t="s">
        <v>120</v>
      </c>
      <c r="I8" s="12" t="s">
        <v>121</v>
      </c>
      <c r="J8" s="16" t="n">
        <v>6976</v>
      </c>
      <c r="K8" s="16" t="n">
        <v>732</v>
      </c>
      <c r="L8" s="16" t="n">
        <v>604</v>
      </c>
      <c r="M8" s="16" t="n">
        <v>93</v>
      </c>
      <c r="N8" s="16" t="n">
        <v>5</v>
      </c>
      <c r="O8" s="16" t="n">
        <v>50</v>
      </c>
      <c r="P8" s="16" t="n">
        <v>93</v>
      </c>
      <c r="Q8" s="16" t="n">
        <v>96</v>
      </c>
      <c r="R8" s="16" t="n">
        <v>0</v>
      </c>
      <c r="S8" s="16" t="n">
        <v>1.2</v>
      </c>
      <c r="T8" s="12" t="s">
        <v>98</v>
      </c>
      <c r="U8" s="16" t="n">
        <v>9.6</v>
      </c>
      <c r="V8" s="12" t="s">
        <v>72</v>
      </c>
      <c r="W8" s="16" t="n">
        <v>25</v>
      </c>
      <c r="X8" s="16" t="n">
        <v>27</v>
      </c>
    </row>
    <row r="9" customFormat="false" ht="12.8" hidden="false" customHeight="false" outlineLevel="0" collapsed="false">
      <c r="A9" s="16" t="n">
        <v>6</v>
      </c>
      <c r="B9" s="12" t="n">
        <v>0</v>
      </c>
      <c r="C9" s="12" t="n">
        <v>1</v>
      </c>
      <c r="D9" s="12" t="n">
        <v>0</v>
      </c>
      <c r="E9" s="16" t="n">
        <v>2</v>
      </c>
      <c r="F9" s="12" t="s">
        <v>122</v>
      </c>
      <c r="G9" s="12" t="s">
        <v>62</v>
      </c>
      <c r="H9" s="12" t="s">
        <v>123</v>
      </c>
      <c r="I9" s="12" t="s">
        <v>124</v>
      </c>
      <c r="J9" s="16" t="n">
        <v>7219</v>
      </c>
      <c r="K9" s="16" t="n">
        <v>716</v>
      </c>
      <c r="L9" s="16" t="n">
        <v>622</v>
      </c>
      <c r="M9" s="16" t="n">
        <v>95</v>
      </c>
      <c r="N9" s="16" t="n">
        <v>5</v>
      </c>
      <c r="O9" s="16" t="n">
        <v>50</v>
      </c>
      <c r="P9" s="16" t="n">
        <v>86</v>
      </c>
      <c r="Q9" s="16" t="n">
        <v>90</v>
      </c>
      <c r="R9" s="16" t="n">
        <v>0</v>
      </c>
      <c r="S9" s="16" t="n">
        <v>1.2</v>
      </c>
      <c r="T9" s="12" t="s">
        <v>97</v>
      </c>
      <c r="U9" s="16" t="n">
        <v>4.8</v>
      </c>
      <c r="V9" s="12" t="s">
        <v>72</v>
      </c>
      <c r="W9" s="16" t="n">
        <v>25</v>
      </c>
      <c r="X9" s="16" t="n">
        <v>29</v>
      </c>
    </row>
    <row r="10" customFormat="false" ht="12.8" hidden="false" customHeight="false" outlineLevel="0" collapsed="false">
      <c r="A10" s="16" t="n">
        <v>7</v>
      </c>
      <c r="B10" s="12" t="n">
        <v>3</v>
      </c>
      <c r="C10" s="12" t="n">
        <v>1</v>
      </c>
      <c r="D10" s="12" t="n">
        <v>2</v>
      </c>
      <c r="E10" s="16" t="n">
        <v>2</v>
      </c>
      <c r="F10" s="12" t="s">
        <v>125</v>
      </c>
      <c r="G10" s="12" t="s">
        <v>64</v>
      </c>
      <c r="H10" s="12" t="s">
        <v>126</v>
      </c>
      <c r="I10" s="12" t="s">
        <v>127</v>
      </c>
      <c r="J10" s="16" t="n">
        <v>8577</v>
      </c>
      <c r="K10" s="16" t="n">
        <v>867</v>
      </c>
      <c r="L10" s="16" t="n">
        <v>724</v>
      </c>
      <c r="M10" s="16" t="n">
        <v>95</v>
      </c>
      <c r="N10" s="16" t="n">
        <v>5</v>
      </c>
      <c r="O10" s="16" t="n">
        <v>50</v>
      </c>
      <c r="P10" s="16" t="n">
        <v>86</v>
      </c>
      <c r="Q10" s="16" t="n">
        <v>90</v>
      </c>
      <c r="R10" s="16" t="n">
        <v>0</v>
      </c>
      <c r="S10" s="16" t="n">
        <v>1.2</v>
      </c>
      <c r="T10" s="12" t="s">
        <v>102</v>
      </c>
      <c r="U10" s="16" t="n">
        <v>0.12</v>
      </c>
      <c r="V10" s="12" t="s">
        <v>72</v>
      </c>
      <c r="W10" s="16" t="n">
        <v>25</v>
      </c>
      <c r="X10" s="16" t="n">
        <v>30</v>
      </c>
    </row>
    <row r="11" customFormat="false" ht="12.8" hidden="false" customHeight="false" outlineLevel="0" collapsed="false">
      <c r="A11" s="16" t="n">
        <v>8</v>
      </c>
      <c r="B11" s="12" t="n">
        <v>2</v>
      </c>
      <c r="C11" s="12" t="n">
        <v>0</v>
      </c>
      <c r="D11" s="12" t="n">
        <v>2</v>
      </c>
      <c r="E11" s="16" t="n">
        <v>2</v>
      </c>
      <c r="F11" s="12" t="s">
        <v>128</v>
      </c>
      <c r="G11" s="12" t="s">
        <v>65</v>
      </c>
      <c r="H11" s="12" t="s">
        <v>129</v>
      </c>
      <c r="I11" s="12" t="s">
        <v>130</v>
      </c>
      <c r="J11" s="16" t="n">
        <v>8127</v>
      </c>
      <c r="K11" s="16" t="n">
        <v>660</v>
      </c>
      <c r="L11" s="16" t="n">
        <v>594</v>
      </c>
      <c r="M11" s="16" t="n">
        <v>116</v>
      </c>
      <c r="N11" s="16" t="n">
        <v>5</v>
      </c>
      <c r="O11" s="16" t="n">
        <v>50</v>
      </c>
      <c r="P11" s="16" t="n">
        <v>97</v>
      </c>
      <c r="Q11" s="16" t="n">
        <v>96</v>
      </c>
      <c r="R11" s="16" t="n">
        <v>0</v>
      </c>
      <c r="S11" s="16" t="n">
        <v>1.2</v>
      </c>
      <c r="T11" s="12" t="s">
        <v>96</v>
      </c>
      <c r="U11" s="16" t="n">
        <v>6</v>
      </c>
      <c r="V11" s="12" t="s">
        <v>72</v>
      </c>
      <c r="W11" s="16" t="n">
        <v>25</v>
      </c>
      <c r="X11" s="16" t="n">
        <v>37</v>
      </c>
    </row>
    <row r="12" customFormat="false" ht="12.8" hidden="false" customHeight="false" outlineLevel="0" collapsed="false">
      <c r="A12" s="16" t="n">
        <v>9</v>
      </c>
      <c r="B12" s="12" t="n">
        <v>1</v>
      </c>
      <c r="C12" s="12" t="n">
        <v>0</v>
      </c>
      <c r="D12" s="12" t="n">
        <v>0</v>
      </c>
      <c r="E12" s="16" t="n">
        <v>2</v>
      </c>
      <c r="F12" s="12" t="s">
        <v>131</v>
      </c>
      <c r="G12" s="12" t="s">
        <v>66</v>
      </c>
      <c r="H12" s="12" t="s">
        <v>132</v>
      </c>
      <c r="I12" s="12" t="s">
        <v>133</v>
      </c>
      <c r="J12" s="16" t="n">
        <v>7482</v>
      </c>
      <c r="K12" s="16" t="n">
        <v>750</v>
      </c>
      <c r="L12" s="16" t="n">
        <v>600</v>
      </c>
      <c r="M12" s="16" t="n">
        <v>83</v>
      </c>
      <c r="N12" s="16" t="n">
        <v>5</v>
      </c>
      <c r="O12" s="16" t="n">
        <v>50</v>
      </c>
      <c r="P12" s="16" t="n">
        <v>115</v>
      </c>
      <c r="Q12" s="16" t="n">
        <v>116</v>
      </c>
      <c r="R12" s="16" t="n">
        <v>0</v>
      </c>
      <c r="S12" s="16" t="n">
        <v>1.2</v>
      </c>
      <c r="T12" s="12" t="s">
        <v>99</v>
      </c>
      <c r="U12" s="16" t="n">
        <v>12</v>
      </c>
      <c r="V12" s="12" t="s">
        <v>72</v>
      </c>
      <c r="W12" s="16" t="n">
        <v>25</v>
      </c>
      <c r="X12" s="16" t="n">
        <v>39</v>
      </c>
    </row>
    <row r="13" customFormat="false" ht="12.8" hidden="false" customHeight="false" outlineLevel="0" collapsed="false">
      <c r="A13" s="16" t="n">
        <v>10</v>
      </c>
      <c r="B13" s="12" t="n">
        <v>2</v>
      </c>
      <c r="C13" s="12" t="n">
        <v>0</v>
      </c>
      <c r="D13" s="12" t="n">
        <v>3</v>
      </c>
      <c r="E13" s="16" t="n">
        <v>1</v>
      </c>
      <c r="F13" s="12" t="s">
        <v>134</v>
      </c>
      <c r="G13" s="12" t="s">
        <v>68</v>
      </c>
      <c r="H13" s="12" t="s">
        <v>135</v>
      </c>
      <c r="I13" s="12" t="s">
        <v>136</v>
      </c>
      <c r="J13" s="16" t="n">
        <v>8416</v>
      </c>
      <c r="K13" s="16" t="n">
        <v>653</v>
      </c>
      <c r="L13" s="16" t="n">
        <v>606</v>
      </c>
      <c r="M13" s="16" t="n">
        <f aca="false">137-18</f>
        <v>119</v>
      </c>
      <c r="N13" s="16" t="n">
        <v>5</v>
      </c>
      <c r="O13" s="16" t="n">
        <v>50</v>
      </c>
      <c r="P13" s="16" t="n">
        <v>91</v>
      </c>
      <c r="Q13" s="16" t="n">
        <v>90</v>
      </c>
      <c r="R13" s="16" t="n">
        <v>0</v>
      </c>
      <c r="S13" s="16" t="n">
        <v>1.2</v>
      </c>
      <c r="T13" s="12" t="s">
        <v>96</v>
      </c>
      <c r="U13" s="16" t="n">
        <v>6</v>
      </c>
      <c r="V13" s="12" t="s">
        <v>72</v>
      </c>
      <c r="W13" s="16" t="n">
        <v>25</v>
      </c>
      <c r="X13" s="16" t="n">
        <v>38</v>
      </c>
    </row>
    <row r="14" customFormat="false" ht="12.8" hidden="false" customHeight="false" outlineLevel="0" collapsed="false">
      <c r="A14" s="16" t="n">
        <v>11</v>
      </c>
      <c r="B14" s="12" t="n">
        <v>0</v>
      </c>
      <c r="C14" s="12" t="n">
        <v>0</v>
      </c>
      <c r="D14" s="12" t="n">
        <v>3</v>
      </c>
      <c r="E14" s="16" t="n">
        <v>1</v>
      </c>
      <c r="F14" s="12" t="s">
        <v>137</v>
      </c>
      <c r="G14" s="12" t="s">
        <v>69</v>
      </c>
      <c r="H14" s="12" t="s">
        <v>138</v>
      </c>
      <c r="I14" s="12" t="s">
        <v>139</v>
      </c>
      <c r="J14" s="16" t="n">
        <v>7673</v>
      </c>
      <c r="K14" s="16" t="n">
        <v>863</v>
      </c>
      <c r="L14" s="16" t="n">
        <v>606</v>
      </c>
      <c r="M14" s="16" t="n">
        <v>93</v>
      </c>
      <c r="N14" s="16" t="n">
        <v>5</v>
      </c>
      <c r="O14" s="16" t="n">
        <v>50</v>
      </c>
      <c r="P14" s="16" t="n">
        <v>94</v>
      </c>
      <c r="Q14" s="16" t="n">
        <v>93</v>
      </c>
      <c r="R14" s="16" t="n">
        <v>0</v>
      </c>
      <c r="S14" s="16" t="n">
        <v>1.2</v>
      </c>
      <c r="T14" s="12" t="s">
        <v>97</v>
      </c>
      <c r="U14" s="16" t="n">
        <v>4.8</v>
      </c>
      <c r="V14" s="12" t="s">
        <v>72</v>
      </c>
      <c r="W14" s="16" t="n">
        <v>25</v>
      </c>
      <c r="X14" s="16" t="n">
        <v>40</v>
      </c>
    </row>
    <row r="15" customFormat="false" ht="12.8" hidden="false" customHeight="false" outlineLevel="0" collapsed="false">
      <c r="A15" s="16" t="n">
        <v>12</v>
      </c>
      <c r="B15" s="12" t="n">
        <v>4</v>
      </c>
      <c r="C15" s="12" t="n">
        <v>0</v>
      </c>
      <c r="D15" s="12" t="n">
        <v>0</v>
      </c>
      <c r="E15" s="16" t="n">
        <v>1</v>
      </c>
      <c r="F15" s="12" t="s">
        <v>140</v>
      </c>
      <c r="G15" s="12" t="s">
        <v>70</v>
      </c>
      <c r="H15" s="12" t="s">
        <v>141</v>
      </c>
      <c r="I15" s="12" t="s">
        <v>142</v>
      </c>
      <c r="J15" s="16" t="n">
        <v>8609</v>
      </c>
      <c r="K15" s="16" t="n">
        <v>642</v>
      </c>
      <c r="L15" s="16" t="n">
        <v>600</v>
      </c>
      <c r="M15" s="16" t="n">
        <v>83</v>
      </c>
      <c r="N15" s="16" t="n">
        <v>5</v>
      </c>
      <c r="O15" s="16" t="n">
        <v>50</v>
      </c>
      <c r="P15" s="16" t="n">
        <v>93</v>
      </c>
      <c r="Q15" s="16" t="n">
        <v>92</v>
      </c>
      <c r="R15" s="16" t="n">
        <v>0</v>
      </c>
      <c r="S15" s="16" t="n">
        <v>1.2</v>
      </c>
      <c r="T15" s="12" t="s">
        <v>101</v>
      </c>
      <c r="U15" s="16" t="n">
        <v>4.8</v>
      </c>
      <c r="V15" s="12" t="s">
        <v>72</v>
      </c>
      <c r="W15" s="16" t="n">
        <v>25</v>
      </c>
      <c r="X15" s="16" t="n">
        <v>41</v>
      </c>
    </row>
    <row r="16" customFormat="false" ht="12.8" hidden="false" customHeight="false" outlineLevel="0" collapsed="false">
      <c r="A16" s="16" t="n">
        <v>13</v>
      </c>
      <c r="B16" s="12" t="n">
        <v>0</v>
      </c>
      <c r="C16" s="12" t="n">
        <v>0</v>
      </c>
      <c r="D16" s="12" t="n">
        <v>1</v>
      </c>
      <c r="E16" s="16" t="n">
        <v>5</v>
      </c>
      <c r="F16" s="12" t="s">
        <v>143</v>
      </c>
      <c r="G16" s="12" t="s">
        <v>73</v>
      </c>
      <c r="H16" s="12" t="s">
        <v>143</v>
      </c>
      <c r="I16" s="12" t="s">
        <v>73</v>
      </c>
      <c r="J16" s="16" t="n">
        <v>7482</v>
      </c>
      <c r="K16" s="16" t="n">
        <v>844</v>
      </c>
      <c r="L16" s="16" t="n">
        <v>600</v>
      </c>
      <c r="M16" s="16" t="n">
        <v>90</v>
      </c>
      <c r="N16" s="16" t="n">
        <v>5</v>
      </c>
      <c r="O16" s="16" t="n">
        <v>50</v>
      </c>
      <c r="P16" s="16" t="n">
        <v>93</v>
      </c>
      <c r="Q16" s="16" t="n">
        <v>92</v>
      </c>
      <c r="R16" s="16" t="n">
        <v>0</v>
      </c>
      <c r="S16" s="16" t="n">
        <v>1.2</v>
      </c>
      <c r="T16" s="12" t="s">
        <v>98</v>
      </c>
      <c r="U16" s="16" t="n">
        <v>9.6</v>
      </c>
      <c r="V16" s="12" t="s">
        <v>72</v>
      </c>
      <c r="W16" s="16" t="n">
        <v>25</v>
      </c>
      <c r="X16" s="16" t="n">
        <v>42</v>
      </c>
    </row>
    <row r="17" customFormat="false" ht="12.8" hidden="false" customHeight="false" outlineLevel="0" collapsed="false">
      <c r="A17" s="16" t="n">
        <v>14</v>
      </c>
      <c r="B17" s="12" t="n">
        <v>4</v>
      </c>
      <c r="C17" s="12" t="n">
        <v>1</v>
      </c>
      <c r="D17" s="12" t="n">
        <v>3</v>
      </c>
      <c r="E17" s="16" t="n">
        <v>4</v>
      </c>
      <c r="F17" s="12" t="s">
        <v>144</v>
      </c>
      <c r="G17" s="12" t="s">
        <v>74</v>
      </c>
      <c r="H17" s="12" t="s">
        <v>144</v>
      </c>
      <c r="I17" s="12" t="s">
        <v>74</v>
      </c>
      <c r="J17" s="16" t="n">
        <v>8025</v>
      </c>
      <c r="K17" s="16" t="n">
        <v>590</v>
      </c>
      <c r="L17" s="16" t="n">
        <v>597</v>
      </c>
      <c r="M17" s="16" t="n">
        <v>86</v>
      </c>
      <c r="N17" s="16" t="n">
        <v>5</v>
      </c>
      <c r="O17" s="16" t="n">
        <v>50</v>
      </c>
      <c r="P17" s="16" t="n">
        <v>93</v>
      </c>
      <c r="Q17" s="16" t="n">
        <v>96</v>
      </c>
      <c r="R17" s="16" t="n">
        <v>0</v>
      </c>
      <c r="S17" s="16" t="n">
        <v>1.2</v>
      </c>
      <c r="T17" s="12" t="s">
        <v>102</v>
      </c>
      <c r="U17" s="16" t="n">
        <v>0.12</v>
      </c>
      <c r="V17" s="12" t="s">
        <v>72</v>
      </c>
      <c r="W17" s="16" t="n">
        <v>25</v>
      </c>
      <c r="X17" s="16" t="n">
        <v>31</v>
      </c>
    </row>
    <row r="18" customFormat="false" ht="12.8" hidden="false" customHeight="false" outlineLevel="0" collapsed="false">
      <c r="A18" s="16" t="n">
        <v>15</v>
      </c>
      <c r="B18" s="12" t="n">
        <v>4</v>
      </c>
      <c r="C18" s="12" t="n">
        <v>1</v>
      </c>
      <c r="D18" s="12" t="n">
        <v>2</v>
      </c>
      <c r="E18" s="16" t="n">
        <v>6</v>
      </c>
      <c r="F18" s="12" t="s">
        <v>145</v>
      </c>
      <c r="G18" s="12" t="s">
        <v>75</v>
      </c>
      <c r="H18" s="12" t="s">
        <v>146</v>
      </c>
      <c r="I18" s="12" t="s">
        <v>147</v>
      </c>
      <c r="J18" s="16" t="n">
        <v>8025</v>
      </c>
      <c r="K18" s="16" t="n">
        <v>583</v>
      </c>
      <c r="L18" s="16" t="n">
        <v>612</v>
      </c>
      <c r="M18" s="16" t="n">
        <v>86</v>
      </c>
      <c r="N18" s="16" t="n">
        <v>5</v>
      </c>
      <c r="O18" s="16" t="n">
        <v>50</v>
      </c>
      <c r="P18" s="16" t="n">
        <v>94</v>
      </c>
      <c r="Q18" s="16" t="n">
        <v>93</v>
      </c>
      <c r="R18" s="16" t="n">
        <v>0</v>
      </c>
      <c r="S18" s="16" t="n">
        <v>1.2</v>
      </c>
      <c r="T18" s="12" t="s">
        <v>102</v>
      </c>
      <c r="U18" s="16" t="n">
        <v>0.12</v>
      </c>
      <c r="V18" s="12" t="s">
        <v>72</v>
      </c>
      <c r="W18" s="16" t="n">
        <v>25</v>
      </c>
      <c r="X18" s="16" t="n">
        <f aca="false">'w-Engines'!A45</f>
        <v>43</v>
      </c>
    </row>
    <row r="19" customFormat="false" ht="12.8" hidden="false" customHeight="false" outlineLevel="0" collapsed="false">
      <c r="A19" s="16" t="n">
        <v>16</v>
      </c>
      <c r="B19" s="12" t="n">
        <v>1</v>
      </c>
      <c r="C19" s="12" t="n">
        <v>1</v>
      </c>
      <c r="D19" s="12" t="n">
        <v>4</v>
      </c>
      <c r="E19" s="16" t="n">
        <v>6</v>
      </c>
      <c r="F19" s="12" t="s">
        <v>148</v>
      </c>
      <c r="G19" s="12" t="s">
        <v>76</v>
      </c>
      <c r="H19" s="12" t="s">
        <v>149</v>
      </c>
      <c r="I19" s="12" t="s">
        <v>150</v>
      </c>
      <c r="J19" s="16" t="n">
        <v>6976</v>
      </c>
      <c r="K19" s="16" t="n">
        <v>683</v>
      </c>
      <c r="L19" s="16" t="n">
        <v>612</v>
      </c>
      <c r="M19" s="16" t="n">
        <v>86</v>
      </c>
      <c r="N19" s="16" t="n">
        <v>5</v>
      </c>
      <c r="O19" s="16" t="n">
        <v>50</v>
      </c>
      <c r="P19" s="16" t="n">
        <v>116</v>
      </c>
      <c r="Q19" s="16" t="n">
        <v>118</v>
      </c>
      <c r="R19" s="16" t="n">
        <v>0</v>
      </c>
      <c r="S19" s="16" t="n">
        <v>1.2</v>
      </c>
      <c r="T19" s="12" t="s">
        <v>102</v>
      </c>
      <c r="U19" s="16" t="n">
        <v>0.12</v>
      </c>
      <c r="V19" s="12" t="s">
        <v>72</v>
      </c>
      <c r="W19" s="16" t="n">
        <v>25</v>
      </c>
      <c r="X19" s="16" t="n">
        <f aca="false">'w-Engines'!A46</f>
        <v>44</v>
      </c>
    </row>
    <row r="20" customFormat="false" ht="12.8" hidden="false" customHeight="false" outlineLevel="0" collapsed="false">
      <c r="A20" s="16" t="n">
        <v>17</v>
      </c>
      <c r="B20" s="12" t="n">
        <v>2</v>
      </c>
      <c r="C20" s="12" t="n">
        <v>0</v>
      </c>
      <c r="D20" s="12" t="n">
        <v>0</v>
      </c>
      <c r="E20" s="16" t="n">
        <v>5</v>
      </c>
      <c r="F20" s="12" t="s">
        <v>151</v>
      </c>
      <c r="G20" s="12" t="s">
        <v>77</v>
      </c>
      <c r="H20" s="12" t="s">
        <v>151</v>
      </c>
      <c r="I20" s="12" t="s">
        <v>77</v>
      </c>
      <c r="J20" s="16" t="n">
        <v>8250</v>
      </c>
      <c r="K20" s="16" t="n">
        <v>683</v>
      </c>
      <c r="L20" s="16" t="n">
        <v>612</v>
      </c>
      <c r="M20" s="16" t="n">
        <v>118</v>
      </c>
      <c r="N20" s="16" t="n">
        <v>5</v>
      </c>
      <c r="O20" s="16" t="n">
        <v>50</v>
      </c>
      <c r="P20" s="16" t="n">
        <v>94</v>
      </c>
      <c r="Q20" s="16" t="n">
        <v>93</v>
      </c>
      <c r="R20" s="16" t="n">
        <v>0</v>
      </c>
      <c r="S20" s="16" t="n">
        <v>1.2</v>
      </c>
      <c r="T20" s="12" t="s">
        <v>96</v>
      </c>
      <c r="U20" s="16" t="n">
        <v>6</v>
      </c>
      <c r="V20" s="12" t="s">
        <v>72</v>
      </c>
      <c r="W20" s="16" t="n">
        <v>25</v>
      </c>
      <c r="X20" s="16" t="n">
        <f aca="false">'w-Engines'!A48</f>
        <v>46</v>
      </c>
    </row>
    <row r="21" customFormat="false" ht="12.8" hidden="false" customHeight="false" outlineLevel="0" collapsed="false">
      <c r="A21" s="16" t="n">
        <v>18</v>
      </c>
      <c r="B21" s="12" t="n">
        <v>1</v>
      </c>
      <c r="C21" s="12" t="n">
        <v>0</v>
      </c>
      <c r="D21" s="12" t="n">
        <v>4</v>
      </c>
      <c r="E21" s="16" t="n">
        <v>5</v>
      </c>
      <c r="F21" s="12" t="s">
        <v>152</v>
      </c>
      <c r="G21" s="12" t="s">
        <v>78</v>
      </c>
      <c r="H21" s="12" t="s">
        <v>153</v>
      </c>
      <c r="I21" s="12" t="s">
        <v>154</v>
      </c>
      <c r="J21" s="16" t="n">
        <v>7788</v>
      </c>
      <c r="K21" s="16" t="n">
        <v>805</v>
      </c>
      <c r="L21" s="16" t="n">
        <v>606</v>
      </c>
      <c r="M21" s="16" t="n">
        <v>89</v>
      </c>
      <c r="N21" s="16" t="n">
        <v>5</v>
      </c>
      <c r="O21" s="16" t="n">
        <v>50</v>
      </c>
      <c r="P21" s="16" t="n">
        <v>112</v>
      </c>
      <c r="Q21" s="16" t="n">
        <v>114</v>
      </c>
      <c r="R21" s="16" t="n">
        <v>0</v>
      </c>
      <c r="S21" s="16" t="n">
        <v>1.2</v>
      </c>
      <c r="T21" s="12" t="s">
        <v>99</v>
      </c>
      <c r="U21" s="16" t="n">
        <v>12</v>
      </c>
      <c r="V21" s="12" t="s">
        <v>72</v>
      </c>
      <c r="W21" s="16" t="n">
        <v>25</v>
      </c>
      <c r="X21" s="16" t="n">
        <f aca="false">'w-Engines'!A49</f>
        <v>47</v>
      </c>
    </row>
    <row r="22" customFormat="false" ht="12.8" hidden="false" customHeight="false" outlineLevel="0" collapsed="false">
      <c r="A22" s="16" t="n">
        <v>19</v>
      </c>
      <c r="B22" s="12" t="n">
        <v>3</v>
      </c>
      <c r="C22" s="12" t="n">
        <v>1</v>
      </c>
      <c r="D22" s="12" t="n">
        <v>0</v>
      </c>
      <c r="E22" s="16" t="n">
        <v>5</v>
      </c>
      <c r="F22" s="12" t="s">
        <v>155</v>
      </c>
      <c r="G22" s="12" t="s">
        <v>79</v>
      </c>
      <c r="H22" s="12" t="s">
        <v>156</v>
      </c>
      <c r="I22" s="12" t="s">
        <v>157</v>
      </c>
      <c r="J22" s="16" t="n">
        <v>8701</v>
      </c>
      <c r="K22" s="16" t="n">
        <v>568</v>
      </c>
      <c r="L22" s="16" t="n">
        <v>746</v>
      </c>
      <c r="M22" s="16" t="n">
        <v>94</v>
      </c>
      <c r="N22" s="16" t="n">
        <v>5</v>
      </c>
      <c r="O22" s="16" t="n">
        <v>50</v>
      </c>
      <c r="P22" s="16" t="n">
        <v>86</v>
      </c>
      <c r="Q22" s="16" t="n">
        <v>90</v>
      </c>
      <c r="R22" s="16" t="n">
        <v>0</v>
      </c>
      <c r="S22" s="16" t="n">
        <v>1.2</v>
      </c>
      <c r="T22" s="12" t="s">
        <v>102</v>
      </c>
      <c r="U22" s="16" t="n">
        <v>0.12</v>
      </c>
      <c r="V22" s="12" t="s">
        <v>72</v>
      </c>
      <c r="W22" s="16" t="n">
        <v>25</v>
      </c>
      <c r="X22" s="16" t="n">
        <f aca="false">'w-Engines'!A50</f>
        <v>48</v>
      </c>
    </row>
    <row r="23" customFormat="false" ht="12.8" hidden="false" customHeight="false" outlineLevel="0" collapsed="false">
      <c r="A23" s="16" t="n">
        <v>20</v>
      </c>
      <c r="B23" s="12" t="n">
        <v>3</v>
      </c>
      <c r="C23" s="12" t="n">
        <v>0</v>
      </c>
      <c r="D23" s="12" t="n">
        <v>4</v>
      </c>
      <c r="E23" s="16" t="n">
        <v>6</v>
      </c>
      <c r="F23" s="12" t="s">
        <v>158</v>
      </c>
      <c r="G23" s="12" t="s">
        <v>80</v>
      </c>
      <c r="H23" s="12" t="s">
        <v>159</v>
      </c>
      <c r="I23" s="12" t="s">
        <v>160</v>
      </c>
      <c r="J23" s="16" t="n">
        <v>9526</v>
      </c>
      <c r="K23" s="16" t="n">
        <v>636</v>
      </c>
      <c r="L23" s="16" t="n">
        <v>753</v>
      </c>
      <c r="M23" s="16" t="n">
        <v>105</v>
      </c>
      <c r="N23" s="16" t="n">
        <v>5</v>
      </c>
      <c r="O23" s="16" t="n">
        <v>50</v>
      </c>
      <c r="P23" s="16" t="n">
        <v>87</v>
      </c>
      <c r="Q23" s="16" t="n">
        <v>90</v>
      </c>
      <c r="R23" s="16" t="n">
        <v>0</v>
      </c>
      <c r="S23" s="16" t="n">
        <v>1.2</v>
      </c>
      <c r="T23" s="12" t="s">
        <v>96</v>
      </c>
      <c r="U23" s="16" t="n">
        <v>6</v>
      </c>
      <c r="V23" s="12" t="s">
        <v>72</v>
      </c>
      <c r="W23" s="16" t="n">
        <v>25</v>
      </c>
      <c r="X23" s="16" t="n">
        <f aca="false">'w-Engines'!A51</f>
        <v>49</v>
      </c>
    </row>
    <row r="24" customFormat="false" ht="12.8" hidden="false" customHeight="false" outlineLevel="0" collapsed="false">
      <c r="A24" s="16" t="n">
        <v>21</v>
      </c>
      <c r="B24" s="12" t="n">
        <v>1</v>
      </c>
      <c r="C24" s="12" t="n">
        <v>0</v>
      </c>
      <c r="D24" s="12" t="n">
        <v>2</v>
      </c>
      <c r="E24" s="16" t="n">
        <v>6</v>
      </c>
      <c r="F24" s="12" t="s">
        <v>161</v>
      </c>
      <c r="G24" s="12" t="s">
        <v>81</v>
      </c>
      <c r="H24" s="12" t="s">
        <v>162</v>
      </c>
      <c r="I24" s="12" t="s">
        <v>163</v>
      </c>
      <c r="J24" s="16" t="n">
        <v>7368</v>
      </c>
      <c r="K24" s="16" t="n">
        <v>788</v>
      </c>
      <c r="L24" s="16" t="n">
        <v>600</v>
      </c>
      <c r="M24" s="16" t="n">
        <v>83</v>
      </c>
      <c r="N24" s="16" t="n">
        <v>5</v>
      </c>
      <c r="O24" s="16" t="n">
        <v>50</v>
      </c>
      <c r="P24" s="16" t="n">
        <v>118</v>
      </c>
      <c r="Q24" s="16" t="n">
        <v>120</v>
      </c>
      <c r="R24" s="16" t="n">
        <v>0</v>
      </c>
      <c r="S24" s="16" t="n">
        <v>1.2</v>
      </c>
      <c r="T24" s="12" t="s">
        <v>102</v>
      </c>
      <c r="U24" s="16" t="n">
        <v>0.12</v>
      </c>
      <c r="V24" s="12" t="s">
        <v>72</v>
      </c>
      <c r="W24" s="16" t="n">
        <v>25</v>
      </c>
      <c r="X24" s="16" t="n">
        <f aca="false">'w-Engines'!A52</f>
        <v>50</v>
      </c>
    </row>
    <row r="25" customFormat="false" ht="12.8" hidden="false" customHeight="false" outlineLevel="0" collapsed="false">
      <c r="A25" s="16" t="n">
        <v>22</v>
      </c>
      <c r="B25" s="12" t="n">
        <v>1</v>
      </c>
      <c r="C25" s="12" t="n">
        <v>0</v>
      </c>
      <c r="D25" s="12" t="n">
        <v>0</v>
      </c>
      <c r="E25" s="16" t="n">
        <v>4</v>
      </c>
      <c r="F25" s="12" t="s">
        <v>164</v>
      </c>
      <c r="G25" s="12" t="s">
        <v>82</v>
      </c>
      <c r="H25" s="12" t="s">
        <v>165</v>
      </c>
      <c r="I25" s="12" t="s">
        <v>166</v>
      </c>
      <c r="J25" s="16" t="n">
        <v>7788</v>
      </c>
      <c r="K25" s="16" t="n">
        <v>797</v>
      </c>
      <c r="L25" s="16" t="n">
        <v>612</v>
      </c>
      <c r="M25" s="16" t="n">
        <v>86</v>
      </c>
      <c r="N25" s="16" t="n">
        <v>5</v>
      </c>
      <c r="O25" s="16" t="n">
        <v>50</v>
      </c>
      <c r="P25" s="16" t="n">
        <v>112</v>
      </c>
      <c r="Q25" s="16" t="n">
        <v>114</v>
      </c>
      <c r="R25" s="16" t="n">
        <v>0</v>
      </c>
      <c r="S25" s="16" t="n">
        <v>1.2</v>
      </c>
      <c r="T25" s="12" t="s">
        <v>99</v>
      </c>
      <c r="U25" s="16" t="n">
        <v>12</v>
      </c>
      <c r="V25" s="12" t="s">
        <v>72</v>
      </c>
      <c r="W25" s="16" t="n">
        <v>25</v>
      </c>
      <c r="X25" s="16" t="n">
        <f aca="false">'w-Engines'!A53</f>
        <v>51</v>
      </c>
    </row>
    <row r="26" customFormat="false" ht="12.8" hidden="false" customHeight="false" outlineLevel="0" collapsed="false">
      <c r="A26" s="16" t="n">
        <v>23</v>
      </c>
      <c r="B26" s="12" t="n">
        <v>2</v>
      </c>
      <c r="C26" s="12" t="n">
        <v>0</v>
      </c>
      <c r="D26" s="12" t="n">
        <v>2</v>
      </c>
      <c r="E26" s="16" t="n">
        <v>6</v>
      </c>
      <c r="F26" s="12" t="s">
        <v>167</v>
      </c>
      <c r="G26" s="12" t="s">
        <v>83</v>
      </c>
      <c r="H26" s="12" t="s">
        <v>167</v>
      </c>
      <c r="I26" s="12" t="s">
        <v>83</v>
      </c>
      <c r="J26" s="16" t="n">
        <v>8253</v>
      </c>
      <c r="K26" s="16" t="n">
        <v>722</v>
      </c>
      <c r="L26" s="16" t="n">
        <v>612</v>
      </c>
      <c r="M26" s="16" t="n">
        <v>119</v>
      </c>
      <c r="N26" s="16" t="n">
        <v>5</v>
      </c>
      <c r="O26" s="16" t="n">
        <v>50</v>
      </c>
      <c r="P26" s="16" t="n">
        <v>91</v>
      </c>
      <c r="Q26" s="16" t="n">
        <v>90</v>
      </c>
      <c r="R26" s="16" t="n">
        <v>0</v>
      </c>
      <c r="S26" s="16" t="n">
        <v>1.2</v>
      </c>
      <c r="T26" s="12" t="s">
        <v>96</v>
      </c>
      <c r="U26" s="16" t="n">
        <v>6</v>
      </c>
      <c r="V26" s="12" t="s">
        <v>72</v>
      </c>
      <c r="W26" s="16" t="n">
        <v>25</v>
      </c>
      <c r="X26" s="16" t="n">
        <v>52</v>
      </c>
    </row>
    <row r="27" customFormat="false" ht="12.8" hidden="false" customHeight="false" outlineLevel="0" collapsed="false">
      <c r="A27" s="16" t="n">
        <v>24</v>
      </c>
      <c r="B27" s="12" t="n">
        <v>1</v>
      </c>
      <c r="C27" s="12" t="n">
        <v>0</v>
      </c>
      <c r="D27" s="12" t="n">
        <v>5</v>
      </c>
      <c r="E27" s="12" t="n">
        <v>4</v>
      </c>
      <c r="F27" s="12" t="s">
        <v>168</v>
      </c>
      <c r="G27" s="12" t="s">
        <v>85</v>
      </c>
      <c r="H27" s="12" t="s">
        <v>169</v>
      </c>
      <c r="I27" s="12" t="s">
        <v>170</v>
      </c>
      <c r="J27" s="16" t="n">
        <v>7673</v>
      </c>
      <c r="K27" s="16" t="n">
        <v>805</v>
      </c>
      <c r="L27" s="16" t="n">
        <v>606</v>
      </c>
      <c r="M27" s="16" t="n">
        <v>86</v>
      </c>
      <c r="N27" s="16" t="n">
        <v>5</v>
      </c>
      <c r="O27" s="16" t="n">
        <v>50</v>
      </c>
      <c r="P27" s="16" t="n">
        <v>116</v>
      </c>
      <c r="Q27" s="16" t="n">
        <v>148</v>
      </c>
      <c r="R27" s="16" t="n">
        <v>0</v>
      </c>
      <c r="S27" s="16" t="n">
        <v>1.2</v>
      </c>
      <c r="T27" s="12" t="s">
        <v>100</v>
      </c>
      <c r="U27" s="16" t="n">
        <v>30</v>
      </c>
      <c r="V27" s="12" t="s">
        <v>72</v>
      </c>
      <c r="W27" s="16" t="n">
        <v>25</v>
      </c>
      <c r="X27" s="16" t="n">
        <f aca="false">'w-Engines'!A56</f>
        <v>54</v>
      </c>
    </row>
    <row r="28" customFormat="false" ht="12.8" hidden="false" customHeight="false" outlineLevel="0" collapsed="false">
      <c r="A28" s="16" t="n">
        <v>25</v>
      </c>
      <c r="B28" s="12" t="n">
        <v>0</v>
      </c>
      <c r="C28" s="12" t="n">
        <v>0</v>
      </c>
      <c r="D28" s="12" t="n">
        <v>0</v>
      </c>
      <c r="E28" s="16" t="n">
        <v>4</v>
      </c>
      <c r="F28" s="12" t="s">
        <v>171</v>
      </c>
      <c r="G28" s="12" t="s">
        <v>86</v>
      </c>
      <c r="H28" s="12" t="s">
        <v>172</v>
      </c>
      <c r="I28" s="12" t="s">
        <v>173</v>
      </c>
      <c r="J28" s="16" t="n">
        <v>7405</v>
      </c>
      <c r="K28" s="16" t="n">
        <v>840</v>
      </c>
      <c r="L28" s="16" t="n">
        <v>600</v>
      </c>
      <c r="M28" s="16" t="n">
        <v>90</v>
      </c>
      <c r="N28" s="16" t="n">
        <v>5</v>
      </c>
      <c r="O28" s="16" t="n">
        <v>50</v>
      </c>
      <c r="P28" s="16" t="n">
        <v>80</v>
      </c>
      <c r="Q28" s="16" t="n">
        <v>95</v>
      </c>
      <c r="R28" s="16" t="n">
        <v>0</v>
      </c>
      <c r="S28" s="16" t="n">
        <v>1.2</v>
      </c>
      <c r="T28" s="12" t="s">
        <v>97</v>
      </c>
      <c r="U28" s="16" t="n">
        <v>4.8</v>
      </c>
      <c r="V28" s="12" t="s">
        <v>72</v>
      </c>
      <c r="W28" s="16" t="n">
        <v>25</v>
      </c>
      <c r="X28" s="16" t="n">
        <f aca="false">'w-Engines'!A57</f>
        <v>55</v>
      </c>
    </row>
    <row r="29" customFormat="false" ht="12.8" hidden="false" customHeight="false" outlineLevel="0" collapsed="false">
      <c r="A29" s="16" t="n">
        <v>26</v>
      </c>
      <c r="B29" s="12" t="n">
        <v>4</v>
      </c>
      <c r="C29" s="12" t="n">
        <v>0</v>
      </c>
      <c r="D29" s="12" t="n">
        <v>1</v>
      </c>
      <c r="E29" s="16" t="n">
        <v>7</v>
      </c>
      <c r="F29" s="12" t="s">
        <v>174</v>
      </c>
      <c r="G29" s="12" t="s">
        <v>87</v>
      </c>
      <c r="H29" s="12" t="s">
        <v>175</v>
      </c>
      <c r="I29" s="12" t="s">
        <v>176</v>
      </c>
      <c r="J29" s="16" t="n">
        <v>8609</v>
      </c>
      <c r="K29" s="16" t="n">
        <v>640</v>
      </c>
      <c r="L29" s="16" t="n">
        <v>600</v>
      </c>
      <c r="M29" s="16" t="n">
        <v>83</v>
      </c>
      <c r="N29" s="16" t="n">
        <v>5</v>
      </c>
      <c r="O29" s="16" t="n">
        <v>50</v>
      </c>
      <c r="P29" s="16" t="n">
        <v>93</v>
      </c>
      <c r="Q29" s="16" t="n">
        <v>92</v>
      </c>
      <c r="R29" s="16" t="n">
        <v>0</v>
      </c>
      <c r="S29" s="16" t="n">
        <v>1.2</v>
      </c>
      <c r="T29" s="12" t="s">
        <v>102</v>
      </c>
      <c r="U29" s="16" t="n">
        <v>0.12</v>
      </c>
      <c r="V29" s="12" t="s">
        <v>72</v>
      </c>
      <c r="W29" s="16" t="n">
        <v>25</v>
      </c>
      <c r="X29" s="16" t="n">
        <f aca="false">'w-Engines'!A58</f>
        <v>56</v>
      </c>
    </row>
    <row r="30" customFormat="false" ht="12.8" hidden="false" customHeight="false" outlineLevel="0" collapsed="false">
      <c r="A30" s="16" t="n">
        <v>27</v>
      </c>
      <c r="B30" s="12" t="n">
        <v>0</v>
      </c>
      <c r="C30" s="12" t="n">
        <v>0</v>
      </c>
      <c r="D30" s="12" t="n">
        <v>2</v>
      </c>
      <c r="E30" s="16" t="n">
        <v>7</v>
      </c>
      <c r="F30" s="12" t="s">
        <v>177</v>
      </c>
      <c r="G30" s="12" t="s">
        <v>88</v>
      </c>
      <c r="H30" s="12" t="s">
        <v>178</v>
      </c>
      <c r="I30" s="12" t="s">
        <v>179</v>
      </c>
      <c r="J30" s="16" t="n">
        <v>7788</v>
      </c>
      <c r="K30" s="16" t="n">
        <v>854</v>
      </c>
      <c r="L30" s="16" t="n">
        <v>612</v>
      </c>
      <c r="M30" s="16" t="n">
        <v>93</v>
      </c>
      <c r="N30" s="16" t="n">
        <v>5</v>
      </c>
      <c r="O30" s="16" t="n">
        <v>50</v>
      </c>
      <c r="P30" s="16" t="n">
        <v>92</v>
      </c>
      <c r="Q30" s="16" t="n">
        <v>90</v>
      </c>
      <c r="R30" s="16" t="n">
        <v>0</v>
      </c>
      <c r="S30" s="16" t="n">
        <v>1.2</v>
      </c>
      <c r="T30" s="12" t="s">
        <v>97</v>
      </c>
      <c r="U30" s="16" t="n">
        <v>4.8</v>
      </c>
      <c r="V30" s="12" t="s">
        <v>72</v>
      </c>
      <c r="W30" s="16" t="n">
        <v>25</v>
      </c>
      <c r="X30" s="16" t="n">
        <f aca="false">'w-Engines'!A59</f>
        <v>57</v>
      </c>
    </row>
    <row r="31" customFormat="false" ht="12.8" hidden="false" customHeight="false" outlineLevel="0" collapsed="false">
      <c r="A31" s="16" t="n">
        <v>28</v>
      </c>
      <c r="B31" s="12" t="n">
        <v>0</v>
      </c>
      <c r="C31" s="12" t="n">
        <v>0</v>
      </c>
      <c r="D31" s="12" t="n">
        <v>0</v>
      </c>
      <c r="E31" s="16" t="n">
        <v>8</v>
      </c>
      <c r="F31" s="12" t="s">
        <v>180</v>
      </c>
      <c r="G31" s="2" t="s">
        <v>181</v>
      </c>
      <c r="H31" s="12" t="s">
        <v>182</v>
      </c>
      <c r="I31" s="12" t="s">
        <v>183</v>
      </c>
      <c r="J31" s="16" t="n">
        <v>7673</v>
      </c>
      <c r="K31" s="16" t="n">
        <v>854</v>
      </c>
      <c r="L31" s="16" t="n">
        <v>612</v>
      </c>
      <c r="M31" s="16" t="n">
        <v>93</v>
      </c>
      <c r="N31" s="16" t="n">
        <v>5</v>
      </c>
      <c r="O31" s="16" t="n">
        <v>50</v>
      </c>
      <c r="P31" s="16" t="n">
        <v>94</v>
      </c>
      <c r="Q31" s="16" t="n">
        <v>93</v>
      </c>
      <c r="R31" s="16" t="n">
        <v>0</v>
      </c>
      <c r="S31" s="16" t="n">
        <v>1.2</v>
      </c>
      <c r="T31" s="12" t="s">
        <v>97</v>
      </c>
      <c r="U31" s="16" t="n">
        <v>4.8</v>
      </c>
      <c r="V31" s="12" t="s">
        <v>72</v>
      </c>
      <c r="W31" s="16" t="n">
        <v>25</v>
      </c>
      <c r="X31" s="16" t="n">
        <v>58</v>
      </c>
    </row>
    <row r="32" customFormat="false" ht="12.8" hidden="false" customHeight="false" outlineLevel="0" collapsed="false">
      <c r="A32" s="16" t="n">
        <v>29</v>
      </c>
      <c r="B32" s="2" t="n">
        <v>2</v>
      </c>
      <c r="C32" s="2" t="n">
        <v>1</v>
      </c>
      <c r="D32" s="2" t="n">
        <v>4</v>
      </c>
      <c r="E32" s="16" t="n">
        <v>6</v>
      </c>
      <c r="F32" s="12" t="s">
        <v>184</v>
      </c>
      <c r="G32" s="12" t="s">
        <v>185</v>
      </c>
      <c r="H32" s="12" t="s">
        <v>186</v>
      </c>
      <c r="I32" s="12" t="s">
        <v>187</v>
      </c>
      <c r="J32" s="16" t="n">
        <v>7612</v>
      </c>
      <c r="K32" s="16" t="n">
        <v>590</v>
      </c>
      <c r="L32" s="16" t="n">
        <v>606</v>
      </c>
      <c r="M32" s="16" t="n">
        <v>118</v>
      </c>
      <c r="N32" s="16" t="n">
        <v>5</v>
      </c>
      <c r="O32" s="16" t="n">
        <v>50</v>
      </c>
      <c r="P32" s="16" t="n">
        <v>92</v>
      </c>
      <c r="Q32" s="16" t="n">
        <v>90</v>
      </c>
      <c r="R32" s="16" t="n">
        <v>0</v>
      </c>
      <c r="S32" s="16" t="n">
        <v>1.2</v>
      </c>
      <c r="T32" s="12" t="s">
        <v>96</v>
      </c>
      <c r="U32" s="16" t="n">
        <v>6</v>
      </c>
      <c r="V32" s="12" t="s">
        <v>72</v>
      </c>
      <c r="W32" s="16" t="n">
        <v>25</v>
      </c>
      <c r="X32" s="16" t="n">
        <v>59</v>
      </c>
    </row>
    <row r="33" customFormat="false" ht="12.8" hidden="false" customHeight="true" outlineLevel="0" collapsed="false">
      <c r="A33" s="16" t="n">
        <v>30</v>
      </c>
      <c r="B33" s="16" t="n">
        <v>2</v>
      </c>
      <c r="C33" s="16" t="n">
        <v>0</v>
      </c>
      <c r="D33" s="16" t="n">
        <v>0</v>
      </c>
      <c r="E33" s="16" t="n">
        <v>3</v>
      </c>
      <c r="F33" s="12" t="s">
        <v>188</v>
      </c>
      <c r="G33" s="12" t="s">
        <v>189</v>
      </c>
      <c r="H33" s="12" t="s">
        <v>188</v>
      </c>
      <c r="I33" s="12" t="s">
        <v>190</v>
      </c>
      <c r="J33" s="16" t="n">
        <v>7923</v>
      </c>
      <c r="K33" s="16" t="n">
        <v>675</v>
      </c>
      <c r="L33" s="16" t="n">
        <v>600</v>
      </c>
      <c r="M33" s="16" t="n">
        <v>0</v>
      </c>
      <c r="N33" s="16" t="n">
        <v>5</v>
      </c>
      <c r="O33" s="16" t="n">
        <v>50</v>
      </c>
      <c r="P33" s="16" t="n">
        <v>0</v>
      </c>
      <c r="Q33" s="16" t="n">
        <v>0</v>
      </c>
      <c r="R33" s="16" t="n">
        <v>0</v>
      </c>
      <c r="S33" s="16" t="n">
        <v>1.2</v>
      </c>
      <c r="T33" s="12" t="s">
        <v>96</v>
      </c>
      <c r="U33" s="16" t="n">
        <v>6</v>
      </c>
      <c r="V33" s="12" t="s">
        <v>72</v>
      </c>
      <c r="W33" s="16" t="n">
        <v>25</v>
      </c>
      <c r="X33" s="13" t="n">
        <v>0</v>
      </c>
    </row>
    <row r="34" customFormat="false" ht="12.8" hidden="false" customHeight="true" outlineLevel="0" collapsed="false">
      <c r="A34" s="16" t="n">
        <v>31</v>
      </c>
      <c r="B34" s="16" t="n">
        <v>1</v>
      </c>
      <c r="C34" s="16" t="n">
        <v>0</v>
      </c>
      <c r="D34" s="16" t="n">
        <v>1</v>
      </c>
      <c r="E34" s="16" t="n">
        <v>9</v>
      </c>
      <c r="F34" s="12" t="s">
        <v>191</v>
      </c>
      <c r="G34" s="12" t="s">
        <v>192</v>
      </c>
      <c r="H34" s="12" t="s">
        <v>193</v>
      </c>
      <c r="I34" s="12" t="s">
        <v>194</v>
      </c>
      <c r="J34" s="16" t="n">
        <v>7673</v>
      </c>
      <c r="K34" s="16" t="n">
        <v>805</v>
      </c>
      <c r="L34" s="16" t="n">
        <v>606</v>
      </c>
      <c r="M34" s="16" t="n">
        <v>0</v>
      </c>
      <c r="N34" s="16" t="n">
        <v>5</v>
      </c>
      <c r="O34" s="16" t="n">
        <v>50</v>
      </c>
      <c r="P34" s="16" t="n">
        <v>0</v>
      </c>
      <c r="Q34" s="16" t="n">
        <v>0</v>
      </c>
      <c r="R34" s="16" t="n">
        <v>0</v>
      </c>
      <c r="S34" s="16" t="n">
        <v>1.2</v>
      </c>
      <c r="T34" s="12" t="s">
        <v>100</v>
      </c>
      <c r="U34" s="16" t="n">
        <v>12</v>
      </c>
      <c r="V34" s="12" t="s">
        <v>72</v>
      </c>
      <c r="W34" s="16" t="n">
        <v>25</v>
      </c>
      <c r="X34" s="13" t="n">
        <v>0</v>
      </c>
    </row>
    <row r="35" customFormat="false" ht="12.8" hidden="false" customHeight="true" outlineLevel="0" collapsed="false">
      <c r="A35" s="16" t="n">
        <v>32</v>
      </c>
      <c r="B35" s="13" t="n">
        <v>0</v>
      </c>
      <c r="C35" s="16" t="n">
        <v>0</v>
      </c>
      <c r="D35" s="16" t="n">
        <v>3</v>
      </c>
      <c r="E35" s="16" t="n">
        <v>9</v>
      </c>
      <c r="F35" s="12" t="s">
        <v>195</v>
      </c>
      <c r="G35" s="12" t="s">
        <v>196</v>
      </c>
      <c r="H35" s="12" t="s">
        <v>197</v>
      </c>
      <c r="I35" s="12" t="s">
        <v>198</v>
      </c>
      <c r="J35" s="16" t="n">
        <v>7940</v>
      </c>
      <c r="K35" s="16" t="n">
        <v>844</v>
      </c>
      <c r="L35" s="16" t="n">
        <v>616</v>
      </c>
      <c r="M35" s="16" t="n">
        <v>0</v>
      </c>
      <c r="N35" s="16" t="n">
        <v>5</v>
      </c>
      <c r="O35" s="16" t="n">
        <v>50</v>
      </c>
      <c r="P35" s="16" t="n">
        <v>0</v>
      </c>
      <c r="Q35" s="16" t="n">
        <v>0</v>
      </c>
      <c r="R35" s="16" t="n">
        <v>0</v>
      </c>
      <c r="S35" s="16" t="n">
        <v>1.2</v>
      </c>
      <c r="T35" s="12" t="s">
        <v>97</v>
      </c>
      <c r="U35" s="16" t="n">
        <v>4.8</v>
      </c>
      <c r="V35" s="12" t="s">
        <v>72</v>
      </c>
      <c r="W35" s="16" t="n">
        <v>25</v>
      </c>
      <c r="X35" s="13" t="n">
        <v>0</v>
      </c>
    </row>
    <row r="36" customFormat="false" ht="12.8" hidden="false" customHeight="true" outlineLevel="0" collapsed="false">
      <c r="A36" s="16" t="n">
        <v>33</v>
      </c>
      <c r="B36" s="13" t="n">
        <v>2</v>
      </c>
      <c r="C36" s="16" t="n">
        <v>0</v>
      </c>
      <c r="D36" s="16" t="n">
        <v>2</v>
      </c>
      <c r="E36" s="16" t="n">
        <v>10</v>
      </c>
      <c r="F36" s="12" t="s">
        <v>199</v>
      </c>
      <c r="G36" s="12" t="s">
        <v>200</v>
      </c>
      <c r="H36" s="12" t="s">
        <v>201</v>
      </c>
      <c r="I36" s="12" t="s">
        <v>202</v>
      </c>
      <c r="J36" s="16" t="n">
        <v>8250</v>
      </c>
      <c r="K36" s="16" t="n">
        <v>690</v>
      </c>
      <c r="L36" s="16" t="n">
        <v>597</v>
      </c>
      <c r="M36" s="16" t="n">
        <v>0</v>
      </c>
      <c r="N36" s="16" t="n">
        <v>5</v>
      </c>
      <c r="O36" s="16" t="n">
        <v>50</v>
      </c>
      <c r="P36" s="16" t="n">
        <v>0</v>
      </c>
      <c r="Q36" s="16" t="n">
        <v>0</v>
      </c>
      <c r="R36" s="16" t="n">
        <v>0</v>
      </c>
      <c r="S36" s="16" t="n">
        <v>1.2</v>
      </c>
      <c r="T36" s="12" t="s">
        <v>96</v>
      </c>
      <c r="U36" s="16" t="n">
        <v>6</v>
      </c>
      <c r="V36" s="12" t="s">
        <v>72</v>
      </c>
      <c r="W36" s="16" t="n">
        <v>25</v>
      </c>
      <c r="X36" s="13" t="n">
        <v>0</v>
      </c>
    </row>
    <row r="37" customFormat="false" ht="12.8" hidden="false" customHeight="true" outlineLevel="0" collapsed="false">
      <c r="A37" s="16" t="n">
        <v>34</v>
      </c>
      <c r="B37" s="13" t="n">
        <v>3</v>
      </c>
      <c r="C37" s="16" t="n">
        <v>1</v>
      </c>
      <c r="D37" s="16" t="n">
        <v>4</v>
      </c>
      <c r="E37" s="16" t="n">
        <v>10</v>
      </c>
      <c r="F37" s="12" t="s">
        <v>203</v>
      </c>
      <c r="G37" s="12" t="s">
        <v>204</v>
      </c>
      <c r="H37" s="12" t="s">
        <v>205</v>
      </c>
      <c r="I37" s="12" t="s">
        <v>206</v>
      </c>
      <c r="J37" s="16" t="n">
        <v>8453</v>
      </c>
      <c r="K37" s="16" t="n">
        <v>586</v>
      </c>
      <c r="L37" s="16" t="n">
        <v>712</v>
      </c>
      <c r="M37" s="16" t="n">
        <v>0</v>
      </c>
      <c r="N37" s="16" t="n">
        <v>5</v>
      </c>
      <c r="O37" s="16" t="n">
        <v>50</v>
      </c>
      <c r="P37" s="16" t="n">
        <v>0</v>
      </c>
      <c r="Q37" s="16" t="n">
        <v>0</v>
      </c>
      <c r="R37" s="16" t="n">
        <v>0</v>
      </c>
      <c r="S37" s="16" t="n">
        <v>1.2</v>
      </c>
      <c r="T37" s="12" t="s">
        <v>102</v>
      </c>
      <c r="U37" s="16" t="n">
        <v>0.12</v>
      </c>
      <c r="V37" s="12" t="s">
        <v>72</v>
      </c>
      <c r="W37" s="16" t="n">
        <v>25</v>
      </c>
      <c r="X37" s="13" t="n">
        <v>0</v>
      </c>
    </row>
    <row r="38" customFormat="false" ht="12.8" hidden="false" customHeight="true" outlineLevel="0" collapsed="false">
      <c r="A38" s="16" t="n">
        <v>35</v>
      </c>
      <c r="B38" s="13" t="n">
        <v>5</v>
      </c>
      <c r="C38" s="16" t="n">
        <v>0</v>
      </c>
      <c r="D38" s="16" t="n">
        <v>6</v>
      </c>
      <c r="E38" s="16" t="n">
        <v>10</v>
      </c>
      <c r="F38" s="12" t="s">
        <v>207</v>
      </c>
      <c r="G38" s="12" t="s">
        <v>208</v>
      </c>
      <c r="H38" s="12" t="s">
        <v>207</v>
      </c>
      <c r="I38" s="12" t="s">
        <v>208</v>
      </c>
      <c r="J38" s="16" t="n">
        <v>7953</v>
      </c>
      <c r="K38" s="16" t="n">
        <v>872</v>
      </c>
      <c r="L38" s="16" t="n">
        <v>441</v>
      </c>
      <c r="M38" s="16" t="n">
        <v>0</v>
      </c>
      <c r="N38" s="16" t="n">
        <v>5</v>
      </c>
      <c r="O38" s="16" t="n">
        <v>50</v>
      </c>
      <c r="P38" s="16" t="n">
        <v>0</v>
      </c>
      <c r="Q38" s="16" t="n">
        <v>0</v>
      </c>
      <c r="R38" s="16" t="n">
        <v>0</v>
      </c>
      <c r="S38" s="16" t="n">
        <v>1.2</v>
      </c>
      <c r="T38" s="12" t="s">
        <v>97</v>
      </c>
      <c r="U38" s="16" t="n">
        <v>4.8</v>
      </c>
      <c r="V38" s="12" t="s">
        <v>94</v>
      </c>
      <c r="W38" s="16" t="n">
        <v>140</v>
      </c>
      <c r="X38" s="13" t="n">
        <v>0</v>
      </c>
    </row>
    <row r="39" customFormat="false" ht="12.8" hidden="false" customHeight="true" outlineLevel="0" collapsed="false">
      <c r="A39" s="16" t="n">
        <v>36</v>
      </c>
      <c r="B39" s="13" t="n">
        <v>4</v>
      </c>
      <c r="C39" s="16" t="n">
        <v>0</v>
      </c>
      <c r="D39" s="16" t="n">
        <v>4</v>
      </c>
      <c r="E39" s="16" t="n">
        <v>11</v>
      </c>
      <c r="F39" s="12" t="s">
        <v>209</v>
      </c>
      <c r="G39" s="12" t="s">
        <v>210</v>
      </c>
      <c r="H39" s="12" t="s">
        <v>211</v>
      </c>
      <c r="I39" s="12" t="s">
        <v>212</v>
      </c>
      <c r="J39" s="16" t="n">
        <v>8829</v>
      </c>
      <c r="K39" s="16" t="n">
        <v>683</v>
      </c>
      <c r="L39" s="16" t="n">
        <v>612</v>
      </c>
      <c r="M39" s="16" t="n">
        <v>0</v>
      </c>
      <c r="N39" s="16" t="n">
        <v>5</v>
      </c>
      <c r="O39" s="16" t="n">
        <v>50</v>
      </c>
      <c r="P39" s="16" t="n">
        <v>0</v>
      </c>
      <c r="Q39" s="16" t="n">
        <v>0</v>
      </c>
      <c r="R39" s="16" t="n">
        <v>0</v>
      </c>
      <c r="S39" s="16" t="n">
        <v>1.2</v>
      </c>
      <c r="T39" s="12" t="s">
        <v>100</v>
      </c>
      <c r="U39" s="16" t="n">
        <v>12</v>
      </c>
      <c r="V39" s="12" t="s">
        <v>72</v>
      </c>
      <c r="W39" s="16" t="n">
        <v>25</v>
      </c>
      <c r="X39" s="13" t="n">
        <v>0</v>
      </c>
    </row>
    <row r="40" customFormat="false" ht="12.8" hidden="false" customHeight="true" outlineLevel="0" collapsed="false">
      <c r="A40" s="16" t="n">
        <v>37</v>
      </c>
      <c r="B40" s="13" t="n">
        <v>1</v>
      </c>
      <c r="C40" s="16" t="n">
        <v>0</v>
      </c>
      <c r="D40" s="16" t="n">
        <v>4</v>
      </c>
      <c r="E40" s="16" t="n">
        <v>11</v>
      </c>
      <c r="F40" s="12" t="s">
        <v>213</v>
      </c>
      <c r="G40" s="12" t="s">
        <v>214</v>
      </c>
      <c r="H40" s="12" t="s">
        <v>215</v>
      </c>
      <c r="I40" s="12" t="s">
        <v>216</v>
      </c>
      <c r="J40" s="16" t="n">
        <v>7673</v>
      </c>
      <c r="K40" s="16" t="n">
        <v>805</v>
      </c>
      <c r="L40" s="16" t="n">
        <v>606</v>
      </c>
      <c r="M40" s="16" t="n">
        <v>0</v>
      </c>
      <c r="N40" s="16" t="n">
        <v>5</v>
      </c>
      <c r="O40" s="16" t="n">
        <v>50</v>
      </c>
      <c r="P40" s="16" t="n">
        <v>0</v>
      </c>
      <c r="Q40" s="16" t="n">
        <v>0</v>
      </c>
      <c r="R40" s="16" t="n">
        <v>0</v>
      </c>
      <c r="S40" s="16" t="n">
        <v>1.2</v>
      </c>
      <c r="T40" s="12" t="s">
        <v>100</v>
      </c>
      <c r="U40" s="16" t="n">
        <v>12</v>
      </c>
      <c r="V40" s="12" t="s">
        <v>72</v>
      </c>
      <c r="W40" s="16" t="n">
        <v>25</v>
      </c>
      <c r="X40" s="13" t="n">
        <v>0</v>
      </c>
    </row>
    <row r="41" customFormat="false" ht="12.8" hidden="false" customHeight="true" outlineLevel="0" collapsed="false">
      <c r="A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</row>
    <row r="42" customFormat="false" ht="12.8" hidden="false" customHeight="true" outlineLevel="0" collapsed="false">
      <c r="A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</row>
    <row r="43" customFormat="false" ht="12.8" hidden="false" customHeight="true" outlineLevel="0" collapsed="false">
      <c r="A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</row>
    <row r="44" customFormat="false" ht="12.8" hidden="false" customHeight="true" outlineLevel="0" collapsed="false">
      <c r="A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</row>
    <row r="45" customFormat="false" ht="12.8" hidden="false" customHeight="true" outlineLevel="0" collapsed="false">
      <c r="A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</row>
    <row r="46" customFormat="false" ht="12.8" hidden="false" customHeight="true" outlineLevel="0" collapsed="false">
      <c r="A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</row>
    <row r="47" customFormat="false" ht="12.8" hidden="false" customHeight="true" outlineLevel="0" collapsed="false">
      <c r="A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</row>
    <row r="48" customFormat="false" ht="12.8" hidden="false" customHeight="true" outlineLevel="0" collapsed="false">
      <c r="A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</row>
    <row r="49" customFormat="false" ht="12.8" hidden="false" customHeight="true" outlineLevel="0" collapsed="false">
      <c r="A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</row>
    <row r="50" customFormat="false" ht="12.8" hidden="false" customHeight="true" outlineLevel="0" collapsed="false">
      <c r="A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</row>
    <row r="51" customFormat="false" ht="12.8" hidden="false" customHeight="true" outlineLevel="0" collapsed="false">
      <c r="A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</row>
    <row r="52" customFormat="false" ht="12.8" hidden="false" customHeight="true" outlineLevel="0" collapsed="false">
      <c r="A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</row>
    <row r="53" customFormat="false" ht="12.8" hidden="false" customHeight="true" outlineLevel="0" collapsed="false">
      <c r="A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</row>
    <row r="54" customFormat="false" ht="12.8" hidden="false" customHeight="true" outlineLevel="0" collapsed="false">
      <c r="A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</row>
    <row r="55" customFormat="false" ht="12.8" hidden="false" customHeight="true" outlineLevel="0" collapsed="false">
      <c r="A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</row>
    <row r="56" customFormat="false" ht="12.8" hidden="false" customHeight="true" outlineLevel="0" collapsed="false">
      <c r="A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</row>
    <row r="57" customFormat="false" ht="12.8" hidden="false" customHeight="true" outlineLevel="0" collapsed="false">
      <c r="A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</row>
    <row r="58" customFormat="false" ht="12.8" hidden="false" customHeight="true" outlineLevel="0" collapsed="false">
      <c r="A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</row>
    <row r="59" customFormat="false" ht="12.8" hidden="false" customHeight="true" outlineLevel="0" collapsed="false">
      <c r="A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</row>
    <row r="60" customFormat="false" ht="12.8" hidden="false" customHeight="true" outlineLevel="0" collapsed="false">
      <c r="A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</row>
    <row r="61" customFormat="false" ht="12.8" hidden="false" customHeight="true" outlineLevel="0" collapsed="false">
      <c r="A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</row>
    <row r="62" customFormat="false" ht="12.8" hidden="false" customHeight="true" outlineLevel="0" collapsed="false">
      <c r="A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</row>
    <row r="63" customFormat="false" ht="12.8" hidden="false" customHeight="true" outlineLevel="0" collapsed="false">
      <c r="A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</row>
    <row r="64" customFormat="false" ht="12.8" hidden="false" customHeight="true" outlineLevel="0" collapsed="false">
      <c r="A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</row>
    <row r="65" customFormat="false" ht="12.8" hidden="false" customHeight="true" outlineLevel="0" collapsed="false">
      <c r="A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</row>
    <row r="66" customFormat="false" ht="12.8" hidden="false" customHeight="true" outlineLevel="0" collapsed="false">
      <c r="A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</row>
    <row r="67" customFormat="false" ht="12.8" hidden="false" customHeight="true" outlineLevel="0" collapsed="false">
      <c r="A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</row>
    <row r="68" customFormat="false" ht="12.8" hidden="false" customHeight="true" outlineLevel="0" collapsed="false">
      <c r="A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</row>
    <row r="69" customFormat="false" ht="12.8" hidden="false" customHeight="true" outlineLevel="0" collapsed="false">
      <c r="A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</row>
    <row r="70" customFormat="false" ht="12.8" hidden="false" customHeight="true" outlineLevel="0" collapsed="false">
      <c r="A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</row>
    <row r="71" customFormat="false" ht="12.8" hidden="false" customHeight="true" outlineLevel="0" collapsed="false">
      <c r="A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</row>
    <row r="72" customFormat="false" ht="12.8" hidden="false" customHeight="true" outlineLevel="0" collapsed="false">
      <c r="A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</row>
    <row r="73" customFormat="false" ht="12.8" hidden="false" customHeight="true" outlineLevel="0" collapsed="false">
      <c r="A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</row>
    <row r="74" customFormat="false" ht="12.8" hidden="false" customHeight="true" outlineLevel="0" collapsed="false">
      <c r="A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</row>
    <row r="75" customFormat="false" ht="12.8" hidden="false" customHeight="true" outlineLevel="0" collapsed="false">
      <c r="A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</row>
    <row r="76" customFormat="false" ht="12.8" hidden="false" customHeight="true" outlineLevel="0" collapsed="false">
      <c r="A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</row>
    <row r="77" customFormat="false" ht="12.8" hidden="false" customHeight="true" outlineLevel="0" collapsed="false">
      <c r="A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</row>
    <row r="78" customFormat="false" ht="12.8" hidden="false" customHeight="true" outlineLevel="0" collapsed="false">
      <c r="A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</row>
    <row r="79" customFormat="false" ht="12.8" hidden="false" customHeight="true" outlineLevel="0" collapsed="false">
      <c r="A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</row>
    <row r="80" customFormat="false" ht="12.8" hidden="false" customHeight="true" outlineLevel="0" collapsed="false">
      <c r="A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</row>
    <row r="81" customFormat="false" ht="12.8" hidden="false" customHeight="true" outlineLevel="0" collapsed="false">
      <c r="A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</row>
    <row r="82" customFormat="false" ht="12.8" hidden="false" customHeight="true" outlineLevel="0" collapsed="false">
      <c r="A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</row>
    <row r="83" customFormat="false" ht="12.8" hidden="false" customHeight="true" outlineLevel="0" collapsed="false">
      <c r="A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</row>
    <row r="84" customFormat="false" ht="12.8" hidden="false" customHeight="true" outlineLevel="0" collapsed="false">
      <c r="A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</row>
    <row r="85" customFormat="false" ht="12.8" hidden="false" customHeight="true" outlineLevel="0" collapsed="false">
      <c r="A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</row>
    <row r="86" customFormat="false" ht="12.8" hidden="false" customHeight="true" outlineLevel="0" collapsed="false">
      <c r="A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</row>
    <row r="87" customFormat="false" ht="12.8" hidden="false" customHeight="true" outlineLevel="0" collapsed="false">
      <c r="A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</row>
    <row r="88" customFormat="false" ht="12.8" hidden="false" customHeight="true" outlineLevel="0" collapsed="false">
      <c r="A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</row>
    <row r="89" customFormat="false" ht="12.8" hidden="false" customHeight="true" outlineLevel="0" collapsed="false">
      <c r="A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</row>
    <row r="90" customFormat="false" ht="12.8" hidden="false" customHeight="true" outlineLevel="0" collapsed="false">
      <c r="A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</row>
    <row r="91" customFormat="false" ht="12.8" hidden="false" customHeight="true" outlineLevel="0" collapsed="false">
      <c r="A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</row>
    <row r="92" customFormat="false" ht="12.8" hidden="false" customHeight="true" outlineLevel="0" collapsed="false">
      <c r="A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</row>
    <row r="93" customFormat="false" ht="12.8" hidden="false" customHeight="true" outlineLevel="0" collapsed="false">
      <c r="A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</row>
    <row r="94" customFormat="false" ht="12.8" hidden="false" customHeight="true" outlineLevel="0" collapsed="false">
      <c r="A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</row>
    <row r="95" customFormat="false" ht="12.8" hidden="false" customHeight="true" outlineLevel="0" collapsed="false">
      <c r="A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</row>
    <row r="96" customFormat="false" ht="12.8" hidden="false" customHeight="true" outlineLevel="0" collapsed="false">
      <c r="A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</row>
    <row r="97" customFormat="false" ht="12.8" hidden="false" customHeight="true" outlineLevel="0" collapsed="false">
      <c r="A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</row>
    <row r="98" customFormat="false" ht="12.8" hidden="false" customHeight="true" outlineLevel="0" collapsed="false">
      <c r="A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</row>
    <row r="99" customFormat="false" ht="12.8" hidden="false" customHeight="true" outlineLevel="0" collapsed="false">
      <c r="A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</row>
    <row r="100" customFormat="false" ht="12.8" hidden="false" customHeight="true" outlineLevel="0" collapsed="false">
      <c r="A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</row>
    <row r="101" customFormat="false" ht="12.8" hidden="false" customHeight="true" outlineLevel="0" collapsed="false">
      <c r="A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</row>
    <row r="102" customFormat="false" ht="12.8" hidden="false" customHeight="true" outlineLevel="0" collapsed="false">
      <c r="A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</row>
    <row r="103" customFormat="false" ht="12.8" hidden="false" customHeight="true" outlineLevel="0" collapsed="false">
      <c r="A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</row>
    <row r="104" customFormat="false" ht="12.8" hidden="false" customHeight="true" outlineLevel="0" collapsed="false">
      <c r="A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</row>
    <row r="105" customFormat="false" ht="12.8" hidden="false" customHeight="true" outlineLevel="0" collapsed="false">
      <c r="A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</row>
    <row r="106" customFormat="false" ht="12.8" hidden="false" customHeight="true" outlineLevel="0" collapsed="false">
      <c r="A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</row>
    <row r="107" customFormat="false" ht="12.8" hidden="false" customHeight="true" outlineLevel="0" collapsed="false">
      <c r="A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</row>
    <row r="108" customFormat="false" ht="12.8" hidden="false" customHeight="true" outlineLevel="0" collapsed="false">
      <c r="A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</row>
    <row r="109" customFormat="false" ht="12.8" hidden="false" customHeight="true" outlineLevel="0" collapsed="false">
      <c r="A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</row>
    <row r="110" customFormat="false" ht="12.8" hidden="false" customHeight="true" outlineLevel="0" collapsed="false">
      <c r="A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</row>
    <row r="111" customFormat="false" ht="12.8" hidden="false" customHeight="true" outlineLevel="0" collapsed="false">
      <c r="A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</row>
    <row r="112" customFormat="false" ht="12.8" hidden="false" customHeight="true" outlineLevel="0" collapsed="false">
      <c r="A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</row>
    <row r="113" customFormat="false" ht="12.8" hidden="false" customHeight="true" outlineLevel="0" collapsed="false">
      <c r="A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</row>
    <row r="114" customFormat="false" ht="12.8" hidden="false" customHeight="true" outlineLevel="0" collapsed="false">
      <c r="A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</row>
    <row r="115" customFormat="false" ht="12.8" hidden="false" customHeight="true" outlineLevel="0" collapsed="false">
      <c r="A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</row>
    <row r="116" customFormat="false" ht="12.8" hidden="false" customHeight="true" outlineLevel="0" collapsed="false">
      <c r="A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</row>
    <row r="117" customFormat="false" ht="12.8" hidden="false" customHeight="true" outlineLevel="0" collapsed="false">
      <c r="A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</row>
    <row r="118" customFormat="false" ht="12.8" hidden="false" customHeight="true" outlineLevel="0" collapsed="false">
      <c r="A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</row>
    <row r="119" customFormat="false" ht="12.8" hidden="false" customHeight="true" outlineLevel="0" collapsed="false">
      <c r="A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</row>
    <row r="120" customFormat="false" ht="12.8" hidden="false" customHeight="true" outlineLevel="0" collapsed="false">
      <c r="A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</row>
    <row r="121" customFormat="false" ht="12.8" hidden="false" customHeight="true" outlineLevel="0" collapsed="false">
      <c r="A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</row>
    <row r="122" customFormat="false" ht="12.8" hidden="false" customHeight="true" outlineLevel="0" collapsed="false">
      <c r="A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</row>
    <row r="123" customFormat="false" ht="12.8" hidden="false" customHeight="true" outlineLevel="0" collapsed="false">
      <c r="A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</row>
    <row r="124" customFormat="false" ht="12.8" hidden="false" customHeight="true" outlineLevel="0" collapsed="false">
      <c r="A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</row>
    <row r="125" customFormat="false" ht="12.8" hidden="false" customHeight="true" outlineLevel="0" collapsed="false">
      <c r="A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</row>
    <row r="126" customFormat="false" ht="12.8" hidden="false" customHeight="true" outlineLevel="0" collapsed="false">
      <c r="A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</row>
    <row r="127" customFormat="false" ht="12.8" hidden="false" customHeight="true" outlineLevel="0" collapsed="false">
      <c r="A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</row>
    <row r="128" customFormat="false" ht="12.8" hidden="false" customHeight="true" outlineLevel="0" collapsed="false">
      <c r="A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</row>
    <row r="129" customFormat="false" ht="12.8" hidden="false" customHeight="true" outlineLevel="0" collapsed="false">
      <c r="A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</row>
    <row r="130" customFormat="false" ht="12.8" hidden="false" customHeight="true" outlineLevel="0" collapsed="false">
      <c r="A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</row>
    <row r="131" customFormat="false" ht="12.8" hidden="false" customHeight="true" outlineLevel="0" collapsed="false">
      <c r="A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</row>
    <row r="132" customFormat="false" ht="12.8" hidden="false" customHeight="true" outlineLevel="0" collapsed="false">
      <c r="A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</row>
    <row r="133" customFormat="false" ht="12.8" hidden="false" customHeight="true" outlineLevel="0" collapsed="false">
      <c r="A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</row>
    <row r="134" customFormat="false" ht="12.8" hidden="false" customHeight="true" outlineLevel="0" collapsed="false">
      <c r="A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</row>
    <row r="135" customFormat="false" ht="12.8" hidden="false" customHeight="true" outlineLevel="0" collapsed="false">
      <c r="A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</row>
    <row r="136" customFormat="false" ht="12.8" hidden="false" customHeight="true" outlineLevel="0" collapsed="false">
      <c r="A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</row>
    <row r="137" customFormat="false" ht="12.8" hidden="false" customHeight="true" outlineLevel="0" collapsed="false">
      <c r="A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</row>
    <row r="138" customFormat="false" ht="12.8" hidden="false" customHeight="true" outlineLevel="0" collapsed="false">
      <c r="A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</row>
    <row r="139" customFormat="false" ht="12.8" hidden="false" customHeight="true" outlineLevel="0" collapsed="false">
      <c r="A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</row>
    <row r="140" customFormat="false" ht="12.8" hidden="false" customHeight="true" outlineLevel="0" collapsed="false">
      <c r="A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</row>
    <row r="141" customFormat="false" ht="12.8" hidden="false" customHeight="true" outlineLevel="0" collapsed="false">
      <c r="A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</row>
    <row r="142" customFormat="false" ht="12.8" hidden="false" customHeight="true" outlineLevel="0" collapsed="false">
      <c r="A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</row>
    <row r="143" customFormat="false" ht="12.8" hidden="false" customHeight="true" outlineLevel="0" collapsed="false">
      <c r="A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</row>
    <row r="144" customFormat="false" ht="12.8" hidden="false" customHeight="true" outlineLevel="0" collapsed="false">
      <c r="A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</row>
    <row r="145" customFormat="false" ht="12.8" hidden="false" customHeight="true" outlineLevel="0" collapsed="false">
      <c r="A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</row>
    <row r="146" customFormat="false" ht="12.8" hidden="false" customHeight="true" outlineLevel="0" collapsed="false">
      <c r="A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</row>
    <row r="147" customFormat="false" ht="12.8" hidden="false" customHeight="true" outlineLevel="0" collapsed="false">
      <c r="A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</row>
    <row r="148" customFormat="false" ht="12.8" hidden="false" customHeight="true" outlineLevel="0" collapsed="false">
      <c r="A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</row>
    <row r="149" customFormat="false" ht="12.8" hidden="false" customHeight="true" outlineLevel="0" collapsed="false">
      <c r="A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</row>
    <row r="150" customFormat="false" ht="12.8" hidden="false" customHeight="true" outlineLevel="0" collapsed="false">
      <c r="A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</row>
    <row r="151" customFormat="false" ht="12.8" hidden="false" customHeight="true" outlineLevel="0" collapsed="false">
      <c r="A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</row>
    <row r="152" customFormat="false" ht="12.8" hidden="false" customHeight="true" outlineLevel="0" collapsed="false">
      <c r="A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</row>
    <row r="153" customFormat="false" ht="12.8" hidden="false" customHeight="true" outlineLevel="0" collapsed="false">
      <c r="A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</row>
    <row r="154" customFormat="false" ht="12.8" hidden="false" customHeight="true" outlineLevel="0" collapsed="false">
      <c r="A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</row>
    <row r="155" customFormat="false" ht="12.8" hidden="false" customHeight="true" outlineLevel="0" collapsed="false">
      <c r="A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</row>
    <row r="156" customFormat="false" ht="12.8" hidden="false" customHeight="true" outlineLevel="0" collapsed="false">
      <c r="A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</row>
    <row r="157" customFormat="false" ht="12.8" hidden="false" customHeight="true" outlineLevel="0" collapsed="false">
      <c r="A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</row>
    <row r="158" customFormat="false" ht="12.8" hidden="false" customHeight="true" outlineLevel="0" collapsed="false">
      <c r="A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</row>
    <row r="159" customFormat="false" ht="12.8" hidden="false" customHeight="true" outlineLevel="0" collapsed="false">
      <c r="A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</row>
    <row r="160" customFormat="false" ht="12.8" hidden="false" customHeight="true" outlineLevel="0" collapsed="false">
      <c r="A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</row>
    <row r="161" customFormat="false" ht="12.8" hidden="false" customHeight="true" outlineLevel="0" collapsed="false">
      <c r="A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</row>
    <row r="162" customFormat="false" ht="12.8" hidden="false" customHeight="true" outlineLevel="0" collapsed="false">
      <c r="A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</row>
    <row r="163" customFormat="false" ht="12.8" hidden="false" customHeight="true" outlineLevel="0" collapsed="false">
      <c r="A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</row>
    <row r="164" customFormat="false" ht="12.8" hidden="false" customHeight="true" outlineLevel="0" collapsed="false">
      <c r="A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</row>
    <row r="165" customFormat="false" ht="12.8" hidden="false" customHeight="true" outlineLevel="0" collapsed="false">
      <c r="A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</row>
    <row r="166" customFormat="false" ht="12.8" hidden="false" customHeight="true" outlineLevel="0" collapsed="false">
      <c r="A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</row>
    <row r="167" customFormat="false" ht="12.8" hidden="false" customHeight="true" outlineLevel="0" collapsed="false">
      <c r="A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</row>
    <row r="168" customFormat="false" ht="12.8" hidden="false" customHeight="true" outlineLevel="0" collapsed="false">
      <c r="A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</row>
    <row r="169" customFormat="false" ht="12.8" hidden="false" customHeight="true" outlineLevel="0" collapsed="false">
      <c r="A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</row>
    <row r="170" customFormat="false" ht="12.8" hidden="false" customHeight="true" outlineLevel="0" collapsed="false">
      <c r="A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</row>
    <row r="171" customFormat="false" ht="12.8" hidden="false" customHeight="true" outlineLevel="0" collapsed="false">
      <c r="A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</row>
    <row r="172" customFormat="false" ht="12.8" hidden="false" customHeight="true" outlineLevel="0" collapsed="false">
      <c r="A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</row>
    <row r="173" customFormat="false" ht="12.8" hidden="false" customHeight="true" outlineLevel="0" collapsed="false">
      <c r="A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</row>
    <row r="174" customFormat="false" ht="12.8" hidden="false" customHeight="true" outlineLevel="0" collapsed="false">
      <c r="A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</row>
    <row r="175" customFormat="false" ht="12.8" hidden="false" customHeight="true" outlineLevel="0" collapsed="false">
      <c r="A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</row>
    <row r="176" customFormat="false" ht="12.8" hidden="false" customHeight="true" outlineLevel="0" collapsed="false">
      <c r="A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</row>
    <row r="177" customFormat="false" ht="12.8" hidden="false" customHeight="true" outlineLevel="0" collapsed="false">
      <c r="A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</row>
    <row r="178" customFormat="false" ht="12.8" hidden="false" customHeight="true" outlineLevel="0" collapsed="false">
      <c r="A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</row>
    <row r="179" customFormat="false" ht="12.8" hidden="false" customHeight="true" outlineLevel="0" collapsed="false">
      <c r="A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</row>
    <row r="180" customFormat="false" ht="12.8" hidden="false" customHeight="true" outlineLevel="0" collapsed="false">
      <c r="A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</row>
    <row r="181" customFormat="false" ht="12.8" hidden="false" customHeight="true" outlineLevel="0" collapsed="false">
      <c r="A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</row>
    <row r="182" customFormat="false" ht="12.8" hidden="false" customHeight="true" outlineLevel="0" collapsed="false">
      <c r="A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</row>
    <row r="183" customFormat="false" ht="12.8" hidden="false" customHeight="true" outlineLevel="0" collapsed="false">
      <c r="A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</row>
    <row r="184" customFormat="false" ht="12.8" hidden="false" customHeight="true" outlineLevel="0" collapsed="false">
      <c r="A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</row>
    <row r="185" customFormat="false" ht="12.8" hidden="false" customHeight="true" outlineLevel="0" collapsed="false">
      <c r="A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</row>
    <row r="186" customFormat="false" ht="12.8" hidden="false" customHeight="true" outlineLevel="0" collapsed="false">
      <c r="A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</row>
    <row r="187" customFormat="false" ht="12.8" hidden="false" customHeight="true" outlineLevel="0" collapsed="false">
      <c r="A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</row>
    <row r="188" customFormat="false" ht="12.8" hidden="false" customHeight="true" outlineLevel="0" collapsed="false">
      <c r="A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</row>
    <row r="189" customFormat="false" ht="12.8" hidden="false" customHeight="true" outlineLevel="0" collapsed="false">
      <c r="A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</row>
    <row r="190" customFormat="false" ht="12.8" hidden="false" customHeight="true" outlineLevel="0" collapsed="false">
      <c r="A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</row>
    <row r="191" customFormat="false" ht="12.8" hidden="false" customHeight="true" outlineLevel="0" collapsed="false">
      <c r="A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</row>
    <row r="192" customFormat="false" ht="12.8" hidden="false" customHeight="true" outlineLevel="0" collapsed="false">
      <c r="A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</row>
    <row r="193" customFormat="false" ht="12.8" hidden="false" customHeight="true" outlineLevel="0" collapsed="false">
      <c r="A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</row>
    <row r="194" customFormat="false" ht="12.8" hidden="false" customHeight="true" outlineLevel="0" collapsed="false">
      <c r="A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</row>
    <row r="195" customFormat="false" ht="12.8" hidden="false" customHeight="true" outlineLevel="0" collapsed="false">
      <c r="A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</row>
    <row r="196" customFormat="false" ht="12.8" hidden="false" customHeight="true" outlineLevel="0" collapsed="false">
      <c r="A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</row>
    <row r="197" customFormat="false" ht="12.8" hidden="false" customHeight="true" outlineLevel="0" collapsed="false">
      <c r="A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</row>
    <row r="198" customFormat="false" ht="12.8" hidden="false" customHeight="true" outlineLevel="0" collapsed="false">
      <c r="A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</row>
    <row r="199" customFormat="false" ht="12.8" hidden="false" customHeight="true" outlineLevel="0" collapsed="false">
      <c r="A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</row>
    <row r="200" customFormat="false" ht="12.8" hidden="false" customHeight="true" outlineLevel="0" collapsed="false">
      <c r="A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</row>
    <row r="201" customFormat="false" ht="12.8" hidden="false" customHeight="true" outlineLevel="0" collapsed="false">
      <c r="A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</row>
    <row r="202" customFormat="false" ht="12.8" hidden="false" customHeight="true" outlineLevel="0" collapsed="false">
      <c r="A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</row>
    <row r="203" customFormat="false" ht="12.8" hidden="false" customHeight="true" outlineLevel="0" collapsed="false">
      <c r="A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</row>
    <row r="204" customFormat="false" ht="12.8" hidden="false" customHeight="true" outlineLevel="0" collapsed="false">
      <c r="A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</row>
    <row r="205" customFormat="false" ht="12.8" hidden="false" customHeight="true" outlineLevel="0" collapsed="false">
      <c r="A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</row>
    <row r="206" customFormat="false" ht="12.8" hidden="false" customHeight="true" outlineLevel="0" collapsed="false">
      <c r="A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</row>
    <row r="207" customFormat="false" ht="12.8" hidden="false" customHeight="true" outlineLevel="0" collapsed="false">
      <c r="A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</row>
    <row r="208" customFormat="false" ht="12.8" hidden="false" customHeight="true" outlineLevel="0" collapsed="false">
      <c r="A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</row>
    <row r="209" customFormat="false" ht="12.8" hidden="false" customHeight="true" outlineLevel="0" collapsed="false">
      <c r="A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</row>
    <row r="210" customFormat="false" ht="12.8" hidden="false" customHeight="true" outlineLevel="0" collapsed="false">
      <c r="A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</row>
    <row r="211" customFormat="false" ht="12.8" hidden="false" customHeight="true" outlineLevel="0" collapsed="false">
      <c r="A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</row>
    <row r="212" customFormat="false" ht="12.8" hidden="false" customHeight="true" outlineLevel="0" collapsed="false">
      <c r="A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</row>
    <row r="213" customFormat="false" ht="12.8" hidden="false" customHeight="true" outlineLevel="0" collapsed="false">
      <c r="A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</row>
    <row r="214" customFormat="false" ht="12.8" hidden="false" customHeight="true" outlineLevel="0" collapsed="false">
      <c r="A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</row>
    <row r="215" customFormat="false" ht="12.8" hidden="false" customHeight="true" outlineLevel="0" collapsed="false">
      <c r="A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</row>
    <row r="216" customFormat="false" ht="12.8" hidden="false" customHeight="true" outlineLevel="0" collapsed="false">
      <c r="A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</row>
    <row r="217" customFormat="false" ht="12.8" hidden="false" customHeight="true" outlineLevel="0" collapsed="false">
      <c r="A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</row>
    <row r="218" customFormat="false" ht="12.8" hidden="false" customHeight="true" outlineLevel="0" collapsed="false">
      <c r="A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</row>
    <row r="219" customFormat="false" ht="12.8" hidden="false" customHeight="true" outlineLevel="0" collapsed="false">
      <c r="A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</row>
    <row r="220" customFormat="false" ht="12.8" hidden="false" customHeight="true" outlineLevel="0" collapsed="false">
      <c r="A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</row>
    <row r="221" customFormat="false" ht="12.8" hidden="false" customHeight="true" outlineLevel="0" collapsed="false">
      <c r="A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</row>
    <row r="222" customFormat="false" ht="12.8" hidden="false" customHeight="true" outlineLevel="0" collapsed="false">
      <c r="A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</row>
    <row r="223" customFormat="false" ht="12.8" hidden="false" customHeight="true" outlineLevel="0" collapsed="false">
      <c r="A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</row>
    <row r="224" customFormat="false" ht="12.8" hidden="false" customHeight="true" outlineLevel="0" collapsed="false">
      <c r="A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</row>
    <row r="225" customFormat="false" ht="12.8" hidden="false" customHeight="true" outlineLevel="0" collapsed="false">
      <c r="A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</row>
    <row r="226" customFormat="false" ht="12.8" hidden="false" customHeight="true" outlineLevel="0" collapsed="false">
      <c r="A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</row>
    <row r="227" customFormat="false" ht="12.8" hidden="false" customHeight="true" outlineLevel="0" collapsed="false">
      <c r="A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</row>
    <row r="228" customFormat="false" ht="12.8" hidden="false" customHeight="true" outlineLevel="0" collapsed="false">
      <c r="A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</row>
    <row r="229" customFormat="false" ht="12.8" hidden="false" customHeight="true" outlineLevel="0" collapsed="false">
      <c r="A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</row>
    <row r="230" customFormat="false" ht="12.8" hidden="false" customHeight="true" outlineLevel="0" collapsed="false">
      <c r="A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</row>
    <row r="231" customFormat="false" ht="12.8" hidden="false" customHeight="true" outlineLevel="0" collapsed="false">
      <c r="A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</row>
    <row r="232" customFormat="false" ht="12.8" hidden="false" customHeight="true" outlineLevel="0" collapsed="false">
      <c r="A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</row>
    <row r="233" customFormat="false" ht="12.8" hidden="false" customHeight="true" outlineLevel="0" collapsed="false">
      <c r="A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</row>
    <row r="234" customFormat="false" ht="12.8" hidden="false" customHeight="true" outlineLevel="0" collapsed="false">
      <c r="A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</row>
    <row r="235" customFormat="false" ht="12.8" hidden="false" customHeight="true" outlineLevel="0" collapsed="false">
      <c r="A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</row>
    <row r="236" customFormat="false" ht="12.8" hidden="false" customHeight="true" outlineLevel="0" collapsed="false">
      <c r="A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</row>
    <row r="237" customFormat="false" ht="12.8" hidden="false" customHeight="true" outlineLevel="0" collapsed="false">
      <c r="A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</row>
    <row r="238" customFormat="false" ht="12.8" hidden="false" customHeight="true" outlineLevel="0" collapsed="false">
      <c r="A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</row>
    <row r="239" customFormat="false" ht="12.8" hidden="false" customHeight="true" outlineLevel="0" collapsed="false">
      <c r="A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</row>
    <row r="240" customFormat="false" ht="12.8" hidden="false" customHeight="true" outlineLevel="0" collapsed="false">
      <c r="A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</row>
    <row r="241" customFormat="false" ht="12.8" hidden="false" customHeight="true" outlineLevel="0" collapsed="false">
      <c r="A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</row>
    <row r="242" customFormat="false" ht="12.8" hidden="false" customHeight="true" outlineLevel="0" collapsed="false">
      <c r="A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</row>
    <row r="243" customFormat="false" ht="12.8" hidden="false" customHeight="true" outlineLevel="0" collapsed="false">
      <c r="A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</row>
    <row r="244" customFormat="false" ht="12.8" hidden="false" customHeight="true" outlineLevel="0" collapsed="false">
      <c r="A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</row>
    <row r="245" customFormat="false" ht="12.8" hidden="false" customHeight="true" outlineLevel="0" collapsed="false">
      <c r="A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</row>
    <row r="246" customFormat="false" ht="12.8" hidden="false" customHeight="true" outlineLevel="0" collapsed="false">
      <c r="A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</row>
    <row r="247" customFormat="false" ht="12.8" hidden="false" customHeight="true" outlineLevel="0" collapsed="false">
      <c r="A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</row>
    <row r="248" customFormat="false" ht="12.8" hidden="false" customHeight="true" outlineLevel="0" collapsed="false">
      <c r="A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</row>
    <row r="249" customFormat="false" ht="12.8" hidden="false" customHeight="true" outlineLevel="0" collapsed="false">
      <c r="A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</row>
    <row r="250" customFormat="false" ht="12.8" hidden="false" customHeight="true" outlineLevel="0" collapsed="false">
      <c r="A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</row>
    <row r="251" customFormat="false" ht="12.8" hidden="false" customHeight="true" outlineLevel="0" collapsed="false">
      <c r="A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</row>
    <row r="252" customFormat="false" ht="12.8" hidden="false" customHeight="true" outlineLevel="0" collapsed="false">
      <c r="A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</row>
    <row r="253" customFormat="false" ht="12.8" hidden="false" customHeight="true" outlineLevel="0" collapsed="false">
      <c r="A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</row>
    <row r="254" customFormat="false" ht="12.8" hidden="false" customHeight="true" outlineLevel="0" collapsed="false">
      <c r="A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</row>
    <row r="255" customFormat="false" ht="12.8" hidden="false" customHeight="true" outlineLevel="0" collapsed="false">
      <c r="A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</row>
    <row r="256" customFormat="false" ht="12.8" hidden="false" customHeight="true" outlineLevel="0" collapsed="false">
      <c r="A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</row>
    <row r="257" customFormat="false" ht="12.8" hidden="false" customHeight="true" outlineLevel="0" collapsed="false">
      <c r="A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</row>
    <row r="258" customFormat="false" ht="12.8" hidden="false" customHeight="true" outlineLevel="0" collapsed="false">
      <c r="A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</row>
    <row r="259" customFormat="false" ht="12.8" hidden="false" customHeight="true" outlineLevel="0" collapsed="false">
      <c r="A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</row>
    <row r="260" customFormat="false" ht="12.8" hidden="false" customHeight="true" outlineLevel="0" collapsed="false">
      <c r="A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</row>
    <row r="261" customFormat="false" ht="12.8" hidden="false" customHeight="true" outlineLevel="0" collapsed="false">
      <c r="A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</row>
    <row r="262" customFormat="false" ht="12.8" hidden="false" customHeight="true" outlineLevel="0" collapsed="false">
      <c r="A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</row>
    <row r="263" customFormat="false" ht="12.8" hidden="false" customHeight="true" outlineLevel="0" collapsed="false">
      <c r="A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</row>
    <row r="264" customFormat="false" ht="12.8" hidden="false" customHeight="true" outlineLevel="0" collapsed="false">
      <c r="A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</row>
    <row r="265" customFormat="false" ht="12.8" hidden="false" customHeight="true" outlineLevel="0" collapsed="false">
      <c r="A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</row>
    <row r="266" customFormat="false" ht="12.8" hidden="false" customHeight="true" outlineLevel="0" collapsed="false">
      <c r="A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</row>
    <row r="267" customFormat="false" ht="12.8" hidden="false" customHeight="true" outlineLevel="0" collapsed="false">
      <c r="A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</row>
    <row r="268" customFormat="false" ht="12.8" hidden="false" customHeight="true" outlineLevel="0" collapsed="false">
      <c r="A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</row>
    <row r="269" customFormat="false" ht="12.8" hidden="false" customHeight="true" outlineLevel="0" collapsed="false">
      <c r="A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</row>
    <row r="270" customFormat="false" ht="12.8" hidden="false" customHeight="true" outlineLevel="0" collapsed="false">
      <c r="A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</row>
    <row r="271" customFormat="false" ht="12.8" hidden="false" customHeight="true" outlineLevel="0" collapsed="false">
      <c r="A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</row>
    <row r="272" customFormat="false" ht="12.8" hidden="false" customHeight="true" outlineLevel="0" collapsed="false">
      <c r="A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</row>
    <row r="273" customFormat="false" ht="12.8" hidden="false" customHeight="true" outlineLevel="0" collapsed="false">
      <c r="A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</row>
    <row r="274" customFormat="false" ht="12.8" hidden="false" customHeight="true" outlineLevel="0" collapsed="false">
      <c r="A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</row>
    <row r="275" customFormat="false" ht="12.8" hidden="false" customHeight="true" outlineLevel="0" collapsed="false">
      <c r="A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</row>
    <row r="276" customFormat="false" ht="12.8" hidden="false" customHeight="true" outlineLevel="0" collapsed="false">
      <c r="A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</row>
    <row r="277" customFormat="false" ht="12.8" hidden="false" customHeight="true" outlineLevel="0" collapsed="false">
      <c r="A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</row>
    <row r="278" customFormat="false" ht="12.8" hidden="false" customHeight="true" outlineLevel="0" collapsed="false">
      <c r="A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</row>
    <row r="279" customFormat="false" ht="12.8" hidden="false" customHeight="true" outlineLevel="0" collapsed="false">
      <c r="A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</row>
    <row r="280" customFormat="false" ht="12.8" hidden="false" customHeight="true" outlineLevel="0" collapsed="false">
      <c r="A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</row>
    <row r="281" customFormat="false" ht="12.8" hidden="false" customHeight="true" outlineLevel="0" collapsed="false">
      <c r="A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</row>
    <row r="282" customFormat="false" ht="12.8" hidden="false" customHeight="true" outlineLevel="0" collapsed="false">
      <c r="A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</row>
    <row r="283" customFormat="false" ht="12.8" hidden="false" customHeight="true" outlineLevel="0" collapsed="false">
      <c r="A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</row>
    <row r="284" customFormat="false" ht="12.8" hidden="false" customHeight="true" outlineLevel="0" collapsed="false">
      <c r="A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</row>
    <row r="285" customFormat="false" ht="12.8" hidden="false" customHeight="true" outlineLevel="0" collapsed="false">
      <c r="A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</row>
    <row r="286" customFormat="false" ht="12.8" hidden="false" customHeight="true" outlineLevel="0" collapsed="false">
      <c r="A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</row>
    <row r="287" customFormat="false" ht="12.8" hidden="false" customHeight="true" outlineLevel="0" collapsed="false">
      <c r="A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</row>
    <row r="288" customFormat="false" ht="12.8" hidden="false" customHeight="true" outlineLevel="0" collapsed="false">
      <c r="A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</row>
    <row r="289" customFormat="false" ht="12.8" hidden="false" customHeight="true" outlineLevel="0" collapsed="false">
      <c r="A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</row>
    <row r="290" customFormat="false" ht="12.8" hidden="false" customHeight="true" outlineLevel="0" collapsed="false">
      <c r="A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</row>
    <row r="291" customFormat="false" ht="12.8" hidden="false" customHeight="true" outlineLevel="0" collapsed="false">
      <c r="A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</row>
    <row r="292" customFormat="false" ht="12.8" hidden="false" customHeight="true" outlineLevel="0" collapsed="false">
      <c r="A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</row>
    <row r="293" customFormat="false" ht="12.8" hidden="false" customHeight="true" outlineLevel="0" collapsed="false">
      <c r="A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</row>
    <row r="294" customFormat="false" ht="12.8" hidden="false" customHeight="true" outlineLevel="0" collapsed="false">
      <c r="A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</row>
    <row r="295" customFormat="false" ht="12.8" hidden="false" customHeight="true" outlineLevel="0" collapsed="false">
      <c r="A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</row>
    <row r="296" customFormat="false" ht="12.8" hidden="false" customHeight="true" outlineLevel="0" collapsed="false">
      <c r="A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</row>
    <row r="297" customFormat="false" ht="12.8" hidden="false" customHeight="true" outlineLevel="0" collapsed="false">
      <c r="A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</row>
    <row r="298" customFormat="false" ht="12.8" hidden="false" customHeight="true" outlineLevel="0" collapsed="false">
      <c r="A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</row>
    <row r="299" customFormat="false" ht="12.8" hidden="false" customHeight="true" outlineLevel="0" collapsed="false">
      <c r="A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</row>
    <row r="300" customFormat="false" ht="12.8" hidden="false" customHeight="true" outlineLevel="0" collapsed="false">
      <c r="A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</row>
    <row r="301" customFormat="false" ht="12.8" hidden="false" customHeight="true" outlineLevel="0" collapsed="false">
      <c r="A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</row>
    <row r="302" customFormat="false" ht="12.8" hidden="false" customHeight="true" outlineLevel="0" collapsed="false">
      <c r="A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</row>
    <row r="303" customFormat="false" ht="12.8" hidden="false" customHeight="true" outlineLevel="0" collapsed="false">
      <c r="A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</row>
    <row r="304" customFormat="false" ht="12.8" hidden="false" customHeight="true" outlineLevel="0" collapsed="false">
      <c r="A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</row>
    <row r="305" customFormat="false" ht="12.8" hidden="false" customHeight="true" outlineLevel="0" collapsed="false">
      <c r="A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</row>
    <row r="306" customFormat="false" ht="12.8" hidden="false" customHeight="true" outlineLevel="0" collapsed="false">
      <c r="A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</row>
    <row r="307" customFormat="false" ht="12.8" hidden="false" customHeight="true" outlineLevel="0" collapsed="false">
      <c r="A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</row>
    <row r="308" customFormat="false" ht="12.8" hidden="false" customHeight="true" outlineLevel="0" collapsed="false">
      <c r="A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</row>
    <row r="309" customFormat="false" ht="12.8" hidden="false" customHeight="true" outlineLevel="0" collapsed="false">
      <c r="A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</row>
    <row r="310" customFormat="false" ht="12.8" hidden="false" customHeight="true" outlineLevel="0" collapsed="false">
      <c r="A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</row>
    <row r="311" customFormat="false" ht="12.8" hidden="false" customHeight="true" outlineLevel="0" collapsed="false">
      <c r="A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</row>
    <row r="312" customFormat="false" ht="12.8" hidden="false" customHeight="true" outlineLevel="0" collapsed="false">
      <c r="A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</row>
    <row r="313" customFormat="false" ht="12.8" hidden="false" customHeight="true" outlineLevel="0" collapsed="false">
      <c r="A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</row>
    <row r="314" customFormat="false" ht="12.8" hidden="false" customHeight="true" outlineLevel="0" collapsed="false">
      <c r="A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</row>
    <row r="315" customFormat="false" ht="12.8" hidden="false" customHeight="true" outlineLevel="0" collapsed="false">
      <c r="A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</row>
    <row r="316" customFormat="false" ht="12.8" hidden="false" customHeight="true" outlineLevel="0" collapsed="false">
      <c r="A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</row>
    <row r="317" customFormat="false" ht="12.8" hidden="false" customHeight="true" outlineLevel="0" collapsed="false">
      <c r="A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</row>
    <row r="318" customFormat="false" ht="12.8" hidden="false" customHeight="true" outlineLevel="0" collapsed="false">
      <c r="A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</row>
    <row r="319" customFormat="false" ht="12.8" hidden="false" customHeight="true" outlineLevel="0" collapsed="false">
      <c r="A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</row>
    <row r="320" customFormat="false" ht="12.8" hidden="false" customHeight="true" outlineLevel="0" collapsed="false">
      <c r="A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</row>
    <row r="321" customFormat="false" ht="12.8" hidden="false" customHeight="true" outlineLevel="0" collapsed="false">
      <c r="A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</row>
    <row r="322" customFormat="false" ht="12.8" hidden="false" customHeight="true" outlineLevel="0" collapsed="false">
      <c r="A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</row>
    <row r="323" customFormat="false" ht="12.8" hidden="false" customHeight="true" outlineLevel="0" collapsed="false">
      <c r="A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</row>
    <row r="324" customFormat="false" ht="12.8" hidden="false" customHeight="true" outlineLevel="0" collapsed="false">
      <c r="A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</row>
    <row r="325" customFormat="false" ht="12.8" hidden="false" customHeight="true" outlineLevel="0" collapsed="false">
      <c r="A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</row>
    <row r="326" customFormat="false" ht="12.8" hidden="false" customHeight="true" outlineLevel="0" collapsed="false">
      <c r="A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</row>
    <row r="327" customFormat="false" ht="12.8" hidden="false" customHeight="true" outlineLevel="0" collapsed="false">
      <c r="A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</row>
    <row r="328" customFormat="false" ht="12.8" hidden="false" customHeight="true" outlineLevel="0" collapsed="false">
      <c r="A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</row>
    <row r="329" customFormat="false" ht="12.8" hidden="false" customHeight="true" outlineLevel="0" collapsed="false">
      <c r="A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</row>
    <row r="330" customFormat="false" ht="12.8" hidden="false" customHeight="true" outlineLevel="0" collapsed="false">
      <c r="A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</row>
    <row r="331" customFormat="false" ht="12.8" hidden="false" customHeight="true" outlineLevel="0" collapsed="false">
      <c r="A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</row>
    <row r="332" customFormat="false" ht="12.8" hidden="false" customHeight="true" outlineLevel="0" collapsed="false">
      <c r="A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</row>
    <row r="333" customFormat="false" ht="12.8" hidden="false" customHeight="true" outlineLevel="0" collapsed="false">
      <c r="A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</row>
    <row r="334" customFormat="false" ht="12.8" hidden="false" customHeight="true" outlineLevel="0" collapsed="false">
      <c r="A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</row>
    <row r="335" customFormat="false" ht="12.8" hidden="false" customHeight="true" outlineLevel="0" collapsed="false">
      <c r="A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</row>
    <row r="336" customFormat="false" ht="12.8" hidden="false" customHeight="true" outlineLevel="0" collapsed="false">
      <c r="A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</row>
    <row r="337" customFormat="false" ht="12.8" hidden="false" customHeight="true" outlineLevel="0" collapsed="false">
      <c r="A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</row>
    <row r="338" customFormat="false" ht="12.8" hidden="false" customHeight="true" outlineLevel="0" collapsed="false">
      <c r="A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</row>
    <row r="339" customFormat="false" ht="12.8" hidden="false" customHeight="true" outlineLevel="0" collapsed="false">
      <c r="A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</row>
    <row r="340" customFormat="false" ht="12.8" hidden="false" customHeight="true" outlineLevel="0" collapsed="false">
      <c r="A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</row>
    <row r="341" customFormat="false" ht="12.8" hidden="false" customHeight="true" outlineLevel="0" collapsed="false">
      <c r="A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</row>
    <row r="342" customFormat="false" ht="12.8" hidden="false" customHeight="true" outlineLevel="0" collapsed="false">
      <c r="A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</row>
    <row r="343" customFormat="false" ht="12.8" hidden="false" customHeight="true" outlineLevel="0" collapsed="false">
      <c r="A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</row>
    <row r="344" customFormat="false" ht="12.8" hidden="false" customHeight="true" outlineLevel="0" collapsed="false">
      <c r="A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</row>
    <row r="345" customFormat="false" ht="12.8" hidden="false" customHeight="true" outlineLevel="0" collapsed="false">
      <c r="A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</row>
    <row r="346" customFormat="false" ht="12.8" hidden="false" customHeight="true" outlineLevel="0" collapsed="false">
      <c r="A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</row>
    <row r="347" customFormat="false" ht="12.8" hidden="false" customHeight="true" outlineLevel="0" collapsed="false">
      <c r="A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</row>
    <row r="348" customFormat="false" ht="12.8" hidden="false" customHeight="true" outlineLevel="0" collapsed="false">
      <c r="A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</row>
    <row r="349" customFormat="false" ht="12.8" hidden="false" customHeight="true" outlineLevel="0" collapsed="false">
      <c r="A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</row>
    <row r="350" customFormat="false" ht="12.8" hidden="false" customHeight="true" outlineLevel="0" collapsed="false">
      <c r="A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</row>
    <row r="351" customFormat="false" ht="12.8" hidden="false" customHeight="true" outlineLevel="0" collapsed="false">
      <c r="A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</row>
    <row r="352" customFormat="false" ht="12.8" hidden="false" customHeight="true" outlineLevel="0" collapsed="false">
      <c r="A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</row>
    <row r="353" customFormat="false" ht="12.8" hidden="false" customHeight="true" outlineLevel="0" collapsed="false">
      <c r="A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</row>
    <row r="354" customFormat="false" ht="12.8" hidden="false" customHeight="true" outlineLevel="0" collapsed="false">
      <c r="A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</row>
    <row r="355" customFormat="false" ht="12.8" hidden="false" customHeight="true" outlineLevel="0" collapsed="false">
      <c r="A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</row>
    <row r="356" customFormat="false" ht="12.8" hidden="false" customHeight="true" outlineLevel="0" collapsed="false">
      <c r="A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</row>
    <row r="357" customFormat="false" ht="12.8" hidden="false" customHeight="true" outlineLevel="0" collapsed="false">
      <c r="A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</row>
    <row r="358" customFormat="false" ht="12.8" hidden="false" customHeight="true" outlineLevel="0" collapsed="false">
      <c r="A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</row>
    <row r="359" customFormat="false" ht="12.8" hidden="false" customHeight="true" outlineLevel="0" collapsed="false">
      <c r="A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</row>
    <row r="360" customFormat="false" ht="12.8" hidden="false" customHeight="true" outlineLevel="0" collapsed="false">
      <c r="A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</row>
    <row r="361" customFormat="false" ht="12.8" hidden="false" customHeight="true" outlineLevel="0" collapsed="false">
      <c r="A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</row>
    <row r="362" customFormat="false" ht="12.8" hidden="false" customHeight="true" outlineLevel="0" collapsed="false">
      <c r="A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</row>
    <row r="363" customFormat="false" ht="12.8" hidden="false" customHeight="true" outlineLevel="0" collapsed="false">
      <c r="A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</row>
    <row r="364" customFormat="false" ht="12.8" hidden="false" customHeight="true" outlineLevel="0" collapsed="false">
      <c r="A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</row>
    <row r="365" customFormat="false" ht="12.8" hidden="false" customHeight="true" outlineLevel="0" collapsed="false">
      <c r="A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</row>
    <row r="366" customFormat="false" ht="12.8" hidden="false" customHeight="true" outlineLevel="0" collapsed="false">
      <c r="A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</row>
    <row r="367" customFormat="false" ht="12.8" hidden="false" customHeight="true" outlineLevel="0" collapsed="false">
      <c r="A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</row>
    <row r="368" customFormat="false" ht="12.8" hidden="false" customHeight="true" outlineLevel="0" collapsed="false">
      <c r="A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</row>
    <row r="369" customFormat="false" ht="12.8" hidden="false" customHeight="true" outlineLevel="0" collapsed="false">
      <c r="A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</row>
    <row r="370" customFormat="false" ht="12.8" hidden="false" customHeight="true" outlineLevel="0" collapsed="false">
      <c r="A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</row>
    <row r="371" customFormat="false" ht="12.8" hidden="false" customHeight="true" outlineLevel="0" collapsed="false">
      <c r="A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</row>
    <row r="372" customFormat="false" ht="12.8" hidden="false" customHeight="true" outlineLevel="0" collapsed="false">
      <c r="A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</row>
    <row r="373" customFormat="false" ht="12.8" hidden="false" customHeight="true" outlineLevel="0" collapsed="false">
      <c r="A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</row>
    <row r="374" customFormat="false" ht="12.8" hidden="false" customHeight="true" outlineLevel="0" collapsed="false">
      <c r="A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</row>
    <row r="375" customFormat="false" ht="12.8" hidden="false" customHeight="true" outlineLevel="0" collapsed="false">
      <c r="A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</row>
    <row r="376" customFormat="false" ht="12.8" hidden="false" customHeight="true" outlineLevel="0" collapsed="false">
      <c r="A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</row>
    <row r="377" customFormat="false" ht="12.8" hidden="false" customHeight="true" outlineLevel="0" collapsed="false">
      <c r="A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</row>
    <row r="378" customFormat="false" ht="12.8" hidden="false" customHeight="true" outlineLevel="0" collapsed="false">
      <c r="A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</row>
    <row r="379" customFormat="false" ht="12.8" hidden="false" customHeight="true" outlineLevel="0" collapsed="false">
      <c r="A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</row>
    <row r="380" customFormat="false" ht="12.8" hidden="false" customHeight="true" outlineLevel="0" collapsed="false">
      <c r="A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</row>
    <row r="381" customFormat="false" ht="12.8" hidden="false" customHeight="true" outlineLevel="0" collapsed="false">
      <c r="A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</row>
    <row r="382" customFormat="false" ht="12.8" hidden="false" customHeight="true" outlineLevel="0" collapsed="false">
      <c r="A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</row>
    <row r="383" customFormat="false" ht="12.8" hidden="false" customHeight="true" outlineLevel="0" collapsed="false">
      <c r="A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</row>
    <row r="384" customFormat="false" ht="12.8" hidden="false" customHeight="true" outlineLevel="0" collapsed="false">
      <c r="A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</row>
    <row r="385" customFormat="false" ht="12.8" hidden="false" customHeight="true" outlineLevel="0" collapsed="false">
      <c r="A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</row>
    <row r="386" customFormat="false" ht="12.8" hidden="false" customHeight="true" outlineLevel="0" collapsed="false">
      <c r="A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</row>
    <row r="387" customFormat="false" ht="12.8" hidden="false" customHeight="true" outlineLevel="0" collapsed="false">
      <c r="A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</row>
    <row r="388" customFormat="false" ht="12.8" hidden="false" customHeight="true" outlineLevel="0" collapsed="false">
      <c r="A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</row>
    <row r="389" customFormat="false" ht="12.8" hidden="false" customHeight="true" outlineLevel="0" collapsed="false">
      <c r="A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</row>
    <row r="390" customFormat="false" ht="12.8" hidden="false" customHeight="true" outlineLevel="0" collapsed="false">
      <c r="A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</row>
    <row r="391" customFormat="false" ht="12.8" hidden="false" customHeight="true" outlineLevel="0" collapsed="false">
      <c r="A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</row>
    <row r="392" customFormat="false" ht="12.8" hidden="false" customHeight="true" outlineLevel="0" collapsed="false">
      <c r="A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</row>
    <row r="393" customFormat="false" ht="12.8" hidden="false" customHeight="true" outlineLevel="0" collapsed="false">
      <c r="A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</row>
    <row r="394" customFormat="false" ht="12.8" hidden="false" customHeight="true" outlineLevel="0" collapsed="false">
      <c r="A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</row>
    <row r="395" customFormat="false" ht="12.8" hidden="false" customHeight="true" outlineLevel="0" collapsed="false">
      <c r="A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</row>
    <row r="396" customFormat="false" ht="12.8" hidden="false" customHeight="true" outlineLevel="0" collapsed="false">
      <c r="A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</row>
    <row r="397" customFormat="false" ht="12.8" hidden="false" customHeight="true" outlineLevel="0" collapsed="false">
      <c r="A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</row>
    <row r="398" customFormat="false" ht="12.8" hidden="false" customHeight="true" outlineLevel="0" collapsed="false">
      <c r="A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</row>
    <row r="399" customFormat="false" ht="12.8" hidden="false" customHeight="true" outlineLevel="0" collapsed="false">
      <c r="A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</row>
    <row r="400" customFormat="false" ht="12.8" hidden="false" customHeight="true" outlineLevel="0" collapsed="false">
      <c r="A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</row>
    <row r="401" customFormat="false" ht="12.8" hidden="false" customHeight="true" outlineLevel="0" collapsed="false">
      <c r="A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</row>
    <row r="402" customFormat="false" ht="12.8" hidden="false" customHeight="true" outlineLevel="0" collapsed="false">
      <c r="A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</row>
    <row r="403" customFormat="false" ht="12.8" hidden="false" customHeight="true" outlineLevel="0" collapsed="false">
      <c r="A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</row>
    <row r="404" customFormat="false" ht="12.8" hidden="false" customHeight="true" outlineLevel="0" collapsed="false">
      <c r="A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</row>
    <row r="405" customFormat="false" ht="12.8" hidden="false" customHeight="true" outlineLevel="0" collapsed="false">
      <c r="A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</row>
    <row r="406" customFormat="false" ht="12.8" hidden="false" customHeight="true" outlineLevel="0" collapsed="false">
      <c r="A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</row>
    <row r="407" customFormat="false" ht="12.8" hidden="false" customHeight="true" outlineLevel="0" collapsed="false">
      <c r="A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</row>
    <row r="408" customFormat="false" ht="12.8" hidden="false" customHeight="true" outlineLevel="0" collapsed="false">
      <c r="A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</row>
    <row r="409" customFormat="false" ht="12.8" hidden="false" customHeight="true" outlineLevel="0" collapsed="false">
      <c r="A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</row>
    <row r="410" customFormat="false" ht="12.8" hidden="false" customHeight="true" outlineLevel="0" collapsed="false">
      <c r="A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</row>
    <row r="411" customFormat="false" ht="12.8" hidden="false" customHeight="true" outlineLevel="0" collapsed="false">
      <c r="A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</row>
    <row r="412" customFormat="false" ht="12.8" hidden="false" customHeight="true" outlineLevel="0" collapsed="false">
      <c r="A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</row>
    <row r="413" customFormat="false" ht="12.8" hidden="false" customHeight="true" outlineLevel="0" collapsed="false">
      <c r="A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</row>
    <row r="414" customFormat="false" ht="12.8" hidden="false" customHeight="true" outlineLevel="0" collapsed="false">
      <c r="A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</row>
    <row r="415" customFormat="false" ht="12.8" hidden="false" customHeight="true" outlineLevel="0" collapsed="false">
      <c r="A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</row>
    <row r="416" customFormat="false" ht="12.8" hidden="false" customHeight="true" outlineLevel="0" collapsed="false">
      <c r="A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</row>
    <row r="417" customFormat="false" ht="12.8" hidden="false" customHeight="true" outlineLevel="0" collapsed="false">
      <c r="A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</row>
    <row r="418" customFormat="false" ht="12.8" hidden="false" customHeight="true" outlineLevel="0" collapsed="false">
      <c r="A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</row>
    <row r="419" customFormat="false" ht="12.8" hidden="false" customHeight="true" outlineLevel="0" collapsed="false">
      <c r="A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</row>
    <row r="420" customFormat="false" ht="12.8" hidden="false" customHeight="true" outlineLevel="0" collapsed="false">
      <c r="A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</row>
    <row r="421" customFormat="false" ht="12.8" hidden="false" customHeight="true" outlineLevel="0" collapsed="false">
      <c r="A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</row>
    <row r="422" customFormat="false" ht="12.8" hidden="false" customHeight="true" outlineLevel="0" collapsed="false">
      <c r="A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</row>
    <row r="423" customFormat="false" ht="12.8" hidden="false" customHeight="true" outlineLevel="0" collapsed="false">
      <c r="A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</row>
    <row r="424" customFormat="false" ht="12.8" hidden="false" customHeight="true" outlineLevel="0" collapsed="false">
      <c r="A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</row>
    <row r="425" customFormat="false" ht="12.8" hidden="false" customHeight="true" outlineLevel="0" collapsed="false">
      <c r="A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</row>
    <row r="426" customFormat="false" ht="12.8" hidden="false" customHeight="true" outlineLevel="0" collapsed="false">
      <c r="A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</row>
    <row r="427" customFormat="false" ht="12.8" hidden="false" customHeight="true" outlineLevel="0" collapsed="false">
      <c r="A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</row>
    <row r="428" customFormat="false" ht="12.8" hidden="false" customHeight="true" outlineLevel="0" collapsed="false">
      <c r="A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</row>
    <row r="429" customFormat="false" ht="12.8" hidden="false" customHeight="true" outlineLevel="0" collapsed="false">
      <c r="A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</row>
    <row r="430" customFormat="false" ht="12.8" hidden="false" customHeight="true" outlineLevel="0" collapsed="false">
      <c r="A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</row>
    <row r="431" customFormat="false" ht="12.8" hidden="false" customHeight="true" outlineLevel="0" collapsed="false">
      <c r="A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</row>
    <row r="432" customFormat="false" ht="12.8" hidden="false" customHeight="true" outlineLevel="0" collapsed="false">
      <c r="A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</row>
    <row r="433" customFormat="false" ht="12.8" hidden="false" customHeight="true" outlineLevel="0" collapsed="false">
      <c r="A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</row>
    <row r="434" customFormat="false" ht="12.8" hidden="false" customHeight="true" outlineLevel="0" collapsed="false">
      <c r="A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</row>
    <row r="435" customFormat="false" ht="12.8" hidden="false" customHeight="true" outlineLevel="0" collapsed="false">
      <c r="A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</row>
    <row r="436" customFormat="false" ht="12.8" hidden="false" customHeight="true" outlineLevel="0" collapsed="false">
      <c r="A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</row>
    <row r="437" customFormat="false" ht="12.8" hidden="false" customHeight="true" outlineLevel="0" collapsed="false">
      <c r="A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</row>
    <row r="438" customFormat="false" ht="12.8" hidden="false" customHeight="true" outlineLevel="0" collapsed="false">
      <c r="A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</row>
    <row r="439" customFormat="false" ht="12.8" hidden="false" customHeight="true" outlineLevel="0" collapsed="false">
      <c r="A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</row>
    <row r="440" customFormat="false" ht="12.8" hidden="false" customHeight="true" outlineLevel="0" collapsed="false">
      <c r="A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</row>
    <row r="441" customFormat="false" ht="12.8" hidden="false" customHeight="true" outlineLevel="0" collapsed="false">
      <c r="A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</row>
    <row r="442" customFormat="false" ht="12.8" hidden="false" customHeight="true" outlineLevel="0" collapsed="false">
      <c r="A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</row>
    <row r="443" customFormat="false" ht="12.8" hidden="false" customHeight="true" outlineLevel="0" collapsed="false">
      <c r="A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</row>
    <row r="444" customFormat="false" ht="12.8" hidden="false" customHeight="true" outlineLevel="0" collapsed="false">
      <c r="A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</row>
    <row r="445" customFormat="false" ht="12.8" hidden="false" customHeight="true" outlineLevel="0" collapsed="false">
      <c r="A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</row>
    <row r="446" customFormat="false" ht="12.8" hidden="false" customHeight="true" outlineLevel="0" collapsed="false">
      <c r="A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</row>
    <row r="447" customFormat="false" ht="12.8" hidden="false" customHeight="true" outlineLevel="0" collapsed="false">
      <c r="A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</row>
    <row r="448" customFormat="false" ht="12.8" hidden="false" customHeight="true" outlineLevel="0" collapsed="false">
      <c r="A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</row>
    <row r="449" customFormat="false" ht="12.8" hidden="false" customHeight="true" outlineLevel="0" collapsed="false">
      <c r="A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</row>
    <row r="450" customFormat="false" ht="12.8" hidden="false" customHeight="true" outlineLevel="0" collapsed="false">
      <c r="A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</row>
    <row r="451" customFormat="false" ht="12.8" hidden="false" customHeight="true" outlineLevel="0" collapsed="false">
      <c r="A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</row>
    <row r="452" customFormat="false" ht="12.8" hidden="false" customHeight="true" outlineLevel="0" collapsed="false">
      <c r="A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</row>
    <row r="453" customFormat="false" ht="12.8" hidden="false" customHeight="true" outlineLevel="0" collapsed="false">
      <c r="A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</row>
    <row r="454" customFormat="false" ht="12.8" hidden="false" customHeight="true" outlineLevel="0" collapsed="false">
      <c r="A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</row>
    <row r="455" customFormat="false" ht="12.8" hidden="false" customHeight="true" outlineLevel="0" collapsed="false">
      <c r="A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</row>
    <row r="456" customFormat="false" ht="12.8" hidden="false" customHeight="true" outlineLevel="0" collapsed="false">
      <c r="A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</row>
    <row r="457" customFormat="false" ht="12.8" hidden="false" customHeight="true" outlineLevel="0" collapsed="false">
      <c r="A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</row>
    <row r="458" customFormat="false" ht="12.8" hidden="false" customHeight="true" outlineLevel="0" collapsed="false">
      <c r="A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</row>
    <row r="459" customFormat="false" ht="12.8" hidden="false" customHeight="true" outlineLevel="0" collapsed="false">
      <c r="A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</row>
    <row r="460" customFormat="false" ht="12.8" hidden="false" customHeight="true" outlineLevel="0" collapsed="false">
      <c r="A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</row>
    <row r="461" customFormat="false" ht="12.8" hidden="false" customHeight="true" outlineLevel="0" collapsed="false">
      <c r="A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</row>
    <row r="462" customFormat="false" ht="12.8" hidden="false" customHeight="true" outlineLevel="0" collapsed="false">
      <c r="A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</row>
    <row r="463" customFormat="false" ht="12.8" hidden="false" customHeight="true" outlineLevel="0" collapsed="false">
      <c r="A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</row>
    <row r="464" customFormat="false" ht="12.8" hidden="false" customHeight="true" outlineLevel="0" collapsed="false">
      <c r="A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</row>
    <row r="465" customFormat="false" ht="12.8" hidden="false" customHeight="true" outlineLevel="0" collapsed="false">
      <c r="A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</row>
    <row r="466" customFormat="false" ht="12.8" hidden="false" customHeight="true" outlineLevel="0" collapsed="false">
      <c r="A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</row>
    <row r="467" customFormat="false" ht="12.8" hidden="false" customHeight="true" outlineLevel="0" collapsed="false">
      <c r="A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</row>
    <row r="468" customFormat="false" ht="12.8" hidden="false" customHeight="true" outlineLevel="0" collapsed="false">
      <c r="A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</row>
    <row r="469" customFormat="false" ht="12.8" hidden="false" customHeight="true" outlineLevel="0" collapsed="false">
      <c r="A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</row>
    <row r="470" customFormat="false" ht="12.8" hidden="false" customHeight="true" outlineLevel="0" collapsed="false">
      <c r="A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</row>
    <row r="471" customFormat="false" ht="12.8" hidden="false" customHeight="true" outlineLevel="0" collapsed="false">
      <c r="A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</row>
    <row r="472" customFormat="false" ht="12.8" hidden="false" customHeight="true" outlineLevel="0" collapsed="false">
      <c r="A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</row>
    <row r="473" customFormat="false" ht="12.8" hidden="false" customHeight="true" outlineLevel="0" collapsed="false">
      <c r="A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</row>
    <row r="474" customFormat="false" ht="12.8" hidden="false" customHeight="true" outlineLevel="0" collapsed="false">
      <c r="A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</row>
    <row r="475" customFormat="false" ht="12.8" hidden="false" customHeight="true" outlineLevel="0" collapsed="false">
      <c r="A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</row>
    <row r="476" customFormat="false" ht="12.8" hidden="false" customHeight="true" outlineLevel="0" collapsed="false">
      <c r="A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</row>
    <row r="477" customFormat="false" ht="12.8" hidden="false" customHeight="true" outlineLevel="0" collapsed="false">
      <c r="A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</row>
    <row r="478" customFormat="false" ht="12.8" hidden="false" customHeight="true" outlineLevel="0" collapsed="false">
      <c r="A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</row>
    <row r="479" customFormat="false" ht="12.8" hidden="false" customHeight="true" outlineLevel="0" collapsed="false">
      <c r="A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</row>
    <row r="480" customFormat="false" ht="12.8" hidden="false" customHeight="true" outlineLevel="0" collapsed="false">
      <c r="A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</row>
    <row r="481" customFormat="false" ht="12.8" hidden="false" customHeight="true" outlineLevel="0" collapsed="false">
      <c r="A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</row>
    <row r="482" customFormat="false" ht="12.8" hidden="false" customHeight="true" outlineLevel="0" collapsed="false">
      <c r="A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</row>
    <row r="483" customFormat="false" ht="12.8" hidden="false" customHeight="true" outlineLevel="0" collapsed="false">
      <c r="A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</row>
    <row r="484" customFormat="false" ht="12.8" hidden="false" customHeight="true" outlineLevel="0" collapsed="false">
      <c r="A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</row>
    <row r="485" customFormat="false" ht="12.8" hidden="false" customHeight="true" outlineLevel="0" collapsed="false">
      <c r="A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</row>
    <row r="486" customFormat="false" ht="12.8" hidden="false" customHeight="true" outlineLevel="0" collapsed="false">
      <c r="A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</row>
    <row r="487" customFormat="false" ht="12.8" hidden="false" customHeight="true" outlineLevel="0" collapsed="false">
      <c r="A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</row>
    <row r="488" customFormat="false" ht="12.8" hidden="false" customHeight="true" outlineLevel="0" collapsed="false">
      <c r="A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</row>
    <row r="489" customFormat="false" ht="12.8" hidden="false" customHeight="true" outlineLevel="0" collapsed="false">
      <c r="A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</row>
    <row r="490" customFormat="false" ht="12.8" hidden="false" customHeight="true" outlineLevel="0" collapsed="false">
      <c r="A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</row>
    <row r="491" customFormat="false" ht="12.8" hidden="false" customHeight="true" outlineLevel="0" collapsed="false">
      <c r="A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</row>
    <row r="492" customFormat="false" ht="12.8" hidden="false" customHeight="true" outlineLevel="0" collapsed="false">
      <c r="A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</row>
    <row r="493" customFormat="false" ht="12.8" hidden="false" customHeight="true" outlineLevel="0" collapsed="false">
      <c r="A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</row>
    <row r="494" customFormat="false" ht="12.8" hidden="false" customHeight="true" outlineLevel="0" collapsed="false">
      <c r="A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</row>
    <row r="495" customFormat="false" ht="12.8" hidden="false" customHeight="true" outlineLevel="0" collapsed="false">
      <c r="A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</row>
    <row r="496" customFormat="false" ht="12.8" hidden="false" customHeight="true" outlineLevel="0" collapsed="false">
      <c r="A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</row>
    <row r="497" customFormat="false" ht="12.8" hidden="false" customHeight="true" outlineLevel="0" collapsed="false">
      <c r="A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</row>
    <row r="498" customFormat="false" ht="12.8" hidden="false" customHeight="true" outlineLevel="0" collapsed="false">
      <c r="A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</row>
    <row r="499" customFormat="false" ht="12.8" hidden="false" customHeight="true" outlineLevel="0" collapsed="false">
      <c r="A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</row>
    <row r="500" customFormat="false" ht="12.8" hidden="false" customHeight="true" outlineLevel="0" collapsed="false">
      <c r="A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</row>
    <row r="501" customFormat="false" ht="12.8" hidden="false" customHeight="true" outlineLevel="0" collapsed="false">
      <c r="A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</row>
    <row r="502" customFormat="false" ht="12.8" hidden="false" customHeight="true" outlineLevel="0" collapsed="false">
      <c r="A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</row>
    <row r="503" customFormat="false" ht="12.8" hidden="false" customHeight="true" outlineLevel="0" collapsed="false">
      <c r="A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</row>
    <row r="504" customFormat="false" ht="12.8" hidden="false" customHeight="true" outlineLevel="0" collapsed="false">
      <c r="A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</row>
    <row r="505" customFormat="false" ht="12.8" hidden="false" customHeight="true" outlineLevel="0" collapsed="false">
      <c r="A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</row>
    <row r="506" customFormat="false" ht="12.8" hidden="false" customHeight="true" outlineLevel="0" collapsed="false">
      <c r="A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</row>
    <row r="507" customFormat="false" ht="12.8" hidden="false" customHeight="true" outlineLevel="0" collapsed="false">
      <c r="A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</row>
    <row r="508" customFormat="false" ht="12.8" hidden="false" customHeight="true" outlineLevel="0" collapsed="false">
      <c r="A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</row>
    <row r="509" customFormat="false" ht="12.8" hidden="false" customHeight="true" outlineLevel="0" collapsed="false">
      <c r="A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</row>
    <row r="510" customFormat="false" ht="12.8" hidden="false" customHeight="true" outlineLevel="0" collapsed="false">
      <c r="A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</row>
    <row r="511" customFormat="false" ht="12.8" hidden="false" customHeight="true" outlineLevel="0" collapsed="false">
      <c r="A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</row>
    <row r="512" customFormat="false" ht="12.8" hidden="false" customHeight="true" outlineLevel="0" collapsed="false">
      <c r="A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</row>
    <row r="513" customFormat="false" ht="12.8" hidden="false" customHeight="true" outlineLevel="0" collapsed="false">
      <c r="A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</row>
    <row r="514" customFormat="false" ht="12.8" hidden="false" customHeight="true" outlineLevel="0" collapsed="false">
      <c r="A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</row>
    <row r="515" customFormat="false" ht="12.8" hidden="false" customHeight="true" outlineLevel="0" collapsed="false">
      <c r="A515" s="16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</row>
    <row r="516" customFormat="false" ht="12.8" hidden="false" customHeight="true" outlineLevel="0" collapsed="false">
      <c r="A516" s="16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</row>
    <row r="517" customFormat="false" ht="12.8" hidden="false" customHeight="true" outlineLevel="0" collapsed="false">
      <c r="A517" s="16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</row>
    <row r="518" customFormat="false" ht="12.8" hidden="false" customHeight="true" outlineLevel="0" collapsed="false">
      <c r="A518" s="16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</row>
    <row r="519" customFormat="false" ht="12.8" hidden="false" customHeight="true" outlineLevel="0" collapsed="false">
      <c r="A519" s="16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</row>
    <row r="520" customFormat="false" ht="12.8" hidden="false" customHeight="true" outlineLevel="0" collapsed="false">
      <c r="A520" s="16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</row>
    <row r="521" customFormat="false" ht="12.8" hidden="false" customHeight="true" outlineLevel="0" collapsed="false">
      <c r="A521" s="16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</row>
    <row r="522" customFormat="false" ht="12.8" hidden="false" customHeight="true" outlineLevel="0" collapsed="false">
      <c r="A522" s="16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</row>
    <row r="523" customFormat="false" ht="12.8" hidden="false" customHeight="true" outlineLevel="0" collapsed="false">
      <c r="A523" s="16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</row>
    <row r="524" customFormat="false" ht="12.8" hidden="false" customHeight="true" outlineLevel="0" collapsed="false">
      <c r="A524" s="16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</row>
    <row r="525" customFormat="false" ht="12.8" hidden="false" customHeight="true" outlineLevel="0" collapsed="false">
      <c r="A525" s="16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</row>
    <row r="526" customFormat="false" ht="12.8" hidden="false" customHeight="true" outlineLevel="0" collapsed="false">
      <c r="A526" s="16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</row>
    <row r="527" customFormat="false" ht="12.8" hidden="false" customHeight="true" outlineLevel="0" collapsed="false">
      <c r="A527" s="16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</row>
    <row r="528" customFormat="false" ht="12.8" hidden="false" customHeight="true" outlineLevel="0" collapsed="false">
      <c r="A528" s="16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</row>
    <row r="529" customFormat="false" ht="12.8" hidden="false" customHeight="true" outlineLevel="0" collapsed="false">
      <c r="A529" s="16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</row>
    <row r="530" customFormat="false" ht="12.8" hidden="false" customHeight="true" outlineLevel="0" collapsed="false">
      <c r="A530" s="16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</row>
    <row r="531" customFormat="false" ht="12.8" hidden="false" customHeight="true" outlineLevel="0" collapsed="false">
      <c r="A531" s="16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</row>
    <row r="532" customFormat="false" ht="12.8" hidden="false" customHeight="true" outlineLevel="0" collapsed="false">
      <c r="A532" s="16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</row>
    <row r="533" customFormat="false" ht="12.8" hidden="false" customHeight="true" outlineLevel="0" collapsed="false">
      <c r="A533" s="16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</row>
    <row r="534" customFormat="false" ht="12.8" hidden="false" customHeight="true" outlineLevel="0" collapsed="false">
      <c r="A534" s="16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</row>
    <row r="535" customFormat="false" ht="12.8" hidden="false" customHeight="true" outlineLevel="0" collapsed="false">
      <c r="A535" s="16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</row>
    <row r="536" customFormat="false" ht="12.8" hidden="false" customHeight="true" outlineLevel="0" collapsed="false">
      <c r="A536" s="16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</row>
    <row r="537" customFormat="false" ht="12.8" hidden="false" customHeight="true" outlineLevel="0" collapsed="false">
      <c r="A537" s="16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</row>
    <row r="538" customFormat="false" ht="12.8" hidden="false" customHeight="true" outlineLevel="0" collapsed="false">
      <c r="A538" s="16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</row>
    <row r="539" customFormat="false" ht="12.8" hidden="false" customHeight="true" outlineLevel="0" collapsed="false">
      <c r="A539" s="16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</row>
    <row r="540" customFormat="false" ht="12.8" hidden="false" customHeight="true" outlineLevel="0" collapsed="false">
      <c r="A540" s="16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</row>
    <row r="541" customFormat="false" ht="12.8" hidden="false" customHeight="true" outlineLevel="0" collapsed="false">
      <c r="A541" s="16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</row>
    <row r="542" customFormat="false" ht="12.8" hidden="false" customHeight="true" outlineLevel="0" collapsed="false">
      <c r="A542" s="16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</row>
    <row r="543" customFormat="false" ht="12.8" hidden="false" customHeight="true" outlineLevel="0" collapsed="false">
      <c r="A543" s="16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</row>
    <row r="544" customFormat="false" ht="12.8" hidden="false" customHeight="true" outlineLevel="0" collapsed="false">
      <c r="A544" s="16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</row>
    <row r="545" customFormat="false" ht="12.8" hidden="false" customHeight="true" outlineLevel="0" collapsed="false">
      <c r="A545" s="16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</row>
    <row r="546" customFormat="false" ht="12.8" hidden="false" customHeight="true" outlineLevel="0" collapsed="false">
      <c r="A546" s="16"/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</row>
    <row r="547" customFormat="false" ht="12.8" hidden="false" customHeight="true" outlineLevel="0" collapsed="false">
      <c r="A547" s="16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</row>
    <row r="548" customFormat="false" ht="12.8" hidden="false" customHeight="true" outlineLevel="0" collapsed="false">
      <c r="A548" s="16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</row>
    <row r="549" customFormat="false" ht="12.8" hidden="false" customHeight="true" outlineLevel="0" collapsed="false">
      <c r="A549" s="16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</row>
    <row r="550" customFormat="false" ht="12.8" hidden="false" customHeight="true" outlineLevel="0" collapsed="false">
      <c r="A550" s="16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</row>
    <row r="551" customFormat="false" ht="12.8" hidden="false" customHeight="true" outlineLevel="0" collapsed="false">
      <c r="A551" s="16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</row>
    <row r="552" customFormat="false" ht="12.8" hidden="false" customHeight="true" outlineLevel="0" collapsed="false">
      <c r="A552" s="16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</row>
    <row r="553" customFormat="false" ht="12.8" hidden="false" customHeight="true" outlineLevel="0" collapsed="false">
      <c r="A553" s="16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</row>
    <row r="554" customFormat="false" ht="12.8" hidden="false" customHeight="true" outlineLevel="0" collapsed="false">
      <c r="A554" s="16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</row>
    <row r="555" customFormat="false" ht="12.8" hidden="false" customHeight="true" outlineLevel="0" collapsed="false">
      <c r="A555" s="16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</row>
    <row r="556" customFormat="false" ht="12.8" hidden="false" customHeight="true" outlineLevel="0" collapsed="false">
      <c r="A556" s="16"/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</row>
    <row r="557" customFormat="false" ht="12.8" hidden="false" customHeight="true" outlineLevel="0" collapsed="false">
      <c r="A557" s="16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</row>
    <row r="558" customFormat="false" ht="12.8" hidden="false" customHeight="true" outlineLevel="0" collapsed="false">
      <c r="A558" s="16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</row>
    <row r="559" customFormat="false" ht="12.8" hidden="false" customHeight="true" outlineLevel="0" collapsed="false">
      <c r="A559" s="16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</row>
    <row r="560" customFormat="false" ht="12.8" hidden="false" customHeight="true" outlineLevel="0" collapsed="false">
      <c r="A560" s="16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</row>
    <row r="561" customFormat="false" ht="12.8" hidden="false" customHeight="true" outlineLevel="0" collapsed="false">
      <c r="A561" s="16"/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</row>
    <row r="562" customFormat="false" ht="12.8" hidden="false" customHeight="true" outlineLevel="0" collapsed="false">
      <c r="A562" s="16"/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</row>
    <row r="563" customFormat="false" ht="12.8" hidden="false" customHeight="true" outlineLevel="0" collapsed="false">
      <c r="A563" s="16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</row>
    <row r="564" customFormat="false" ht="12.8" hidden="false" customHeight="true" outlineLevel="0" collapsed="false">
      <c r="A564" s="16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</row>
    <row r="565" customFormat="false" ht="12.8" hidden="false" customHeight="true" outlineLevel="0" collapsed="false">
      <c r="A565" s="16"/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</row>
    <row r="566" customFormat="false" ht="12.8" hidden="false" customHeight="true" outlineLevel="0" collapsed="false">
      <c r="A566" s="16"/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</row>
    <row r="567" customFormat="false" ht="12.8" hidden="false" customHeight="true" outlineLevel="0" collapsed="false">
      <c r="A567" s="16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</row>
    <row r="568" customFormat="false" ht="12.8" hidden="false" customHeight="true" outlineLevel="0" collapsed="false">
      <c r="A568" s="16"/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</row>
    <row r="569" customFormat="false" ht="12.8" hidden="false" customHeight="true" outlineLevel="0" collapsed="false">
      <c r="A569" s="16"/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</row>
    <row r="570" customFormat="false" ht="12.8" hidden="false" customHeight="true" outlineLevel="0" collapsed="false">
      <c r="A570" s="16"/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</row>
    <row r="571" customFormat="false" ht="12.8" hidden="false" customHeight="true" outlineLevel="0" collapsed="false">
      <c r="A571" s="16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</row>
    <row r="572" customFormat="false" ht="12.8" hidden="false" customHeight="true" outlineLevel="0" collapsed="false">
      <c r="A572" s="16"/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</row>
    <row r="573" customFormat="false" ht="12.8" hidden="false" customHeight="true" outlineLevel="0" collapsed="false">
      <c r="A573" s="16"/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</row>
    <row r="574" customFormat="false" ht="12.8" hidden="false" customHeight="true" outlineLevel="0" collapsed="false">
      <c r="A574" s="16"/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</row>
    <row r="575" customFormat="false" ht="12.8" hidden="false" customHeight="true" outlineLevel="0" collapsed="false">
      <c r="A575" s="16"/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</row>
    <row r="576" customFormat="false" ht="12.8" hidden="false" customHeight="true" outlineLevel="0" collapsed="false">
      <c r="A576" s="16"/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</row>
    <row r="577" customFormat="false" ht="12.8" hidden="false" customHeight="true" outlineLevel="0" collapsed="false">
      <c r="A577" s="16"/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</row>
    <row r="578" customFormat="false" ht="12.8" hidden="false" customHeight="true" outlineLevel="0" collapsed="false">
      <c r="A578" s="16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</row>
    <row r="579" customFormat="false" ht="12.8" hidden="false" customHeight="true" outlineLevel="0" collapsed="false">
      <c r="A579" s="16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</row>
    <row r="580" customFormat="false" ht="12.8" hidden="false" customHeight="true" outlineLevel="0" collapsed="false">
      <c r="A580" s="16"/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</row>
    <row r="581" customFormat="false" ht="12.8" hidden="false" customHeight="true" outlineLevel="0" collapsed="false">
      <c r="A581" s="16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</row>
    <row r="582" customFormat="false" ht="12.8" hidden="false" customHeight="true" outlineLevel="0" collapsed="false">
      <c r="A582" s="16"/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</row>
    <row r="583" customFormat="false" ht="12.8" hidden="false" customHeight="true" outlineLevel="0" collapsed="false">
      <c r="A583" s="16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</row>
    <row r="584" customFormat="false" ht="12.8" hidden="false" customHeight="true" outlineLevel="0" collapsed="false">
      <c r="A584" s="16"/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</row>
    <row r="585" customFormat="false" ht="12.8" hidden="false" customHeight="true" outlineLevel="0" collapsed="false">
      <c r="A585" s="16"/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</row>
    <row r="586" customFormat="false" ht="12.8" hidden="false" customHeight="true" outlineLevel="0" collapsed="false">
      <c r="A586" s="16"/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</row>
    <row r="587" customFormat="false" ht="12.8" hidden="false" customHeight="true" outlineLevel="0" collapsed="false">
      <c r="A587" s="16"/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</row>
    <row r="588" customFormat="false" ht="12.8" hidden="false" customHeight="true" outlineLevel="0" collapsed="false">
      <c r="A588" s="16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</row>
    <row r="589" customFormat="false" ht="12.8" hidden="false" customHeight="true" outlineLevel="0" collapsed="false">
      <c r="A589" s="16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</row>
    <row r="590" customFormat="false" ht="12.8" hidden="false" customHeight="true" outlineLevel="0" collapsed="false">
      <c r="A590" s="16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</row>
    <row r="591" customFormat="false" ht="12.8" hidden="false" customHeight="true" outlineLevel="0" collapsed="false">
      <c r="A591" s="16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</row>
    <row r="592" customFormat="false" ht="12.8" hidden="false" customHeight="true" outlineLevel="0" collapsed="false">
      <c r="A592" s="16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</row>
    <row r="593" customFormat="false" ht="12.8" hidden="false" customHeight="true" outlineLevel="0" collapsed="false">
      <c r="A593" s="16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</row>
    <row r="594" customFormat="false" ht="12.8" hidden="false" customHeight="true" outlineLevel="0" collapsed="false">
      <c r="A594" s="16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</row>
    <row r="595" customFormat="false" ht="12.8" hidden="false" customHeight="true" outlineLevel="0" collapsed="false">
      <c r="A595" s="16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</row>
    <row r="596" customFormat="false" ht="12.8" hidden="false" customHeight="true" outlineLevel="0" collapsed="false">
      <c r="A596" s="16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</row>
    <row r="597" customFormat="false" ht="12.8" hidden="false" customHeight="true" outlineLevel="0" collapsed="false">
      <c r="A597" s="16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</row>
    <row r="598" customFormat="false" ht="12.8" hidden="false" customHeight="true" outlineLevel="0" collapsed="false">
      <c r="A598" s="16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</row>
    <row r="599" customFormat="false" ht="12.8" hidden="false" customHeight="true" outlineLevel="0" collapsed="false">
      <c r="A599" s="16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</row>
    <row r="600" customFormat="false" ht="12.8" hidden="false" customHeight="true" outlineLevel="0" collapsed="false">
      <c r="A600" s="16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</row>
    <row r="601" customFormat="false" ht="12.8" hidden="false" customHeight="true" outlineLevel="0" collapsed="false">
      <c r="A601" s="16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</row>
    <row r="602" customFormat="false" ht="12.8" hidden="false" customHeight="true" outlineLevel="0" collapsed="false">
      <c r="A602" s="16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</row>
    <row r="603" customFormat="false" ht="12.8" hidden="false" customHeight="true" outlineLevel="0" collapsed="false">
      <c r="A603" s="16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</row>
    <row r="604" customFormat="false" ht="12.8" hidden="false" customHeight="true" outlineLevel="0" collapsed="false">
      <c r="A604" s="16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</row>
    <row r="605" customFormat="false" ht="12.8" hidden="false" customHeight="true" outlineLevel="0" collapsed="false">
      <c r="A605" s="16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</row>
    <row r="606" customFormat="false" ht="12.8" hidden="false" customHeight="true" outlineLevel="0" collapsed="false">
      <c r="A606" s="16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</row>
    <row r="607" customFormat="false" ht="12.8" hidden="false" customHeight="true" outlineLevel="0" collapsed="false">
      <c r="A607" s="16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</row>
    <row r="608" customFormat="false" ht="12.8" hidden="false" customHeight="true" outlineLevel="0" collapsed="false">
      <c r="A608" s="16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</row>
    <row r="609" customFormat="false" ht="12.8" hidden="false" customHeight="true" outlineLevel="0" collapsed="false">
      <c r="A609" s="16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</row>
    <row r="610" customFormat="false" ht="12.8" hidden="false" customHeight="true" outlineLevel="0" collapsed="false">
      <c r="A610" s="16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</row>
    <row r="611" customFormat="false" ht="12.8" hidden="false" customHeight="true" outlineLevel="0" collapsed="false">
      <c r="A611" s="16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</row>
    <row r="612" customFormat="false" ht="12.8" hidden="false" customHeight="true" outlineLevel="0" collapsed="false">
      <c r="A612" s="16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</row>
    <row r="613" customFormat="false" ht="12.8" hidden="false" customHeight="true" outlineLevel="0" collapsed="false">
      <c r="A613" s="16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</row>
    <row r="614" customFormat="false" ht="12.8" hidden="false" customHeight="true" outlineLevel="0" collapsed="false">
      <c r="A614" s="16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</row>
    <row r="615" customFormat="false" ht="12.8" hidden="false" customHeight="true" outlineLevel="0" collapsed="false">
      <c r="A615" s="16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</row>
    <row r="616" customFormat="false" ht="12.8" hidden="false" customHeight="true" outlineLevel="0" collapsed="false">
      <c r="A616" s="16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</row>
    <row r="617" customFormat="false" ht="12.8" hidden="false" customHeight="true" outlineLevel="0" collapsed="false">
      <c r="A617" s="16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</row>
    <row r="618" customFormat="false" ht="12.8" hidden="false" customHeight="true" outlineLevel="0" collapsed="false">
      <c r="A618" s="16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</row>
    <row r="619" customFormat="false" ht="12.8" hidden="false" customHeight="true" outlineLevel="0" collapsed="false">
      <c r="A619" s="16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</row>
    <row r="620" customFormat="false" ht="12.8" hidden="false" customHeight="true" outlineLevel="0" collapsed="false">
      <c r="A620" s="16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</row>
    <row r="621" customFormat="false" ht="12.8" hidden="false" customHeight="true" outlineLevel="0" collapsed="false">
      <c r="A621" s="16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</row>
    <row r="622" customFormat="false" ht="12.8" hidden="false" customHeight="true" outlineLevel="0" collapsed="false">
      <c r="A622" s="16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</row>
    <row r="623" customFormat="false" ht="12.8" hidden="false" customHeight="true" outlineLevel="0" collapsed="false">
      <c r="A623" s="16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</row>
    <row r="624" customFormat="false" ht="12.8" hidden="false" customHeight="true" outlineLevel="0" collapsed="false">
      <c r="A624" s="16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</row>
    <row r="625" customFormat="false" ht="12.8" hidden="false" customHeight="true" outlineLevel="0" collapsed="false">
      <c r="A625" s="16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</row>
    <row r="626" customFormat="false" ht="12.8" hidden="false" customHeight="true" outlineLevel="0" collapsed="false">
      <c r="A626" s="16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</row>
    <row r="627" customFormat="false" ht="12.8" hidden="false" customHeight="true" outlineLevel="0" collapsed="false">
      <c r="A627" s="16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</row>
    <row r="628" customFormat="false" ht="12.8" hidden="false" customHeight="true" outlineLevel="0" collapsed="false">
      <c r="A628" s="16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</row>
    <row r="629" customFormat="false" ht="12.8" hidden="false" customHeight="true" outlineLevel="0" collapsed="false">
      <c r="A629" s="16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</row>
    <row r="630" customFormat="false" ht="12.8" hidden="false" customHeight="true" outlineLevel="0" collapsed="false">
      <c r="A630" s="16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</row>
    <row r="631" customFormat="false" ht="12.8" hidden="false" customHeight="true" outlineLevel="0" collapsed="false">
      <c r="A631" s="16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</row>
    <row r="632" customFormat="false" ht="12.8" hidden="false" customHeight="true" outlineLevel="0" collapsed="false">
      <c r="A632" s="16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</row>
    <row r="633" customFormat="false" ht="12.8" hidden="false" customHeight="true" outlineLevel="0" collapsed="false">
      <c r="A633" s="16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</row>
    <row r="634" customFormat="false" ht="12.8" hidden="false" customHeight="true" outlineLevel="0" collapsed="false">
      <c r="A634" s="16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</row>
    <row r="635" customFormat="false" ht="12.8" hidden="false" customHeight="true" outlineLevel="0" collapsed="false">
      <c r="A635" s="16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</row>
    <row r="636" customFormat="false" ht="12.8" hidden="false" customHeight="true" outlineLevel="0" collapsed="false">
      <c r="A636" s="16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</row>
    <row r="637" customFormat="false" ht="12.8" hidden="false" customHeight="true" outlineLevel="0" collapsed="false">
      <c r="A637" s="16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</row>
    <row r="638" customFormat="false" ht="12.8" hidden="false" customHeight="true" outlineLevel="0" collapsed="false">
      <c r="A638" s="16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</row>
    <row r="639" customFormat="false" ht="12.8" hidden="false" customHeight="true" outlineLevel="0" collapsed="false">
      <c r="A639" s="16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</row>
    <row r="640" customFormat="false" ht="12.8" hidden="false" customHeight="true" outlineLevel="0" collapsed="false">
      <c r="A640" s="16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</row>
    <row r="641" customFormat="false" ht="12.8" hidden="false" customHeight="true" outlineLevel="0" collapsed="false">
      <c r="A641" s="16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</row>
    <row r="642" customFormat="false" ht="12.8" hidden="false" customHeight="true" outlineLevel="0" collapsed="false">
      <c r="A642" s="16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</row>
    <row r="643" customFormat="false" ht="12.8" hidden="false" customHeight="true" outlineLevel="0" collapsed="false">
      <c r="A643" s="16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</row>
    <row r="644" customFormat="false" ht="12.8" hidden="false" customHeight="true" outlineLevel="0" collapsed="false">
      <c r="A644" s="16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</row>
    <row r="645" customFormat="false" ht="12.8" hidden="false" customHeight="true" outlineLevel="0" collapsed="false">
      <c r="A645" s="16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</row>
    <row r="646" customFormat="false" ht="12.8" hidden="false" customHeight="true" outlineLevel="0" collapsed="false">
      <c r="A646" s="16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</row>
    <row r="647" customFormat="false" ht="12.8" hidden="false" customHeight="true" outlineLevel="0" collapsed="false">
      <c r="A647" s="16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</row>
    <row r="648" customFormat="false" ht="12.8" hidden="false" customHeight="true" outlineLevel="0" collapsed="false">
      <c r="A648" s="16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</row>
    <row r="649" customFormat="false" ht="12.8" hidden="false" customHeight="true" outlineLevel="0" collapsed="false">
      <c r="A649" s="16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</row>
    <row r="650" customFormat="false" ht="12.8" hidden="false" customHeight="true" outlineLevel="0" collapsed="false">
      <c r="A650" s="16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</row>
    <row r="651" customFormat="false" ht="12.8" hidden="false" customHeight="true" outlineLevel="0" collapsed="false">
      <c r="A651" s="16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</row>
    <row r="652" customFormat="false" ht="12.8" hidden="false" customHeight="true" outlineLevel="0" collapsed="false">
      <c r="A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</row>
    <row r="653" customFormat="false" ht="12.8" hidden="false" customHeight="true" outlineLevel="0" collapsed="false">
      <c r="A653" s="16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</row>
    <row r="654" customFormat="false" ht="12.8" hidden="false" customHeight="true" outlineLevel="0" collapsed="false">
      <c r="A654" s="16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</row>
    <row r="655" customFormat="false" ht="12.8" hidden="false" customHeight="true" outlineLevel="0" collapsed="false">
      <c r="A655" s="16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</row>
    <row r="656" customFormat="false" ht="12.8" hidden="false" customHeight="true" outlineLevel="0" collapsed="false">
      <c r="A656" s="16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</row>
    <row r="657" customFormat="false" ht="12.8" hidden="false" customHeight="true" outlineLevel="0" collapsed="false">
      <c r="A657" s="16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</row>
    <row r="658" customFormat="false" ht="12.8" hidden="false" customHeight="true" outlineLevel="0" collapsed="false">
      <c r="A658" s="16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</row>
    <row r="659" customFormat="false" ht="12.8" hidden="false" customHeight="true" outlineLevel="0" collapsed="false">
      <c r="A659" s="16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</row>
    <row r="660" customFormat="false" ht="12.8" hidden="false" customHeight="true" outlineLevel="0" collapsed="false">
      <c r="A660" s="16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</row>
    <row r="661" customFormat="false" ht="12.8" hidden="false" customHeight="true" outlineLevel="0" collapsed="false">
      <c r="A661" s="16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</row>
    <row r="662" customFormat="false" ht="12.8" hidden="false" customHeight="true" outlineLevel="0" collapsed="false">
      <c r="A662" s="16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</row>
    <row r="663" customFormat="false" ht="12.8" hidden="false" customHeight="true" outlineLevel="0" collapsed="false">
      <c r="A663" s="16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</row>
    <row r="664" customFormat="false" ht="12.8" hidden="false" customHeight="true" outlineLevel="0" collapsed="false">
      <c r="A664" s="16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</row>
    <row r="665" customFormat="false" ht="12.8" hidden="false" customHeight="true" outlineLevel="0" collapsed="false">
      <c r="A665" s="16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</row>
    <row r="666" customFormat="false" ht="12.8" hidden="false" customHeight="true" outlineLevel="0" collapsed="false">
      <c r="A666" s="16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</row>
    <row r="667" customFormat="false" ht="12.8" hidden="false" customHeight="true" outlineLevel="0" collapsed="false">
      <c r="A667" s="16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</row>
    <row r="668" customFormat="false" ht="12.8" hidden="false" customHeight="true" outlineLevel="0" collapsed="false">
      <c r="A668" s="16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</row>
    <row r="669" customFormat="false" ht="12.8" hidden="false" customHeight="true" outlineLevel="0" collapsed="false">
      <c r="A669" s="16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</row>
    <row r="670" customFormat="false" ht="12.8" hidden="false" customHeight="true" outlineLevel="0" collapsed="false">
      <c r="A670" s="16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</row>
    <row r="671" customFormat="false" ht="12.8" hidden="false" customHeight="true" outlineLevel="0" collapsed="false">
      <c r="A671" s="16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</row>
    <row r="672" customFormat="false" ht="12.8" hidden="false" customHeight="true" outlineLevel="0" collapsed="false">
      <c r="A672" s="16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</row>
    <row r="673" customFormat="false" ht="12.8" hidden="false" customHeight="true" outlineLevel="0" collapsed="false">
      <c r="A673" s="16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</row>
    <row r="674" customFormat="false" ht="12.8" hidden="false" customHeight="true" outlineLevel="0" collapsed="false">
      <c r="A674" s="16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</row>
    <row r="675" customFormat="false" ht="12.8" hidden="false" customHeight="true" outlineLevel="0" collapsed="false">
      <c r="A675" s="16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</row>
    <row r="676" customFormat="false" ht="12.8" hidden="false" customHeight="true" outlineLevel="0" collapsed="false">
      <c r="A676" s="16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</row>
    <row r="677" customFormat="false" ht="12.8" hidden="false" customHeight="true" outlineLevel="0" collapsed="false">
      <c r="A677" s="16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</row>
    <row r="678" customFormat="false" ht="12.8" hidden="false" customHeight="true" outlineLevel="0" collapsed="false">
      <c r="A678" s="16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</row>
    <row r="679" customFormat="false" ht="12.8" hidden="false" customHeight="true" outlineLevel="0" collapsed="false">
      <c r="A679" s="16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</row>
    <row r="680" customFormat="false" ht="12.8" hidden="false" customHeight="true" outlineLevel="0" collapsed="false">
      <c r="A680" s="16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</row>
    <row r="681" customFormat="false" ht="12.8" hidden="false" customHeight="true" outlineLevel="0" collapsed="false">
      <c r="A681" s="16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</row>
    <row r="682" customFormat="false" ht="12.8" hidden="false" customHeight="true" outlineLevel="0" collapsed="false">
      <c r="A682" s="16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</row>
    <row r="683" customFormat="false" ht="12.8" hidden="false" customHeight="true" outlineLevel="0" collapsed="false">
      <c r="A683" s="16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</row>
    <row r="684" customFormat="false" ht="12.8" hidden="false" customHeight="true" outlineLevel="0" collapsed="false">
      <c r="A684" s="16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</row>
    <row r="685" customFormat="false" ht="12.8" hidden="false" customHeight="true" outlineLevel="0" collapsed="false">
      <c r="A685" s="16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</row>
    <row r="686" customFormat="false" ht="12.8" hidden="false" customHeight="true" outlineLevel="0" collapsed="false">
      <c r="A686" s="16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</row>
    <row r="687" customFormat="false" ht="12.8" hidden="false" customHeight="true" outlineLevel="0" collapsed="false">
      <c r="A687" s="16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</row>
    <row r="688" customFormat="false" ht="12.8" hidden="false" customHeight="true" outlineLevel="0" collapsed="false">
      <c r="A688" s="16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</row>
    <row r="689" customFormat="false" ht="12.8" hidden="false" customHeight="true" outlineLevel="0" collapsed="false">
      <c r="A689" s="16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</row>
    <row r="690" customFormat="false" ht="12.8" hidden="false" customHeight="true" outlineLevel="0" collapsed="false">
      <c r="A690" s="16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</row>
    <row r="691" customFormat="false" ht="12.8" hidden="false" customHeight="true" outlineLevel="0" collapsed="false">
      <c r="A691" s="16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</row>
    <row r="692" customFormat="false" ht="12.8" hidden="false" customHeight="true" outlineLevel="0" collapsed="false">
      <c r="A692" s="16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</row>
    <row r="693" customFormat="false" ht="12.8" hidden="false" customHeight="true" outlineLevel="0" collapsed="false">
      <c r="A693" s="16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</row>
    <row r="694" customFormat="false" ht="12.8" hidden="false" customHeight="true" outlineLevel="0" collapsed="false">
      <c r="A694" s="16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</row>
    <row r="695" customFormat="false" ht="12.8" hidden="false" customHeight="true" outlineLevel="0" collapsed="false">
      <c r="A695" s="16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</row>
    <row r="696" customFormat="false" ht="12.8" hidden="false" customHeight="true" outlineLevel="0" collapsed="false">
      <c r="A696" s="16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</row>
    <row r="697" customFormat="false" ht="12.8" hidden="false" customHeight="true" outlineLevel="0" collapsed="false">
      <c r="A697" s="16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</row>
    <row r="698" customFormat="false" ht="12.8" hidden="false" customHeight="true" outlineLevel="0" collapsed="false">
      <c r="A698" s="16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</row>
    <row r="699" customFormat="false" ht="12.8" hidden="false" customHeight="true" outlineLevel="0" collapsed="false">
      <c r="A699" s="16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</row>
    <row r="700" customFormat="false" ht="12.8" hidden="false" customHeight="true" outlineLevel="0" collapsed="false">
      <c r="A700" s="16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</row>
    <row r="701" customFormat="false" ht="12.8" hidden="false" customHeight="true" outlineLevel="0" collapsed="false">
      <c r="A701" s="16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</row>
    <row r="702" customFormat="false" ht="12.8" hidden="false" customHeight="true" outlineLevel="0" collapsed="false">
      <c r="A702" s="16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</row>
    <row r="703" customFormat="false" ht="12.8" hidden="false" customHeight="true" outlineLevel="0" collapsed="false">
      <c r="A703" s="16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</row>
    <row r="704" customFormat="false" ht="12.8" hidden="false" customHeight="true" outlineLevel="0" collapsed="false">
      <c r="A704" s="16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</row>
    <row r="705" customFormat="false" ht="12.8" hidden="false" customHeight="true" outlineLevel="0" collapsed="false">
      <c r="A705" s="16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</row>
    <row r="706" customFormat="false" ht="12.8" hidden="false" customHeight="true" outlineLevel="0" collapsed="false">
      <c r="A706" s="16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</row>
    <row r="707" customFormat="false" ht="12.8" hidden="false" customHeight="true" outlineLevel="0" collapsed="false">
      <c r="A707" s="16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</row>
    <row r="708" customFormat="false" ht="12.8" hidden="false" customHeight="true" outlineLevel="0" collapsed="false">
      <c r="A708" s="16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</row>
    <row r="709" customFormat="false" ht="12.8" hidden="false" customHeight="true" outlineLevel="0" collapsed="false">
      <c r="A709" s="16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</row>
    <row r="710" customFormat="false" ht="12.8" hidden="false" customHeight="true" outlineLevel="0" collapsed="false">
      <c r="A710" s="16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</row>
    <row r="711" customFormat="false" ht="12.8" hidden="false" customHeight="true" outlineLevel="0" collapsed="false">
      <c r="A711" s="16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</row>
    <row r="712" customFormat="false" ht="12.8" hidden="false" customHeight="true" outlineLevel="0" collapsed="false">
      <c r="A712" s="16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</row>
    <row r="713" customFormat="false" ht="12.8" hidden="false" customHeight="true" outlineLevel="0" collapsed="false">
      <c r="A713" s="16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</row>
    <row r="714" customFormat="false" ht="12.8" hidden="false" customHeight="true" outlineLevel="0" collapsed="false">
      <c r="A714" s="16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</row>
    <row r="715" customFormat="false" ht="12.8" hidden="false" customHeight="true" outlineLevel="0" collapsed="false">
      <c r="A715" s="16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</row>
    <row r="716" customFormat="false" ht="12.8" hidden="false" customHeight="true" outlineLevel="0" collapsed="false">
      <c r="A716" s="16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</row>
    <row r="717" customFormat="false" ht="12.8" hidden="false" customHeight="true" outlineLevel="0" collapsed="false">
      <c r="A717" s="16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</row>
    <row r="718" customFormat="false" ht="12.8" hidden="false" customHeight="true" outlineLevel="0" collapsed="false">
      <c r="A718" s="16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</row>
    <row r="719" customFormat="false" ht="12.8" hidden="false" customHeight="true" outlineLevel="0" collapsed="false">
      <c r="A719" s="16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</row>
    <row r="720" customFormat="false" ht="12.8" hidden="false" customHeight="true" outlineLevel="0" collapsed="false">
      <c r="A720" s="16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</row>
    <row r="721" customFormat="false" ht="12.8" hidden="false" customHeight="true" outlineLevel="0" collapsed="false">
      <c r="A721" s="16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</row>
    <row r="722" customFormat="false" ht="12.8" hidden="false" customHeight="true" outlineLevel="0" collapsed="false">
      <c r="A722" s="16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</row>
    <row r="723" customFormat="false" ht="12.8" hidden="false" customHeight="true" outlineLevel="0" collapsed="false">
      <c r="A723" s="16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</row>
    <row r="724" customFormat="false" ht="12.8" hidden="false" customHeight="true" outlineLevel="0" collapsed="false">
      <c r="A724" s="16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</row>
    <row r="725" customFormat="false" ht="12.8" hidden="false" customHeight="true" outlineLevel="0" collapsed="false">
      <c r="A725" s="16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</row>
    <row r="726" customFormat="false" ht="12.8" hidden="false" customHeight="true" outlineLevel="0" collapsed="false">
      <c r="A726" s="16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</row>
    <row r="727" customFormat="false" ht="12.8" hidden="false" customHeight="true" outlineLevel="0" collapsed="false">
      <c r="A727" s="16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</row>
    <row r="728" customFormat="false" ht="12.8" hidden="false" customHeight="true" outlineLevel="0" collapsed="false">
      <c r="A728" s="16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</row>
    <row r="729" customFormat="false" ht="12.8" hidden="false" customHeight="true" outlineLevel="0" collapsed="false">
      <c r="A729" s="16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</row>
    <row r="730" customFormat="false" ht="12.8" hidden="false" customHeight="true" outlineLevel="0" collapsed="false">
      <c r="A730" s="16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</row>
    <row r="731" customFormat="false" ht="12.8" hidden="false" customHeight="true" outlineLevel="0" collapsed="false">
      <c r="A731" s="16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</row>
    <row r="732" customFormat="false" ht="12.8" hidden="false" customHeight="true" outlineLevel="0" collapsed="false">
      <c r="A732" s="16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</row>
    <row r="733" customFormat="false" ht="12.8" hidden="false" customHeight="true" outlineLevel="0" collapsed="false">
      <c r="A733" s="16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</row>
    <row r="734" customFormat="false" ht="12.8" hidden="false" customHeight="true" outlineLevel="0" collapsed="false">
      <c r="A734" s="16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</row>
    <row r="735" customFormat="false" ht="12.8" hidden="false" customHeight="true" outlineLevel="0" collapsed="false">
      <c r="A735" s="16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</row>
    <row r="736" customFormat="false" ht="12.8" hidden="false" customHeight="true" outlineLevel="0" collapsed="false">
      <c r="A736" s="16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</row>
    <row r="737" customFormat="false" ht="12.8" hidden="false" customHeight="true" outlineLevel="0" collapsed="false">
      <c r="A737" s="16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</row>
    <row r="738" customFormat="false" ht="12.8" hidden="false" customHeight="true" outlineLevel="0" collapsed="false">
      <c r="A738" s="16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</row>
    <row r="739" customFormat="false" ht="12.8" hidden="false" customHeight="true" outlineLevel="0" collapsed="false">
      <c r="A739" s="16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</row>
    <row r="740" customFormat="false" ht="12.8" hidden="false" customHeight="true" outlineLevel="0" collapsed="false">
      <c r="A740" s="16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</row>
    <row r="741" customFormat="false" ht="12.8" hidden="false" customHeight="true" outlineLevel="0" collapsed="false">
      <c r="A741" s="16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</row>
    <row r="742" customFormat="false" ht="12.8" hidden="false" customHeight="true" outlineLevel="0" collapsed="false">
      <c r="A742" s="16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</row>
    <row r="743" customFormat="false" ht="12.8" hidden="false" customHeight="true" outlineLevel="0" collapsed="false">
      <c r="A743" s="16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</row>
    <row r="744" customFormat="false" ht="12.8" hidden="false" customHeight="true" outlineLevel="0" collapsed="false">
      <c r="A744" s="16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</row>
    <row r="745" customFormat="false" ht="12.8" hidden="false" customHeight="true" outlineLevel="0" collapsed="false">
      <c r="A745" s="16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</row>
    <row r="746" customFormat="false" ht="12.8" hidden="false" customHeight="true" outlineLevel="0" collapsed="false">
      <c r="A746" s="16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</row>
    <row r="747" customFormat="false" ht="12.8" hidden="false" customHeight="true" outlineLevel="0" collapsed="false">
      <c r="A747" s="16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</row>
    <row r="748" customFormat="false" ht="12.8" hidden="false" customHeight="true" outlineLevel="0" collapsed="false">
      <c r="A748" s="16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</row>
    <row r="749" customFormat="false" ht="12.8" hidden="false" customHeight="true" outlineLevel="0" collapsed="false">
      <c r="A749" s="16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</row>
    <row r="750" customFormat="false" ht="12.8" hidden="false" customHeight="true" outlineLevel="0" collapsed="false">
      <c r="A750" s="16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</row>
    <row r="751" customFormat="false" ht="12.8" hidden="false" customHeight="true" outlineLevel="0" collapsed="false">
      <c r="A751" s="16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</row>
    <row r="752" customFormat="false" ht="12.8" hidden="false" customHeight="true" outlineLevel="0" collapsed="false">
      <c r="A752" s="16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</row>
    <row r="753" customFormat="false" ht="12.8" hidden="false" customHeight="true" outlineLevel="0" collapsed="false">
      <c r="A753" s="16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</row>
    <row r="754" customFormat="false" ht="12.8" hidden="false" customHeight="true" outlineLevel="0" collapsed="false">
      <c r="A754" s="16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</row>
    <row r="755" customFormat="false" ht="12.8" hidden="false" customHeight="true" outlineLevel="0" collapsed="false">
      <c r="A755" s="16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</row>
    <row r="756" customFormat="false" ht="12.8" hidden="false" customHeight="true" outlineLevel="0" collapsed="false">
      <c r="A756" s="16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</row>
    <row r="757" customFormat="false" ht="12.8" hidden="false" customHeight="true" outlineLevel="0" collapsed="false">
      <c r="A757" s="16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</row>
    <row r="758" customFormat="false" ht="12.8" hidden="false" customHeight="true" outlineLevel="0" collapsed="false">
      <c r="A758" s="16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</row>
    <row r="759" customFormat="false" ht="12.8" hidden="false" customHeight="true" outlineLevel="0" collapsed="false">
      <c r="A759" s="16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</row>
    <row r="760" customFormat="false" ht="12.8" hidden="false" customHeight="true" outlineLevel="0" collapsed="false">
      <c r="A760" s="16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</row>
    <row r="761" customFormat="false" ht="12.8" hidden="false" customHeight="true" outlineLevel="0" collapsed="false">
      <c r="A761" s="16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</row>
    <row r="762" customFormat="false" ht="12.8" hidden="false" customHeight="true" outlineLevel="0" collapsed="false">
      <c r="A762" s="16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</row>
    <row r="763" customFormat="false" ht="12.8" hidden="false" customHeight="true" outlineLevel="0" collapsed="false">
      <c r="A763" s="16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</row>
    <row r="764" customFormat="false" ht="12.8" hidden="false" customHeight="true" outlineLevel="0" collapsed="false">
      <c r="A764" s="16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</row>
    <row r="765" customFormat="false" ht="12.8" hidden="false" customHeight="true" outlineLevel="0" collapsed="false">
      <c r="A765" s="16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</row>
    <row r="766" customFormat="false" ht="12.8" hidden="false" customHeight="true" outlineLevel="0" collapsed="false">
      <c r="A766" s="16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</row>
    <row r="767" customFormat="false" ht="12.8" hidden="false" customHeight="true" outlineLevel="0" collapsed="false">
      <c r="A767" s="16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</row>
    <row r="768" customFormat="false" ht="12.8" hidden="false" customHeight="true" outlineLevel="0" collapsed="false">
      <c r="A768" s="16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</row>
    <row r="769" customFormat="false" ht="12.8" hidden="false" customHeight="true" outlineLevel="0" collapsed="false">
      <c r="A769" s="16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</row>
    <row r="770" customFormat="false" ht="12.8" hidden="false" customHeight="true" outlineLevel="0" collapsed="false">
      <c r="A770" s="16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</row>
    <row r="771" customFormat="false" ht="12.8" hidden="false" customHeight="true" outlineLevel="0" collapsed="false">
      <c r="A771" s="16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</row>
    <row r="772" customFormat="false" ht="12.8" hidden="false" customHeight="true" outlineLevel="0" collapsed="false">
      <c r="A772" s="16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</row>
    <row r="773" customFormat="false" ht="12.8" hidden="false" customHeight="true" outlineLevel="0" collapsed="false">
      <c r="A773" s="16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</row>
    <row r="774" customFormat="false" ht="12.8" hidden="false" customHeight="true" outlineLevel="0" collapsed="false">
      <c r="A774" s="16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</row>
    <row r="775" customFormat="false" ht="12.8" hidden="false" customHeight="true" outlineLevel="0" collapsed="false">
      <c r="A775" s="16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</row>
    <row r="776" customFormat="false" ht="12.8" hidden="false" customHeight="true" outlineLevel="0" collapsed="false">
      <c r="A776" s="16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</row>
    <row r="777" customFormat="false" ht="12.8" hidden="false" customHeight="true" outlineLevel="0" collapsed="false">
      <c r="A777" s="16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</row>
    <row r="778" customFormat="false" ht="12.8" hidden="false" customHeight="true" outlineLevel="0" collapsed="false">
      <c r="A778" s="16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</row>
    <row r="779" customFormat="false" ht="12.8" hidden="false" customHeight="true" outlineLevel="0" collapsed="false">
      <c r="A779" s="16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</row>
    <row r="780" customFormat="false" ht="12.8" hidden="false" customHeight="true" outlineLevel="0" collapsed="false">
      <c r="A780" s="16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</row>
    <row r="781" customFormat="false" ht="12.8" hidden="false" customHeight="true" outlineLevel="0" collapsed="false">
      <c r="A781" s="16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</row>
    <row r="782" customFormat="false" ht="12.8" hidden="false" customHeight="true" outlineLevel="0" collapsed="false">
      <c r="A782" s="16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</row>
    <row r="783" customFormat="false" ht="12.8" hidden="false" customHeight="true" outlineLevel="0" collapsed="false">
      <c r="A783" s="16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</row>
    <row r="784" customFormat="false" ht="12.8" hidden="false" customHeight="true" outlineLevel="0" collapsed="false">
      <c r="A784" s="16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</row>
    <row r="785" customFormat="false" ht="12.8" hidden="false" customHeight="true" outlineLevel="0" collapsed="false">
      <c r="A785" s="16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</row>
    <row r="786" customFormat="false" ht="12.8" hidden="false" customHeight="true" outlineLevel="0" collapsed="false">
      <c r="A786" s="16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</row>
    <row r="787" customFormat="false" ht="12.8" hidden="false" customHeight="true" outlineLevel="0" collapsed="false">
      <c r="A787" s="16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</row>
    <row r="788" customFormat="false" ht="12.8" hidden="false" customHeight="true" outlineLevel="0" collapsed="false">
      <c r="A788" s="16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</row>
    <row r="789" customFormat="false" ht="12.8" hidden="false" customHeight="true" outlineLevel="0" collapsed="false">
      <c r="A789" s="16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</row>
    <row r="790" customFormat="false" ht="12.8" hidden="false" customHeight="true" outlineLevel="0" collapsed="false">
      <c r="A790" s="16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</row>
    <row r="791" customFormat="false" ht="12.8" hidden="false" customHeight="true" outlineLevel="0" collapsed="false">
      <c r="A791" s="16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</row>
    <row r="792" customFormat="false" ht="12.8" hidden="false" customHeight="true" outlineLevel="0" collapsed="false">
      <c r="A792" s="16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</row>
    <row r="793" customFormat="false" ht="12.8" hidden="false" customHeight="true" outlineLevel="0" collapsed="false">
      <c r="A793" s="16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</row>
    <row r="794" customFormat="false" ht="12.8" hidden="false" customHeight="true" outlineLevel="0" collapsed="false">
      <c r="A794" s="16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</row>
    <row r="795" customFormat="false" ht="12.8" hidden="false" customHeight="true" outlineLevel="0" collapsed="false">
      <c r="A795" s="16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</row>
    <row r="796" customFormat="false" ht="12.8" hidden="false" customHeight="true" outlineLevel="0" collapsed="false">
      <c r="A796" s="16"/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</row>
    <row r="797" customFormat="false" ht="12.8" hidden="false" customHeight="true" outlineLevel="0" collapsed="false">
      <c r="A797" s="16"/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</row>
    <row r="798" customFormat="false" ht="12.8" hidden="false" customHeight="true" outlineLevel="0" collapsed="false">
      <c r="A798" s="16"/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</row>
    <row r="799" customFormat="false" ht="12.8" hidden="false" customHeight="true" outlineLevel="0" collapsed="false">
      <c r="A799" s="16"/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</row>
    <row r="800" customFormat="false" ht="12.8" hidden="false" customHeight="true" outlineLevel="0" collapsed="false">
      <c r="A800" s="16"/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</row>
    <row r="801" customFormat="false" ht="12.8" hidden="false" customHeight="true" outlineLevel="0" collapsed="false">
      <c r="A801" s="16"/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</row>
    <row r="802" customFormat="false" ht="12.8" hidden="false" customHeight="true" outlineLevel="0" collapsed="false">
      <c r="A802" s="16"/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</row>
    <row r="803" customFormat="false" ht="12.8" hidden="false" customHeight="true" outlineLevel="0" collapsed="false">
      <c r="A803" s="16"/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</row>
    <row r="804" customFormat="false" ht="12.8" hidden="false" customHeight="true" outlineLevel="0" collapsed="false">
      <c r="A804" s="16"/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</row>
    <row r="805" customFormat="false" ht="12.8" hidden="false" customHeight="true" outlineLevel="0" collapsed="false">
      <c r="A805" s="16"/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</row>
    <row r="806" customFormat="false" ht="12.8" hidden="false" customHeight="true" outlineLevel="0" collapsed="false">
      <c r="A806" s="16"/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</row>
    <row r="807" customFormat="false" ht="12.8" hidden="false" customHeight="true" outlineLevel="0" collapsed="false">
      <c r="A807" s="16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</row>
    <row r="808" customFormat="false" ht="12.8" hidden="false" customHeight="true" outlineLevel="0" collapsed="false">
      <c r="A808" s="16"/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</row>
    <row r="809" customFormat="false" ht="12.8" hidden="false" customHeight="true" outlineLevel="0" collapsed="false">
      <c r="A809" s="16"/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</row>
    <row r="810" customFormat="false" ht="12.8" hidden="false" customHeight="true" outlineLevel="0" collapsed="false">
      <c r="A810" s="16"/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</row>
    <row r="811" customFormat="false" ht="12.8" hidden="false" customHeight="true" outlineLevel="0" collapsed="false">
      <c r="A811" s="16"/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</row>
    <row r="812" customFormat="false" ht="12.8" hidden="false" customHeight="true" outlineLevel="0" collapsed="false">
      <c r="A812" s="16"/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</row>
    <row r="813" customFormat="false" ht="12.8" hidden="false" customHeight="true" outlineLevel="0" collapsed="false">
      <c r="A813" s="16"/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</row>
    <row r="814" customFormat="false" ht="12.8" hidden="false" customHeight="true" outlineLevel="0" collapsed="false">
      <c r="A814" s="16"/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</row>
    <row r="815" customFormat="false" ht="12.8" hidden="false" customHeight="true" outlineLevel="0" collapsed="false">
      <c r="A815" s="16"/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</row>
    <row r="816" customFormat="false" ht="12.8" hidden="false" customHeight="true" outlineLevel="0" collapsed="false">
      <c r="A816" s="16"/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</row>
    <row r="817" customFormat="false" ht="12.8" hidden="false" customHeight="true" outlineLevel="0" collapsed="false">
      <c r="A817" s="16"/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</row>
    <row r="818" customFormat="false" ht="12.8" hidden="false" customHeight="true" outlineLevel="0" collapsed="false">
      <c r="A818" s="16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</row>
    <row r="819" customFormat="false" ht="12.8" hidden="false" customHeight="true" outlineLevel="0" collapsed="false">
      <c r="A819" s="16"/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</row>
    <row r="820" customFormat="false" ht="12.8" hidden="false" customHeight="true" outlineLevel="0" collapsed="false">
      <c r="A820" s="16"/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</row>
    <row r="821" customFormat="false" ht="12.8" hidden="false" customHeight="true" outlineLevel="0" collapsed="false">
      <c r="A821" s="16"/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</row>
    <row r="822" customFormat="false" ht="12.8" hidden="false" customHeight="true" outlineLevel="0" collapsed="false">
      <c r="A822" s="16"/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</row>
    <row r="823" customFormat="false" ht="12.8" hidden="false" customHeight="true" outlineLevel="0" collapsed="false">
      <c r="A823" s="16"/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</row>
    <row r="824" customFormat="false" ht="12.8" hidden="false" customHeight="true" outlineLevel="0" collapsed="false">
      <c r="A824" s="16"/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</row>
    <row r="825" customFormat="false" ht="12.8" hidden="false" customHeight="true" outlineLevel="0" collapsed="false">
      <c r="A825" s="16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</row>
    <row r="826" customFormat="false" ht="12.8" hidden="false" customHeight="true" outlineLevel="0" collapsed="false">
      <c r="A826" s="16"/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</row>
    <row r="827" customFormat="false" ht="12.8" hidden="false" customHeight="true" outlineLevel="0" collapsed="false">
      <c r="A827" s="16"/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</row>
    <row r="828" customFormat="false" ht="12.8" hidden="false" customHeight="true" outlineLevel="0" collapsed="false">
      <c r="A828" s="16"/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</row>
    <row r="829" customFormat="false" ht="12.8" hidden="false" customHeight="true" outlineLevel="0" collapsed="false">
      <c r="A829" s="16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</row>
    <row r="830" customFormat="false" ht="12.8" hidden="false" customHeight="true" outlineLevel="0" collapsed="false">
      <c r="A830" s="16"/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</row>
    <row r="831" customFormat="false" ht="12.8" hidden="false" customHeight="true" outlineLevel="0" collapsed="false">
      <c r="A831" s="16"/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</row>
    <row r="832" customFormat="false" ht="12.8" hidden="false" customHeight="true" outlineLevel="0" collapsed="false">
      <c r="A832" s="16"/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</row>
    <row r="833" customFormat="false" ht="12.8" hidden="false" customHeight="true" outlineLevel="0" collapsed="false">
      <c r="A833" s="16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</row>
    <row r="834" customFormat="false" ht="12.8" hidden="false" customHeight="true" outlineLevel="0" collapsed="false">
      <c r="A834" s="16"/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</row>
    <row r="835" customFormat="false" ht="12.8" hidden="false" customHeight="true" outlineLevel="0" collapsed="false">
      <c r="A835" s="16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</row>
    <row r="836" customFormat="false" ht="12.8" hidden="false" customHeight="true" outlineLevel="0" collapsed="false">
      <c r="A836" s="16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</row>
    <row r="837" customFormat="false" ht="12.8" hidden="false" customHeight="true" outlineLevel="0" collapsed="false">
      <c r="A837" s="16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</row>
    <row r="838" customFormat="false" ht="12.8" hidden="false" customHeight="true" outlineLevel="0" collapsed="false">
      <c r="A838" s="16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</row>
    <row r="839" customFormat="false" ht="12.8" hidden="false" customHeight="true" outlineLevel="0" collapsed="false">
      <c r="A839" s="16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</row>
    <row r="840" customFormat="false" ht="12.8" hidden="false" customHeight="true" outlineLevel="0" collapsed="false">
      <c r="A840" s="16"/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</row>
    <row r="841" customFormat="false" ht="12.8" hidden="false" customHeight="true" outlineLevel="0" collapsed="false">
      <c r="A841" s="16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</row>
    <row r="842" customFormat="false" ht="12.8" hidden="false" customHeight="true" outlineLevel="0" collapsed="false">
      <c r="A842" s="16"/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</row>
    <row r="843" customFormat="false" ht="12.8" hidden="false" customHeight="true" outlineLevel="0" collapsed="false">
      <c r="A843" s="16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</row>
    <row r="844" customFormat="false" ht="12.8" hidden="false" customHeight="true" outlineLevel="0" collapsed="false">
      <c r="A844" s="16"/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</row>
    <row r="845" customFormat="false" ht="12.8" hidden="false" customHeight="true" outlineLevel="0" collapsed="false">
      <c r="A845" s="16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</row>
    <row r="846" customFormat="false" ht="12.8" hidden="false" customHeight="true" outlineLevel="0" collapsed="false">
      <c r="A846" s="16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</row>
    <row r="847" customFormat="false" ht="12.8" hidden="false" customHeight="true" outlineLevel="0" collapsed="false">
      <c r="A847" s="16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</row>
    <row r="848" customFormat="false" ht="12.8" hidden="false" customHeight="true" outlineLevel="0" collapsed="false">
      <c r="A848" s="16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</row>
    <row r="849" customFormat="false" ht="12.8" hidden="false" customHeight="true" outlineLevel="0" collapsed="false">
      <c r="A849" s="16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</row>
    <row r="850" customFormat="false" ht="12.8" hidden="false" customHeight="true" outlineLevel="0" collapsed="false">
      <c r="A850" s="16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</row>
    <row r="851" customFormat="false" ht="12.8" hidden="false" customHeight="true" outlineLevel="0" collapsed="false">
      <c r="A851" s="16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</row>
    <row r="852" customFormat="false" ht="12.8" hidden="false" customHeight="true" outlineLevel="0" collapsed="false">
      <c r="A852" s="16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</row>
    <row r="853" customFormat="false" ht="12.8" hidden="false" customHeight="true" outlineLevel="0" collapsed="false">
      <c r="A853" s="16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</row>
    <row r="854" customFormat="false" ht="12.8" hidden="false" customHeight="true" outlineLevel="0" collapsed="false">
      <c r="A854" s="16"/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</row>
    <row r="855" customFormat="false" ht="12.8" hidden="false" customHeight="true" outlineLevel="0" collapsed="false">
      <c r="A855" s="16"/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</row>
    <row r="856" customFormat="false" ht="12.8" hidden="false" customHeight="true" outlineLevel="0" collapsed="false">
      <c r="A856" s="16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</row>
    <row r="857" customFormat="false" ht="12.8" hidden="false" customHeight="true" outlineLevel="0" collapsed="false">
      <c r="A857" s="16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</row>
    <row r="858" customFormat="false" ht="12.8" hidden="false" customHeight="true" outlineLevel="0" collapsed="false">
      <c r="A858" s="16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</row>
    <row r="859" customFormat="false" ht="12.8" hidden="false" customHeight="true" outlineLevel="0" collapsed="false">
      <c r="A859" s="16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</row>
    <row r="860" customFormat="false" ht="12.8" hidden="false" customHeight="true" outlineLevel="0" collapsed="false">
      <c r="A860" s="16"/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</row>
    <row r="861" customFormat="false" ht="12.8" hidden="false" customHeight="true" outlineLevel="0" collapsed="false">
      <c r="A861" s="16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</row>
    <row r="862" customFormat="false" ht="12.8" hidden="false" customHeight="true" outlineLevel="0" collapsed="false">
      <c r="A862" s="16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</row>
    <row r="863" customFormat="false" ht="12.8" hidden="false" customHeight="true" outlineLevel="0" collapsed="false">
      <c r="A863" s="16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</row>
    <row r="864" customFormat="false" ht="12.8" hidden="false" customHeight="true" outlineLevel="0" collapsed="false">
      <c r="A864" s="16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</row>
    <row r="865" customFormat="false" ht="12.8" hidden="false" customHeight="true" outlineLevel="0" collapsed="false">
      <c r="A865" s="16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</row>
    <row r="866" customFormat="false" ht="12.8" hidden="false" customHeight="true" outlineLevel="0" collapsed="false">
      <c r="A866" s="16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</row>
    <row r="867" customFormat="false" ht="12.8" hidden="false" customHeight="true" outlineLevel="0" collapsed="false">
      <c r="A867" s="16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</row>
    <row r="868" customFormat="false" ht="12.8" hidden="false" customHeight="true" outlineLevel="0" collapsed="false">
      <c r="A868" s="16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</row>
    <row r="869" customFormat="false" ht="12.8" hidden="false" customHeight="true" outlineLevel="0" collapsed="false">
      <c r="A869" s="16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</row>
    <row r="870" customFormat="false" ht="12.8" hidden="false" customHeight="true" outlineLevel="0" collapsed="false">
      <c r="A870" s="16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</row>
    <row r="871" customFormat="false" ht="12.8" hidden="false" customHeight="true" outlineLevel="0" collapsed="false">
      <c r="A871" s="16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</row>
    <row r="872" customFormat="false" ht="12.8" hidden="false" customHeight="true" outlineLevel="0" collapsed="false">
      <c r="A872" s="16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</row>
    <row r="873" customFormat="false" ht="12.8" hidden="false" customHeight="true" outlineLevel="0" collapsed="false">
      <c r="A873" s="16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</row>
    <row r="874" customFormat="false" ht="12.8" hidden="false" customHeight="true" outlineLevel="0" collapsed="false">
      <c r="A874" s="16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</row>
    <row r="875" customFormat="false" ht="12.8" hidden="false" customHeight="true" outlineLevel="0" collapsed="false">
      <c r="A875" s="16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</row>
    <row r="876" customFormat="false" ht="12.8" hidden="false" customHeight="true" outlineLevel="0" collapsed="false">
      <c r="A876" s="16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</row>
    <row r="877" customFormat="false" ht="12.8" hidden="false" customHeight="true" outlineLevel="0" collapsed="false">
      <c r="A877" s="16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</row>
    <row r="878" customFormat="false" ht="12.8" hidden="false" customHeight="true" outlineLevel="0" collapsed="false">
      <c r="A878" s="16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</row>
    <row r="879" customFormat="false" ht="12.8" hidden="false" customHeight="true" outlineLevel="0" collapsed="false">
      <c r="A879" s="16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</row>
    <row r="880" customFormat="false" ht="12.8" hidden="false" customHeight="true" outlineLevel="0" collapsed="false">
      <c r="A880" s="16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</row>
    <row r="881" customFormat="false" ht="12.8" hidden="false" customHeight="true" outlineLevel="0" collapsed="false">
      <c r="A881" s="16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</row>
    <row r="882" customFormat="false" ht="12.8" hidden="false" customHeight="true" outlineLevel="0" collapsed="false">
      <c r="A882" s="16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</row>
    <row r="883" customFormat="false" ht="12.8" hidden="false" customHeight="true" outlineLevel="0" collapsed="false">
      <c r="A883" s="16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</row>
    <row r="884" customFormat="false" ht="12.8" hidden="false" customHeight="true" outlineLevel="0" collapsed="false">
      <c r="A884" s="16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</row>
    <row r="885" customFormat="false" ht="12.8" hidden="false" customHeight="true" outlineLevel="0" collapsed="false">
      <c r="A885" s="16"/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</row>
    <row r="886" customFormat="false" ht="12.8" hidden="false" customHeight="true" outlineLevel="0" collapsed="false">
      <c r="A886" s="16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</row>
    <row r="887" customFormat="false" ht="12.8" hidden="false" customHeight="true" outlineLevel="0" collapsed="false">
      <c r="A887" s="16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</row>
    <row r="888" customFormat="false" ht="12.8" hidden="false" customHeight="true" outlineLevel="0" collapsed="false">
      <c r="A888" s="16"/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</row>
    <row r="889" customFormat="false" ht="12.8" hidden="false" customHeight="true" outlineLevel="0" collapsed="false">
      <c r="A889" s="16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</row>
    <row r="890" customFormat="false" ht="12.8" hidden="false" customHeight="true" outlineLevel="0" collapsed="false">
      <c r="A890" s="16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</row>
    <row r="891" customFormat="false" ht="12.8" hidden="false" customHeight="true" outlineLevel="0" collapsed="false">
      <c r="A891" s="16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</row>
    <row r="892" customFormat="false" ht="12.8" hidden="false" customHeight="true" outlineLevel="0" collapsed="false">
      <c r="A892" s="16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</row>
    <row r="893" customFormat="false" ht="12.8" hidden="false" customHeight="true" outlineLevel="0" collapsed="false">
      <c r="A893" s="16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</row>
    <row r="894" customFormat="false" ht="12.8" hidden="false" customHeight="true" outlineLevel="0" collapsed="false">
      <c r="A894" s="16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</row>
    <row r="895" customFormat="false" ht="12.8" hidden="false" customHeight="true" outlineLevel="0" collapsed="false">
      <c r="A895" s="16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</row>
    <row r="896" customFormat="false" ht="12.8" hidden="false" customHeight="true" outlineLevel="0" collapsed="false">
      <c r="A896" s="16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</row>
    <row r="897" customFormat="false" ht="12.8" hidden="false" customHeight="true" outlineLevel="0" collapsed="false">
      <c r="A897" s="16"/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</row>
    <row r="898" customFormat="false" ht="12.8" hidden="false" customHeight="true" outlineLevel="0" collapsed="false">
      <c r="A898" s="16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</row>
    <row r="899" customFormat="false" ht="12.8" hidden="false" customHeight="true" outlineLevel="0" collapsed="false">
      <c r="A899" s="16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</row>
    <row r="900" customFormat="false" ht="12.8" hidden="false" customHeight="true" outlineLevel="0" collapsed="false">
      <c r="A900" s="16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</row>
    <row r="901" customFormat="false" ht="12.8" hidden="false" customHeight="true" outlineLevel="0" collapsed="false">
      <c r="A901" s="16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</row>
    <row r="902" customFormat="false" ht="12.8" hidden="false" customHeight="true" outlineLevel="0" collapsed="false">
      <c r="A902" s="16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</row>
    <row r="903" customFormat="false" ht="12.8" hidden="false" customHeight="true" outlineLevel="0" collapsed="false">
      <c r="A903" s="16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</row>
    <row r="904" customFormat="false" ht="12.8" hidden="false" customHeight="true" outlineLevel="0" collapsed="false">
      <c r="A904" s="16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</row>
    <row r="905" customFormat="false" ht="12.8" hidden="false" customHeight="true" outlineLevel="0" collapsed="false">
      <c r="A905" s="16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</row>
    <row r="906" customFormat="false" ht="12.8" hidden="false" customHeight="true" outlineLevel="0" collapsed="false">
      <c r="A906" s="16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</row>
    <row r="907" customFormat="false" ht="12.8" hidden="false" customHeight="true" outlineLevel="0" collapsed="false">
      <c r="A907" s="16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</row>
    <row r="908" customFormat="false" ht="12.8" hidden="false" customHeight="true" outlineLevel="0" collapsed="false">
      <c r="A908" s="16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</row>
    <row r="909" customFormat="false" ht="12.8" hidden="false" customHeight="true" outlineLevel="0" collapsed="false">
      <c r="A909" s="16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</row>
    <row r="910" customFormat="false" ht="12.8" hidden="false" customHeight="true" outlineLevel="0" collapsed="false">
      <c r="A910" s="16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</row>
    <row r="911" customFormat="false" ht="12.8" hidden="false" customHeight="true" outlineLevel="0" collapsed="false">
      <c r="A911" s="16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</row>
    <row r="912" customFormat="false" ht="12.8" hidden="false" customHeight="true" outlineLevel="0" collapsed="false">
      <c r="A912" s="16"/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</row>
    <row r="913" customFormat="false" ht="12.8" hidden="false" customHeight="true" outlineLevel="0" collapsed="false">
      <c r="A913" s="16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</row>
    <row r="914" customFormat="false" ht="12.8" hidden="false" customHeight="true" outlineLevel="0" collapsed="false">
      <c r="A914" s="16"/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</row>
    <row r="915" customFormat="false" ht="12.8" hidden="false" customHeight="true" outlineLevel="0" collapsed="false">
      <c r="A915" s="16"/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</row>
    <row r="916" customFormat="false" ht="12.8" hidden="false" customHeight="true" outlineLevel="0" collapsed="false">
      <c r="A916" s="16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</row>
    <row r="917" customFormat="false" ht="12.8" hidden="false" customHeight="true" outlineLevel="0" collapsed="false">
      <c r="A917" s="16"/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</row>
    <row r="918" customFormat="false" ht="12.8" hidden="false" customHeight="true" outlineLevel="0" collapsed="false">
      <c r="A918" s="16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</row>
    <row r="919" customFormat="false" ht="12.8" hidden="false" customHeight="true" outlineLevel="0" collapsed="false">
      <c r="A919" s="16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</row>
    <row r="920" customFormat="false" ht="12.8" hidden="false" customHeight="true" outlineLevel="0" collapsed="false">
      <c r="A920" s="16"/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</row>
    <row r="921" customFormat="false" ht="12.8" hidden="false" customHeight="true" outlineLevel="0" collapsed="false">
      <c r="A921" s="16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</row>
    <row r="922" customFormat="false" ht="12.8" hidden="false" customHeight="true" outlineLevel="0" collapsed="false">
      <c r="A922" s="16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</row>
    <row r="923" customFormat="false" ht="12.8" hidden="false" customHeight="true" outlineLevel="0" collapsed="false">
      <c r="A923" s="16"/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</row>
    <row r="924" customFormat="false" ht="12.8" hidden="false" customHeight="true" outlineLevel="0" collapsed="false">
      <c r="A924" s="16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</row>
    <row r="925" customFormat="false" ht="12.8" hidden="false" customHeight="true" outlineLevel="0" collapsed="false">
      <c r="A925" s="16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</row>
    <row r="926" customFormat="false" ht="12.8" hidden="false" customHeight="true" outlineLevel="0" collapsed="false">
      <c r="A926" s="16"/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</row>
    <row r="927" customFormat="false" ht="12.8" hidden="false" customHeight="true" outlineLevel="0" collapsed="false">
      <c r="A927" s="16"/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</row>
    <row r="928" customFormat="false" ht="12.8" hidden="false" customHeight="true" outlineLevel="0" collapsed="false">
      <c r="A928" s="16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</row>
    <row r="929" customFormat="false" ht="12.8" hidden="false" customHeight="true" outlineLevel="0" collapsed="false">
      <c r="A929" s="16"/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</row>
    <row r="930" customFormat="false" ht="12.8" hidden="false" customHeight="true" outlineLevel="0" collapsed="false">
      <c r="A930" s="16"/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</row>
    <row r="931" customFormat="false" ht="12.8" hidden="false" customHeight="true" outlineLevel="0" collapsed="false">
      <c r="A931" s="16"/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</row>
    <row r="932" customFormat="false" ht="12.8" hidden="false" customHeight="true" outlineLevel="0" collapsed="false">
      <c r="A932" s="16"/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</row>
    <row r="933" customFormat="false" ht="12.8" hidden="false" customHeight="true" outlineLevel="0" collapsed="false">
      <c r="A933" s="16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</row>
    <row r="934" customFormat="false" ht="12.8" hidden="false" customHeight="true" outlineLevel="0" collapsed="false">
      <c r="A934" s="16"/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</row>
    <row r="935" customFormat="false" ht="12.8" hidden="false" customHeight="true" outlineLevel="0" collapsed="false">
      <c r="A935" s="16"/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</row>
    <row r="936" customFormat="false" ht="12.8" hidden="false" customHeight="true" outlineLevel="0" collapsed="false">
      <c r="A936" s="16"/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</row>
    <row r="937" customFormat="false" ht="12.8" hidden="false" customHeight="true" outlineLevel="0" collapsed="false">
      <c r="A937" s="16"/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</row>
    <row r="938" customFormat="false" ht="12.8" hidden="false" customHeight="true" outlineLevel="0" collapsed="false">
      <c r="A938" s="16"/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</row>
    <row r="939" customFormat="false" ht="12.8" hidden="false" customHeight="true" outlineLevel="0" collapsed="false">
      <c r="A939" s="16"/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</row>
    <row r="940" customFormat="false" ht="12.8" hidden="false" customHeight="true" outlineLevel="0" collapsed="false">
      <c r="A940" s="16"/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</row>
    <row r="941" customFormat="false" ht="12.8" hidden="false" customHeight="true" outlineLevel="0" collapsed="false">
      <c r="A941" s="16"/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</row>
    <row r="942" customFormat="false" ht="12.8" hidden="false" customHeight="true" outlineLevel="0" collapsed="false">
      <c r="A942" s="16"/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</row>
    <row r="943" customFormat="false" ht="12.8" hidden="false" customHeight="true" outlineLevel="0" collapsed="false">
      <c r="A943" s="16"/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</row>
    <row r="944" customFormat="false" ht="12.8" hidden="false" customHeight="true" outlineLevel="0" collapsed="false">
      <c r="A944" s="16"/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</row>
    <row r="945" customFormat="false" ht="12.8" hidden="false" customHeight="true" outlineLevel="0" collapsed="false">
      <c r="A945" s="16"/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</row>
    <row r="946" customFormat="false" ht="12.8" hidden="false" customHeight="true" outlineLevel="0" collapsed="false">
      <c r="A946" s="16"/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</row>
    <row r="947" customFormat="false" ht="12.8" hidden="false" customHeight="true" outlineLevel="0" collapsed="false">
      <c r="A947" s="16"/>
      <c r="C947" s="16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</row>
    <row r="948" customFormat="false" ht="12.8" hidden="false" customHeight="true" outlineLevel="0" collapsed="false">
      <c r="A948" s="16"/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</row>
    <row r="949" customFormat="false" ht="12.8" hidden="false" customHeight="true" outlineLevel="0" collapsed="false">
      <c r="A949" s="16"/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</row>
    <row r="950" customFormat="false" ht="12.8" hidden="false" customHeight="true" outlineLevel="0" collapsed="false">
      <c r="A950" s="16"/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</row>
    <row r="951" customFormat="false" ht="12.8" hidden="false" customHeight="true" outlineLevel="0" collapsed="false">
      <c r="A951" s="16"/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</row>
    <row r="952" customFormat="false" ht="12.8" hidden="false" customHeight="true" outlineLevel="0" collapsed="false">
      <c r="A952" s="16"/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</row>
    <row r="953" customFormat="false" ht="12.8" hidden="false" customHeight="true" outlineLevel="0" collapsed="false">
      <c r="A953" s="16"/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</row>
    <row r="954" customFormat="false" ht="12.8" hidden="false" customHeight="true" outlineLevel="0" collapsed="false">
      <c r="A954" s="16"/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</row>
    <row r="955" customFormat="false" ht="12.8" hidden="false" customHeight="true" outlineLevel="0" collapsed="false">
      <c r="A955" s="16"/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</row>
    <row r="956" customFormat="false" ht="12.8" hidden="false" customHeight="true" outlineLevel="0" collapsed="false">
      <c r="A956" s="16"/>
      <c r="C956" s="16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</row>
    <row r="957" customFormat="false" ht="12.8" hidden="false" customHeight="true" outlineLevel="0" collapsed="false">
      <c r="A957" s="16"/>
      <c r="C957" s="16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</row>
    <row r="958" customFormat="false" ht="12.8" hidden="false" customHeight="true" outlineLevel="0" collapsed="false">
      <c r="A958" s="16"/>
      <c r="C958" s="16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</row>
    <row r="959" customFormat="false" ht="12.8" hidden="false" customHeight="true" outlineLevel="0" collapsed="false">
      <c r="A959" s="16"/>
      <c r="C959" s="16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</row>
    <row r="960" customFormat="false" ht="12.8" hidden="false" customHeight="true" outlineLevel="0" collapsed="false">
      <c r="A960" s="16"/>
      <c r="C960" s="16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</row>
    <row r="961" customFormat="false" ht="12.8" hidden="false" customHeight="true" outlineLevel="0" collapsed="false">
      <c r="A961" s="16"/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</row>
    <row r="962" customFormat="false" ht="12.8" hidden="false" customHeight="true" outlineLevel="0" collapsed="false">
      <c r="A962" s="16"/>
      <c r="C962" s="16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</row>
    <row r="963" customFormat="false" ht="12.8" hidden="false" customHeight="true" outlineLevel="0" collapsed="false">
      <c r="A963" s="16"/>
      <c r="C963" s="16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</row>
    <row r="964" customFormat="false" ht="12.8" hidden="false" customHeight="true" outlineLevel="0" collapsed="false">
      <c r="A964" s="16"/>
      <c r="C964" s="16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</row>
    <row r="965" customFormat="false" ht="12.8" hidden="false" customHeight="true" outlineLevel="0" collapsed="false">
      <c r="A965" s="16"/>
      <c r="C965" s="16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</row>
    <row r="966" customFormat="false" ht="12.8" hidden="false" customHeight="true" outlineLevel="0" collapsed="false">
      <c r="A966" s="16"/>
      <c r="C966" s="16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</row>
    <row r="967" customFormat="false" ht="12.8" hidden="false" customHeight="true" outlineLevel="0" collapsed="false">
      <c r="A967" s="16"/>
      <c r="C967" s="16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</row>
    <row r="968" customFormat="false" ht="12.8" hidden="false" customHeight="true" outlineLevel="0" collapsed="false">
      <c r="A968" s="16"/>
      <c r="C968" s="16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</row>
    <row r="969" customFormat="false" ht="12.8" hidden="false" customHeight="true" outlineLevel="0" collapsed="false">
      <c r="A969" s="16"/>
      <c r="C969" s="16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</row>
    <row r="970" customFormat="false" ht="12.8" hidden="false" customHeight="true" outlineLevel="0" collapsed="false">
      <c r="A970" s="16"/>
      <c r="C970" s="16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</row>
    <row r="971" customFormat="false" ht="12.8" hidden="false" customHeight="true" outlineLevel="0" collapsed="false">
      <c r="A971" s="16"/>
      <c r="C971" s="16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</row>
    <row r="972" customFormat="false" ht="12.8" hidden="false" customHeight="true" outlineLevel="0" collapsed="false">
      <c r="A972" s="16"/>
      <c r="C972" s="16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</row>
    <row r="973" customFormat="false" ht="12.8" hidden="false" customHeight="true" outlineLevel="0" collapsed="false">
      <c r="A973" s="16"/>
      <c r="C973" s="16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</row>
    <row r="974" customFormat="false" ht="12.8" hidden="false" customHeight="true" outlineLevel="0" collapsed="false">
      <c r="A974" s="16"/>
      <c r="C974" s="16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</row>
    <row r="975" customFormat="false" ht="12.8" hidden="false" customHeight="true" outlineLevel="0" collapsed="false">
      <c r="A975" s="16"/>
      <c r="C975" s="16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</row>
    <row r="976" customFormat="false" ht="12.8" hidden="false" customHeight="true" outlineLevel="0" collapsed="false">
      <c r="A976" s="16"/>
      <c r="C976" s="16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</row>
    <row r="977" customFormat="false" ht="12.8" hidden="false" customHeight="true" outlineLevel="0" collapsed="false">
      <c r="A977" s="16"/>
      <c r="C977" s="16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</row>
    <row r="978" customFormat="false" ht="12.8" hidden="false" customHeight="true" outlineLevel="0" collapsed="false">
      <c r="A978" s="16"/>
      <c r="C978" s="16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</row>
    <row r="979" customFormat="false" ht="12.8" hidden="false" customHeight="true" outlineLevel="0" collapsed="false">
      <c r="A979" s="16"/>
      <c r="C979" s="16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</row>
    <row r="980" customFormat="false" ht="12.8" hidden="false" customHeight="true" outlineLevel="0" collapsed="false">
      <c r="A980" s="16"/>
      <c r="C980" s="16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</row>
    <row r="981" customFormat="false" ht="12.8" hidden="false" customHeight="true" outlineLevel="0" collapsed="false">
      <c r="A981" s="16"/>
      <c r="C981" s="16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</row>
    <row r="982" customFormat="false" ht="12.8" hidden="false" customHeight="true" outlineLevel="0" collapsed="false">
      <c r="A982" s="16"/>
      <c r="C982" s="16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</row>
    <row r="983" customFormat="false" ht="12.8" hidden="false" customHeight="true" outlineLevel="0" collapsed="false">
      <c r="A983" s="16"/>
      <c r="C983" s="16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</row>
    <row r="984" customFormat="false" ht="12.8" hidden="false" customHeight="true" outlineLevel="0" collapsed="false">
      <c r="A984" s="16"/>
      <c r="C984" s="16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</row>
    <row r="985" customFormat="false" ht="12.8" hidden="false" customHeight="true" outlineLevel="0" collapsed="false">
      <c r="A985" s="16"/>
      <c r="C985" s="16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</row>
    <row r="986" customFormat="false" ht="12.8" hidden="false" customHeight="true" outlineLevel="0" collapsed="false">
      <c r="A986" s="16"/>
      <c r="C986" s="16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</row>
    <row r="987" customFormat="false" ht="12.8" hidden="false" customHeight="true" outlineLevel="0" collapsed="false">
      <c r="A987" s="16"/>
      <c r="C987" s="16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</row>
    <row r="988" customFormat="false" ht="12.8" hidden="false" customHeight="true" outlineLevel="0" collapsed="false">
      <c r="A988" s="16"/>
      <c r="C988" s="16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</row>
    <row r="989" customFormat="false" ht="12.8" hidden="false" customHeight="true" outlineLevel="0" collapsed="false">
      <c r="A989" s="16"/>
      <c r="C989" s="16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</row>
    <row r="990" customFormat="false" ht="12.8" hidden="false" customHeight="true" outlineLevel="0" collapsed="false">
      <c r="A990" s="16"/>
      <c r="C990" s="16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</row>
    <row r="991" customFormat="false" ht="12.8" hidden="false" customHeight="true" outlineLevel="0" collapsed="false">
      <c r="A991" s="16"/>
      <c r="C991" s="16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</row>
    <row r="992" customFormat="false" ht="12.8" hidden="false" customHeight="true" outlineLevel="0" collapsed="false">
      <c r="A992" s="16"/>
      <c r="C992" s="16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</row>
    <row r="993" customFormat="false" ht="12.8" hidden="false" customHeight="true" outlineLevel="0" collapsed="false">
      <c r="A993" s="16"/>
      <c r="C993" s="16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</row>
    <row r="994" customFormat="false" ht="12.8" hidden="false" customHeight="true" outlineLevel="0" collapsed="false">
      <c r="A994" s="16"/>
      <c r="C994" s="16"/>
      <c r="D994" s="16"/>
      <c r="E994" s="16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</row>
    <row r="995" customFormat="false" ht="12.8" hidden="false" customHeight="true" outlineLevel="0" collapsed="false">
      <c r="A995" s="16"/>
      <c r="C995" s="16"/>
      <c r="D995" s="16"/>
      <c r="E995" s="16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</row>
    <row r="996" customFormat="false" ht="12.8" hidden="false" customHeight="true" outlineLevel="0" collapsed="false">
      <c r="A996" s="16"/>
      <c r="C996" s="16"/>
      <c r="D996" s="16"/>
      <c r="E996" s="16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</row>
    <row r="997" customFormat="false" ht="12.8" hidden="false" customHeight="true" outlineLevel="0" collapsed="false">
      <c r="A997" s="16"/>
      <c r="C997" s="16"/>
      <c r="D997" s="16"/>
      <c r="E997" s="16"/>
      <c r="F997" s="16"/>
      <c r="G997" s="16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</row>
    <row r="998" customFormat="false" ht="12.8" hidden="false" customHeight="true" outlineLevel="0" collapsed="false">
      <c r="A998" s="16"/>
      <c r="C998" s="16"/>
      <c r="D998" s="16"/>
      <c r="E998" s="16"/>
      <c r="F998" s="16"/>
      <c r="G998" s="16"/>
      <c r="H998" s="16"/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</row>
    <row r="999" customFormat="false" ht="12.8" hidden="false" customHeight="true" outlineLevel="0" collapsed="false">
      <c r="A999" s="16"/>
      <c r="C999" s="16"/>
      <c r="D999" s="16"/>
      <c r="E999" s="16"/>
      <c r="F999" s="16"/>
      <c r="G999" s="16"/>
      <c r="H999" s="16"/>
      <c r="I999" s="16"/>
      <c r="J999" s="16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</row>
    <row r="1000" customFormat="false" ht="12.8" hidden="false" customHeight="true" outlineLevel="0" collapsed="false">
      <c r="A1000" s="16"/>
      <c r="C1000" s="16"/>
      <c r="D1000" s="16"/>
      <c r="E1000" s="16"/>
      <c r="F1000" s="16"/>
      <c r="G1000" s="16"/>
      <c r="H1000" s="16"/>
      <c r="I1000" s="16"/>
      <c r="J1000" s="16"/>
      <c r="K1000" s="16"/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  <c r="V1000" s="16"/>
      <c r="W1000" s="16"/>
    </row>
    <row r="1001" customFormat="false" ht="12.8" hidden="false" customHeight="true" outlineLevel="0" collapsed="false">
      <c r="A1001" s="16"/>
      <c r="C1001" s="16"/>
      <c r="D1001" s="16"/>
      <c r="E1001" s="16"/>
      <c r="F1001" s="16"/>
      <c r="G1001" s="16"/>
      <c r="H1001" s="16"/>
      <c r="I1001" s="16"/>
      <c r="J1001" s="16"/>
      <c r="K1001" s="16"/>
      <c r="L1001" s="16"/>
      <c r="M1001" s="16"/>
      <c r="N1001" s="16"/>
      <c r="O1001" s="16"/>
      <c r="P1001" s="16"/>
      <c r="Q1001" s="16"/>
      <c r="R1001" s="16"/>
      <c r="S1001" s="16"/>
      <c r="T1001" s="16"/>
      <c r="U1001" s="16"/>
      <c r="V1001" s="16"/>
      <c r="W1001" s="16"/>
    </row>
    <row r="1002" customFormat="false" ht="12.8" hidden="false" customHeight="true" outlineLevel="0" collapsed="false">
      <c r="A1002" s="16"/>
      <c r="C1002" s="16"/>
      <c r="D1002" s="16"/>
      <c r="E1002" s="16"/>
      <c r="F1002" s="16"/>
      <c r="G1002" s="16"/>
      <c r="H1002" s="16"/>
      <c r="I1002" s="16"/>
      <c r="J1002" s="16"/>
      <c r="K1002" s="16"/>
      <c r="L1002" s="16"/>
      <c r="M1002" s="16"/>
      <c r="N1002" s="16"/>
      <c r="O1002" s="16"/>
      <c r="P1002" s="16"/>
      <c r="Q1002" s="16"/>
      <c r="R1002" s="16"/>
      <c r="S1002" s="16"/>
      <c r="T1002" s="16"/>
      <c r="U1002" s="16"/>
      <c r="V1002" s="16"/>
      <c r="W1002" s="16"/>
    </row>
    <row r="1003" customFormat="false" ht="12.8" hidden="false" customHeight="true" outlineLevel="0" collapsed="false">
      <c r="A1003" s="16"/>
      <c r="C1003" s="16"/>
      <c r="D1003" s="16"/>
      <c r="E1003" s="16"/>
      <c r="F1003" s="16"/>
      <c r="G1003" s="16"/>
      <c r="H1003" s="16"/>
      <c r="I1003" s="16"/>
      <c r="J1003" s="16"/>
      <c r="K1003" s="16"/>
      <c r="L1003" s="16"/>
      <c r="M1003" s="16"/>
      <c r="N1003" s="16"/>
      <c r="O1003" s="16"/>
      <c r="P1003" s="16"/>
      <c r="Q1003" s="16"/>
      <c r="R1003" s="16"/>
      <c r="S1003" s="16"/>
      <c r="T1003" s="16"/>
      <c r="U1003" s="16"/>
      <c r="V1003" s="16"/>
      <c r="W1003" s="16"/>
    </row>
    <row r="1004" customFormat="false" ht="12.8" hidden="false" customHeight="true" outlineLevel="0" collapsed="false">
      <c r="A1004" s="16"/>
      <c r="C1004" s="16"/>
      <c r="D1004" s="16"/>
      <c r="E1004" s="16"/>
      <c r="F1004" s="16"/>
      <c r="G1004" s="16"/>
      <c r="H1004" s="16"/>
      <c r="I1004" s="16"/>
      <c r="J1004" s="16"/>
      <c r="K1004" s="16"/>
      <c r="L1004" s="16"/>
      <c r="M1004" s="16"/>
      <c r="N1004" s="16"/>
      <c r="O1004" s="16"/>
      <c r="P1004" s="16"/>
      <c r="Q1004" s="16"/>
      <c r="R1004" s="16"/>
      <c r="S1004" s="16"/>
      <c r="T1004" s="16"/>
      <c r="U1004" s="16"/>
      <c r="V1004" s="16"/>
      <c r="W1004" s="16"/>
    </row>
    <row r="1005" customFormat="false" ht="12.8" hidden="false" customHeight="true" outlineLevel="0" collapsed="false">
      <c r="A1005" s="16"/>
      <c r="C1005" s="16"/>
      <c r="D1005" s="16"/>
      <c r="E1005" s="16"/>
      <c r="F1005" s="16"/>
      <c r="G1005" s="16"/>
      <c r="H1005" s="16"/>
      <c r="I1005" s="16"/>
      <c r="J1005" s="16"/>
      <c r="K1005" s="16"/>
      <c r="L1005" s="16"/>
      <c r="M1005" s="16"/>
      <c r="N1005" s="16"/>
      <c r="O1005" s="16"/>
      <c r="P1005" s="16"/>
      <c r="Q1005" s="16"/>
      <c r="R1005" s="16"/>
      <c r="S1005" s="16"/>
      <c r="T1005" s="16"/>
      <c r="U1005" s="16"/>
      <c r="V1005" s="16"/>
      <c r="W1005" s="16"/>
    </row>
    <row r="1006" customFormat="false" ht="12.8" hidden="false" customHeight="true" outlineLevel="0" collapsed="false">
      <c r="A1006" s="16"/>
      <c r="C1006" s="16"/>
      <c r="D1006" s="16"/>
      <c r="E1006" s="16"/>
      <c r="F1006" s="16"/>
      <c r="G1006" s="16"/>
      <c r="H1006" s="16"/>
      <c r="I1006" s="16"/>
      <c r="J1006" s="16"/>
      <c r="K1006" s="16"/>
      <c r="L1006" s="16"/>
      <c r="M1006" s="16"/>
      <c r="N1006" s="16"/>
      <c r="O1006" s="16"/>
      <c r="P1006" s="16"/>
      <c r="Q1006" s="16"/>
      <c r="R1006" s="16"/>
      <c r="S1006" s="16"/>
      <c r="T1006" s="16"/>
      <c r="U1006" s="16"/>
      <c r="V1006" s="16"/>
      <c r="W1006" s="16"/>
    </row>
    <row r="1007" customFormat="false" ht="12.8" hidden="false" customHeight="true" outlineLevel="0" collapsed="false">
      <c r="A1007" s="16"/>
      <c r="C1007" s="16"/>
      <c r="D1007" s="16"/>
      <c r="E1007" s="16"/>
      <c r="F1007" s="16"/>
      <c r="G1007" s="16"/>
      <c r="H1007" s="16"/>
      <c r="I1007" s="16"/>
      <c r="J1007" s="16"/>
      <c r="K1007" s="16"/>
      <c r="L1007" s="16"/>
      <c r="M1007" s="16"/>
      <c r="N1007" s="16"/>
      <c r="O1007" s="16"/>
      <c r="P1007" s="16"/>
      <c r="Q1007" s="16"/>
      <c r="R1007" s="16"/>
      <c r="S1007" s="16"/>
      <c r="T1007" s="16"/>
      <c r="U1007" s="16"/>
      <c r="V1007" s="16"/>
      <c r="W1007" s="16"/>
    </row>
    <row r="1008" customFormat="false" ht="12.8" hidden="false" customHeight="true" outlineLevel="0" collapsed="false">
      <c r="A1008" s="16"/>
      <c r="C1008" s="16"/>
      <c r="D1008" s="16"/>
      <c r="E1008" s="16"/>
      <c r="F1008" s="16"/>
      <c r="G1008" s="16"/>
      <c r="H1008" s="16"/>
      <c r="I1008" s="16"/>
      <c r="J1008" s="16"/>
      <c r="K1008" s="16"/>
      <c r="L1008" s="16"/>
      <c r="M1008" s="16"/>
      <c r="N1008" s="16"/>
      <c r="O1008" s="16"/>
      <c r="P1008" s="16"/>
      <c r="Q1008" s="16"/>
      <c r="R1008" s="16"/>
      <c r="S1008" s="16"/>
      <c r="T1008" s="16"/>
      <c r="U1008" s="16"/>
      <c r="V1008" s="16"/>
      <c r="W1008" s="16"/>
    </row>
    <row r="1009" customFormat="false" ht="12.8" hidden="false" customHeight="true" outlineLevel="0" collapsed="false">
      <c r="A1009" s="16"/>
      <c r="C1009" s="16"/>
      <c r="D1009" s="16"/>
      <c r="E1009" s="16"/>
      <c r="F1009" s="16"/>
      <c r="G1009" s="16"/>
      <c r="H1009" s="16"/>
      <c r="I1009" s="16"/>
      <c r="J1009" s="16"/>
      <c r="K1009" s="16"/>
      <c r="L1009" s="16"/>
      <c r="M1009" s="16"/>
      <c r="N1009" s="16"/>
      <c r="O1009" s="16"/>
      <c r="P1009" s="16"/>
      <c r="Q1009" s="16"/>
      <c r="R1009" s="16"/>
      <c r="S1009" s="16"/>
      <c r="T1009" s="16"/>
      <c r="U1009" s="16"/>
      <c r="V1009" s="16"/>
      <c r="W1009" s="16"/>
    </row>
    <row r="1010" customFormat="false" ht="12.8" hidden="false" customHeight="true" outlineLevel="0" collapsed="false">
      <c r="A1010" s="16"/>
      <c r="C1010" s="16"/>
      <c r="D1010" s="16"/>
      <c r="E1010" s="16"/>
      <c r="F1010" s="16"/>
      <c r="G1010" s="16"/>
      <c r="H1010" s="16"/>
      <c r="I1010" s="16"/>
      <c r="J1010" s="16"/>
      <c r="K1010" s="16"/>
      <c r="L1010" s="16"/>
      <c r="M1010" s="16"/>
      <c r="N1010" s="16"/>
      <c r="O1010" s="16"/>
      <c r="P1010" s="16"/>
      <c r="Q1010" s="16"/>
      <c r="R1010" s="16"/>
      <c r="S1010" s="16"/>
      <c r="T1010" s="16"/>
      <c r="U1010" s="16"/>
      <c r="V1010" s="16"/>
      <c r="W1010" s="16"/>
    </row>
    <row r="1011" customFormat="false" ht="12.8" hidden="false" customHeight="true" outlineLevel="0" collapsed="false">
      <c r="A1011" s="16"/>
      <c r="C1011" s="16"/>
      <c r="D1011" s="16"/>
      <c r="E1011" s="16"/>
      <c r="F1011" s="16"/>
      <c r="G1011" s="16"/>
      <c r="H1011" s="16"/>
      <c r="I1011" s="16"/>
      <c r="J1011" s="16"/>
      <c r="K1011" s="16"/>
      <c r="L1011" s="16"/>
      <c r="M1011" s="16"/>
      <c r="N1011" s="16"/>
      <c r="O1011" s="16"/>
      <c r="P1011" s="16"/>
      <c r="Q1011" s="16"/>
      <c r="R1011" s="16"/>
      <c r="S1011" s="16"/>
      <c r="T1011" s="16"/>
      <c r="U1011" s="16"/>
      <c r="V1011" s="16"/>
      <c r="W1011" s="16"/>
    </row>
    <row r="1012" customFormat="false" ht="12.8" hidden="false" customHeight="true" outlineLevel="0" collapsed="false">
      <c r="A1012" s="16"/>
      <c r="C1012" s="16"/>
      <c r="D1012" s="16"/>
      <c r="E1012" s="16"/>
      <c r="F1012" s="16"/>
      <c r="G1012" s="16"/>
      <c r="H1012" s="16"/>
      <c r="I1012" s="16"/>
      <c r="J1012" s="16"/>
      <c r="K1012" s="16"/>
      <c r="L1012" s="16"/>
      <c r="M1012" s="16"/>
      <c r="N1012" s="16"/>
      <c r="O1012" s="16"/>
      <c r="P1012" s="16"/>
      <c r="Q1012" s="16"/>
      <c r="R1012" s="16"/>
      <c r="S1012" s="16"/>
      <c r="T1012" s="16"/>
      <c r="U1012" s="16"/>
      <c r="V1012" s="16"/>
      <c r="W1012" s="16"/>
    </row>
    <row r="1013" customFormat="false" ht="12.8" hidden="false" customHeight="true" outlineLevel="0" collapsed="false">
      <c r="A1013" s="16"/>
      <c r="C1013" s="16"/>
      <c r="D1013" s="16"/>
      <c r="E1013" s="16"/>
      <c r="F1013" s="16"/>
      <c r="G1013" s="16"/>
      <c r="H1013" s="16"/>
      <c r="I1013" s="16"/>
      <c r="J1013" s="16"/>
      <c r="K1013" s="16"/>
      <c r="L1013" s="16"/>
      <c r="M1013" s="16"/>
      <c r="N1013" s="16"/>
      <c r="O1013" s="16"/>
      <c r="P1013" s="16"/>
      <c r="Q1013" s="16"/>
      <c r="R1013" s="16"/>
      <c r="S1013" s="16"/>
      <c r="T1013" s="16"/>
      <c r="U1013" s="16"/>
      <c r="V1013" s="16"/>
      <c r="W1013" s="16"/>
    </row>
    <row r="1014" customFormat="false" ht="12.8" hidden="false" customHeight="true" outlineLevel="0" collapsed="false">
      <c r="A1014" s="16"/>
      <c r="C1014" s="16"/>
      <c r="D1014" s="16"/>
      <c r="E1014" s="16"/>
      <c r="F1014" s="16"/>
      <c r="G1014" s="16"/>
      <c r="H1014" s="16"/>
      <c r="I1014" s="16"/>
      <c r="J1014" s="16"/>
      <c r="K1014" s="16"/>
      <c r="L1014" s="16"/>
      <c r="M1014" s="16"/>
      <c r="N1014" s="16"/>
      <c r="O1014" s="16"/>
      <c r="P1014" s="16"/>
      <c r="Q1014" s="16"/>
      <c r="R1014" s="16"/>
      <c r="S1014" s="16"/>
      <c r="T1014" s="16"/>
      <c r="U1014" s="16"/>
      <c r="V1014" s="16"/>
      <c r="W1014" s="16"/>
    </row>
    <row r="1015" customFormat="false" ht="12.8" hidden="false" customHeight="true" outlineLevel="0" collapsed="false">
      <c r="A1015" s="16"/>
      <c r="C1015" s="16"/>
      <c r="D1015" s="16"/>
      <c r="E1015" s="16"/>
      <c r="F1015" s="16"/>
      <c r="G1015" s="16"/>
      <c r="H1015" s="16"/>
      <c r="I1015" s="16"/>
      <c r="J1015" s="16"/>
      <c r="K1015" s="16"/>
      <c r="L1015" s="16"/>
      <c r="M1015" s="16"/>
      <c r="N1015" s="16"/>
      <c r="O1015" s="16"/>
      <c r="P1015" s="16"/>
      <c r="Q1015" s="16"/>
      <c r="R1015" s="16"/>
      <c r="S1015" s="16"/>
      <c r="T1015" s="16"/>
      <c r="U1015" s="16"/>
      <c r="V1015" s="16"/>
      <c r="W1015" s="16"/>
    </row>
    <row r="1016" customFormat="false" ht="12.8" hidden="false" customHeight="true" outlineLevel="0" collapsed="false">
      <c r="A1016" s="16"/>
      <c r="C1016" s="16"/>
      <c r="D1016" s="16"/>
      <c r="E1016" s="16"/>
      <c r="F1016" s="16"/>
      <c r="G1016" s="16"/>
      <c r="H1016" s="16"/>
      <c r="I1016" s="16"/>
      <c r="J1016" s="16"/>
      <c r="K1016" s="16"/>
      <c r="L1016" s="16"/>
      <c r="M1016" s="16"/>
      <c r="N1016" s="16"/>
      <c r="O1016" s="16"/>
      <c r="P1016" s="16"/>
      <c r="Q1016" s="16"/>
      <c r="R1016" s="16"/>
      <c r="S1016" s="16"/>
      <c r="T1016" s="16"/>
      <c r="U1016" s="16"/>
      <c r="V1016" s="16"/>
      <c r="W1016" s="16"/>
    </row>
    <row r="1017" customFormat="false" ht="12.8" hidden="false" customHeight="true" outlineLevel="0" collapsed="false">
      <c r="A1017" s="16"/>
      <c r="C1017" s="16"/>
      <c r="D1017" s="16"/>
      <c r="E1017" s="16"/>
      <c r="F1017" s="16"/>
      <c r="G1017" s="16"/>
      <c r="H1017" s="16"/>
      <c r="I1017" s="16"/>
      <c r="J1017" s="16"/>
      <c r="K1017" s="16"/>
      <c r="L1017" s="16"/>
      <c r="M1017" s="16"/>
      <c r="N1017" s="16"/>
      <c r="O1017" s="16"/>
      <c r="P1017" s="16"/>
      <c r="Q1017" s="16"/>
      <c r="R1017" s="16"/>
      <c r="S1017" s="16"/>
      <c r="T1017" s="16"/>
      <c r="U1017" s="16"/>
      <c r="V1017" s="16"/>
      <c r="W1017" s="16"/>
    </row>
    <row r="1018" customFormat="false" ht="12.8" hidden="false" customHeight="true" outlineLevel="0" collapsed="false">
      <c r="A1018" s="16"/>
      <c r="C1018" s="16"/>
      <c r="D1018" s="16"/>
      <c r="E1018" s="16"/>
      <c r="F1018" s="16"/>
      <c r="G1018" s="16"/>
      <c r="H1018" s="16"/>
      <c r="I1018" s="16"/>
      <c r="J1018" s="16"/>
      <c r="K1018" s="16"/>
      <c r="L1018" s="16"/>
      <c r="M1018" s="16"/>
      <c r="N1018" s="16"/>
      <c r="O1018" s="16"/>
      <c r="P1018" s="16"/>
      <c r="Q1018" s="16"/>
      <c r="R1018" s="16"/>
      <c r="S1018" s="16"/>
      <c r="T1018" s="16"/>
      <c r="U1018" s="16"/>
      <c r="V1018" s="16"/>
      <c r="W1018" s="16"/>
    </row>
    <row r="1019" customFormat="false" ht="12.8" hidden="false" customHeight="true" outlineLevel="0" collapsed="false">
      <c r="A1019" s="16"/>
      <c r="C1019" s="16"/>
      <c r="D1019" s="16"/>
      <c r="E1019" s="16"/>
      <c r="F1019" s="16"/>
      <c r="G1019" s="16"/>
      <c r="H1019" s="16"/>
      <c r="I1019" s="16"/>
      <c r="J1019" s="16"/>
      <c r="K1019" s="16"/>
      <c r="L1019" s="16"/>
      <c r="M1019" s="16"/>
      <c r="N1019" s="16"/>
      <c r="O1019" s="16"/>
      <c r="P1019" s="16"/>
      <c r="Q1019" s="16"/>
      <c r="R1019" s="16"/>
      <c r="S1019" s="16"/>
      <c r="T1019" s="16"/>
      <c r="U1019" s="16"/>
      <c r="V1019" s="16"/>
      <c r="W1019" s="16"/>
    </row>
    <row r="1020" customFormat="false" ht="12.8" hidden="false" customHeight="true" outlineLevel="0" collapsed="false">
      <c r="A1020" s="16"/>
      <c r="C1020" s="16"/>
      <c r="D1020" s="16"/>
      <c r="E1020" s="16"/>
      <c r="F1020" s="16"/>
      <c r="G1020" s="16"/>
      <c r="H1020" s="16"/>
      <c r="I1020" s="16"/>
      <c r="J1020" s="16"/>
      <c r="K1020" s="16"/>
      <c r="L1020" s="16"/>
      <c r="M1020" s="16"/>
      <c r="N1020" s="16"/>
      <c r="O1020" s="16"/>
      <c r="P1020" s="16"/>
      <c r="Q1020" s="16"/>
      <c r="R1020" s="16"/>
      <c r="S1020" s="16"/>
      <c r="T1020" s="16"/>
      <c r="U1020" s="16"/>
      <c r="V1020" s="16"/>
      <c r="W1020" s="16"/>
    </row>
    <row r="1021" customFormat="false" ht="12.8" hidden="false" customHeight="true" outlineLevel="0" collapsed="false">
      <c r="A1021" s="16"/>
      <c r="C1021" s="16"/>
      <c r="D1021" s="16"/>
      <c r="E1021" s="16"/>
      <c r="F1021" s="16"/>
      <c r="G1021" s="16"/>
      <c r="H1021" s="16"/>
      <c r="I1021" s="16"/>
      <c r="J1021" s="16"/>
      <c r="K1021" s="16"/>
      <c r="L1021" s="16"/>
      <c r="M1021" s="16"/>
      <c r="N1021" s="16"/>
      <c r="O1021" s="16"/>
      <c r="P1021" s="16"/>
      <c r="Q1021" s="16"/>
      <c r="R1021" s="16"/>
      <c r="S1021" s="16"/>
      <c r="T1021" s="16"/>
      <c r="U1021" s="16"/>
      <c r="V1021" s="16"/>
      <c r="W1021" s="16"/>
    </row>
    <row r="1022" customFormat="false" ht="12.8" hidden="false" customHeight="true" outlineLevel="0" collapsed="false">
      <c r="A1022" s="16"/>
      <c r="C1022" s="16"/>
      <c r="D1022" s="16"/>
      <c r="E1022" s="16"/>
      <c r="F1022" s="16"/>
      <c r="G1022" s="16"/>
      <c r="H1022" s="16"/>
      <c r="I1022" s="16"/>
      <c r="J1022" s="16"/>
      <c r="K1022" s="16"/>
      <c r="L1022" s="16"/>
      <c r="M1022" s="16"/>
      <c r="N1022" s="16"/>
      <c r="O1022" s="16"/>
      <c r="P1022" s="16"/>
      <c r="Q1022" s="16"/>
      <c r="R1022" s="16"/>
      <c r="S1022" s="16"/>
      <c r="T1022" s="16"/>
      <c r="U1022" s="16"/>
      <c r="V1022" s="16"/>
      <c r="W1022" s="16"/>
    </row>
    <row r="1023" customFormat="false" ht="12.8" hidden="false" customHeight="true" outlineLevel="0" collapsed="false">
      <c r="A1023" s="16"/>
      <c r="C1023" s="16"/>
      <c r="D1023" s="16"/>
      <c r="E1023" s="16"/>
      <c r="F1023" s="16"/>
      <c r="G1023" s="16"/>
      <c r="H1023" s="16"/>
      <c r="I1023" s="16"/>
      <c r="J1023" s="16"/>
      <c r="K1023" s="16"/>
      <c r="L1023" s="16"/>
      <c r="M1023" s="16"/>
      <c r="N1023" s="16"/>
      <c r="O1023" s="16"/>
      <c r="P1023" s="16"/>
      <c r="Q1023" s="16"/>
      <c r="R1023" s="16"/>
      <c r="S1023" s="16"/>
      <c r="T1023" s="16"/>
      <c r="U1023" s="16"/>
      <c r="V1023" s="16"/>
      <c r="W1023" s="16"/>
    </row>
    <row r="1024" customFormat="false" ht="12.8" hidden="false" customHeight="true" outlineLevel="0" collapsed="false">
      <c r="A1024" s="16"/>
      <c r="C1024" s="16"/>
      <c r="D1024" s="16"/>
      <c r="E1024" s="16"/>
      <c r="F1024" s="16"/>
      <c r="G1024" s="16"/>
      <c r="H1024" s="16"/>
      <c r="I1024" s="16"/>
      <c r="J1024" s="16"/>
      <c r="K1024" s="16"/>
      <c r="L1024" s="16"/>
      <c r="M1024" s="16"/>
      <c r="N1024" s="16"/>
      <c r="O1024" s="16"/>
      <c r="P1024" s="16"/>
      <c r="Q1024" s="16"/>
      <c r="R1024" s="16"/>
      <c r="S1024" s="16"/>
      <c r="T1024" s="16"/>
      <c r="U1024" s="16"/>
      <c r="V1024" s="16"/>
      <c r="W1024" s="16"/>
    </row>
    <row r="1025" customFormat="false" ht="12.8" hidden="false" customHeight="true" outlineLevel="0" collapsed="false">
      <c r="A1025" s="16"/>
      <c r="C1025" s="16"/>
      <c r="D1025" s="16"/>
      <c r="E1025" s="16"/>
      <c r="F1025" s="16"/>
      <c r="G1025" s="16"/>
      <c r="H1025" s="16"/>
      <c r="I1025" s="16"/>
      <c r="J1025" s="16"/>
      <c r="K1025" s="16"/>
      <c r="L1025" s="16"/>
      <c r="M1025" s="16"/>
      <c r="N1025" s="16"/>
      <c r="O1025" s="16"/>
      <c r="P1025" s="16"/>
      <c r="Q1025" s="16"/>
      <c r="R1025" s="16"/>
      <c r="S1025" s="16"/>
      <c r="T1025" s="16"/>
      <c r="U1025" s="16"/>
      <c r="V1025" s="16"/>
      <c r="W1025" s="16"/>
    </row>
    <row r="1026" customFormat="false" ht="12.8" hidden="false" customHeight="true" outlineLevel="0" collapsed="false">
      <c r="A1026" s="16"/>
      <c r="C1026" s="16"/>
      <c r="D1026" s="16"/>
      <c r="E1026" s="16"/>
      <c r="F1026" s="16"/>
      <c r="G1026" s="16"/>
      <c r="H1026" s="16"/>
      <c r="I1026" s="16"/>
      <c r="J1026" s="16"/>
      <c r="K1026" s="16"/>
      <c r="L1026" s="16"/>
      <c r="M1026" s="16"/>
      <c r="N1026" s="16"/>
      <c r="O1026" s="16"/>
      <c r="P1026" s="16"/>
      <c r="Q1026" s="16"/>
      <c r="R1026" s="16"/>
      <c r="S1026" s="16"/>
      <c r="T1026" s="16"/>
      <c r="U1026" s="16"/>
      <c r="V1026" s="16"/>
      <c r="W1026" s="16"/>
    </row>
    <row r="1027" customFormat="false" ht="12.8" hidden="false" customHeight="true" outlineLevel="0" collapsed="false">
      <c r="A1027" s="16"/>
      <c r="C1027" s="16"/>
      <c r="D1027" s="16"/>
      <c r="E1027" s="16"/>
      <c r="F1027" s="16"/>
      <c r="G1027" s="16"/>
      <c r="H1027" s="16"/>
      <c r="I1027" s="16"/>
      <c r="J1027" s="16"/>
      <c r="K1027" s="16"/>
      <c r="L1027" s="16"/>
      <c r="M1027" s="16"/>
      <c r="N1027" s="16"/>
      <c r="O1027" s="16"/>
      <c r="P1027" s="16"/>
      <c r="Q1027" s="16"/>
      <c r="R1027" s="16"/>
      <c r="S1027" s="16"/>
      <c r="T1027" s="16"/>
      <c r="U1027" s="16"/>
      <c r="V1027" s="16"/>
      <c r="W1027" s="16"/>
    </row>
    <row r="1028" customFormat="false" ht="12.8" hidden="false" customHeight="true" outlineLevel="0" collapsed="false">
      <c r="A1028" s="16"/>
      <c r="C1028" s="16"/>
      <c r="D1028" s="16"/>
      <c r="E1028" s="16"/>
      <c r="F1028" s="16"/>
      <c r="G1028" s="16"/>
      <c r="H1028" s="16"/>
      <c r="I1028" s="16"/>
      <c r="J1028" s="16"/>
      <c r="K1028" s="16"/>
      <c r="L1028" s="16"/>
      <c r="M1028" s="16"/>
      <c r="N1028" s="16"/>
      <c r="O1028" s="16"/>
      <c r="P1028" s="16"/>
      <c r="Q1028" s="16"/>
      <c r="R1028" s="16"/>
      <c r="S1028" s="16"/>
      <c r="T1028" s="16"/>
      <c r="U1028" s="16"/>
      <c r="V1028" s="16"/>
      <c r="W1028" s="16"/>
    </row>
    <row r="1029" customFormat="false" ht="12.8" hidden="false" customHeight="true" outlineLevel="0" collapsed="false">
      <c r="A1029" s="16"/>
      <c r="C1029" s="16"/>
      <c r="D1029" s="16"/>
      <c r="E1029" s="16"/>
      <c r="F1029" s="16"/>
      <c r="G1029" s="16"/>
      <c r="H1029" s="16"/>
      <c r="I1029" s="16"/>
      <c r="J1029" s="16"/>
      <c r="K1029" s="16"/>
      <c r="L1029" s="16"/>
      <c r="M1029" s="16"/>
      <c r="N1029" s="16"/>
      <c r="O1029" s="16"/>
      <c r="P1029" s="16"/>
      <c r="Q1029" s="16"/>
      <c r="R1029" s="16"/>
      <c r="S1029" s="16"/>
      <c r="T1029" s="16"/>
      <c r="U1029" s="16"/>
      <c r="V1029" s="16"/>
      <c r="W1029" s="16"/>
    </row>
    <row r="1030" customFormat="false" ht="12.8" hidden="false" customHeight="true" outlineLevel="0" collapsed="false">
      <c r="A1030" s="16"/>
      <c r="C1030" s="16"/>
      <c r="D1030" s="16"/>
      <c r="E1030" s="16"/>
      <c r="F1030" s="16"/>
      <c r="G1030" s="16"/>
      <c r="H1030" s="16"/>
      <c r="I1030" s="16"/>
      <c r="J1030" s="16"/>
      <c r="K1030" s="16"/>
      <c r="L1030" s="16"/>
      <c r="M1030" s="16"/>
      <c r="N1030" s="16"/>
      <c r="O1030" s="16"/>
      <c r="P1030" s="16"/>
      <c r="Q1030" s="16"/>
      <c r="R1030" s="16"/>
      <c r="S1030" s="16"/>
      <c r="T1030" s="16"/>
      <c r="U1030" s="16"/>
      <c r="V1030" s="16"/>
      <c r="W1030" s="16"/>
    </row>
    <row r="1031" customFormat="false" ht="12.8" hidden="false" customHeight="true" outlineLevel="0" collapsed="false">
      <c r="A1031" s="16"/>
      <c r="C1031" s="16"/>
      <c r="D1031" s="16"/>
      <c r="E1031" s="16"/>
      <c r="F1031" s="16"/>
      <c r="G1031" s="16"/>
      <c r="H1031" s="16"/>
      <c r="I1031" s="16"/>
      <c r="J1031" s="16"/>
      <c r="K1031" s="16"/>
      <c r="L1031" s="16"/>
      <c r="M1031" s="16"/>
      <c r="N1031" s="16"/>
      <c r="O1031" s="16"/>
      <c r="P1031" s="16"/>
      <c r="Q1031" s="16"/>
      <c r="R1031" s="16"/>
      <c r="S1031" s="16"/>
      <c r="T1031" s="16"/>
      <c r="U1031" s="16"/>
      <c r="V1031" s="16"/>
      <c r="W1031" s="16"/>
    </row>
    <row r="1032" customFormat="false" ht="12.8" hidden="false" customHeight="true" outlineLevel="0" collapsed="false">
      <c r="A1032" s="16"/>
      <c r="C1032" s="16"/>
      <c r="D1032" s="16"/>
      <c r="E1032" s="16"/>
      <c r="F1032" s="16"/>
      <c r="G1032" s="16"/>
      <c r="H1032" s="16"/>
      <c r="I1032" s="16"/>
      <c r="J1032" s="16"/>
      <c r="K1032" s="16"/>
      <c r="L1032" s="16"/>
      <c r="M1032" s="16"/>
      <c r="N1032" s="16"/>
      <c r="O1032" s="16"/>
      <c r="P1032" s="16"/>
      <c r="Q1032" s="16"/>
      <c r="R1032" s="16"/>
      <c r="S1032" s="16"/>
      <c r="T1032" s="16"/>
      <c r="U1032" s="16"/>
      <c r="V1032" s="16"/>
      <c r="W1032" s="16"/>
    </row>
    <row r="1033" customFormat="false" ht="12.8" hidden="false" customHeight="true" outlineLevel="0" collapsed="false">
      <c r="A1033" s="16"/>
      <c r="C1033" s="16"/>
      <c r="D1033" s="16"/>
      <c r="E1033" s="16"/>
      <c r="F1033" s="16"/>
      <c r="G1033" s="16"/>
      <c r="H1033" s="16"/>
      <c r="I1033" s="16"/>
      <c r="J1033" s="16"/>
      <c r="K1033" s="16"/>
      <c r="L1033" s="16"/>
      <c r="M1033" s="16"/>
      <c r="N1033" s="16"/>
      <c r="O1033" s="16"/>
      <c r="P1033" s="16"/>
      <c r="Q1033" s="16"/>
      <c r="R1033" s="16"/>
      <c r="S1033" s="16"/>
      <c r="T1033" s="16"/>
      <c r="U1033" s="16"/>
      <c r="V1033" s="16"/>
      <c r="W1033" s="16"/>
    </row>
    <row r="1034" customFormat="false" ht="12.8" hidden="false" customHeight="true" outlineLevel="0" collapsed="false">
      <c r="A1034" s="16"/>
      <c r="C1034" s="16"/>
      <c r="D1034" s="16"/>
      <c r="E1034" s="16"/>
      <c r="F1034" s="16"/>
      <c r="G1034" s="16"/>
      <c r="H1034" s="16"/>
      <c r="I1034" s="16"/>
      <c r="J1034" s="16"/>
      <c r="K1034" s="16"/>
      <c r="L1034" s="16"/>
      <c r="M1034" s="16"/>
      <c r="N1034" s="16"/>
      <c r="O1034" s="16"/>
      <c r="P1034" s="16"/>
      <c r="Q1034" s="16"/>
      <c r="R1034" s="16"/>
      <c r="S1034" s="16"/>
      <c r="T1034" s="16"/>
      <c r="U1034" s="16"/>
      <c r="V1034" s="16"/>
      <c r="W1034" s="16"/>
    </row>
    <row r="1035" customFormat="false" ht="12.8" hidden="false" customHeight="true" outlineLevel="0" collapsed="false">
      <c r="A1035" s="16"/>
      <c r="C1035" s="16"/>
      <c r="D1035" s="16"/>
      <c r="E1035" s="16"/>
      <c r="F1035" s="16"/>
      <c r="G1035" s="16"/>
      <c r="H1035" s="16"/>
      <c r="I1035" s="16"/>
      <c r="J1035" s="16"/>
      <c r="K1035" s="16"/>
      <c r="L1035" s="16"/>
      <c r="M1035" s="16"/>
      <c r="N1035" s="16"/>
      <c r="O1035" s="16"/>
      <c r="P1035" s="16"/>
      <c r="Q1035" s="16"/>
      <c r="R1035" s="16"/>
      <c r="S1035" s="16"/>
      <c r="T1035" s="16"/>
      <c r="U1035" s="16"/>
      <c r="V1035" s="16"/>
      <c r="W1035" s="16"/>
    </row>
    <row r="1036" customFormat="false" ht="12.8" hidden="false" customHeight="true" outlineLevel="0" collapsed="false">
      <c r="A1036" s="16"/>
      <c r="C1036" s="16"/>
      <c r="D1036" s="16"/>
      <c r="E1036" s="16"/>
      <c r="F1036" s="16"/>
      <c r="G1036" s="16"/>
      <c r="H1036" s="16"/>
      <c r="I1036" s="16"/>
      <c r="J1036" s="16"/>
      <c r="K1036" s="16"/>
      <c r="L1036" s="16"/>
      <c r="M1036" s="16"/>
      <c r="N1036" s="16"/>
      <c r="O1036" s="16"/>
      <c r="P1036" s="16"/>
      <c r="Q1036" s="16"/>
      <c r="R1036" s="16"/>
      <c r="S1036" s="16"/>
      <c r="T1036" s="16"/>
      <c r="U1036" s="16"/>
      <c r="V1036" s="16"/>
      <c r="W1036" s="16"/>
    </row>
    <row r="1037" customFormat="false" ht="12.8" hidden="false" customHeight="true" outlineLevel="0" collapsed="false">
      <c r="A1037" s="16"/>
      <c r="C1037" s="16"/>
      <c r="D1037" s="16"/>
      <c r="E1037" s="16"/>
      <c r="F1037" s="16"/>
      <c r="G1037" s="16"/>
      <c r="H1037" s="16"/>
      <c r="I1037" s="16"/>
      <c r="J1037" s="16"/>
      <c r="K1037" s="16"/>
      <c r="L1037" s="16"/>
      <c r="M1037" s="16"/>
      <c r="N1037" s="16"/>
      <c r="O1037" s="16"/>
      <c r="P1037" s="16"/>
      <c r="Q1037" s="16"/>
      <c r="R1037" s="16"/>
      <c r="S1037" s="16"/>
      <c r="T1037" s="16"/>
      <c r="U1037" s="16"/>
      <c r="V1037" s="16"/>
      <c r="W1037" s="16"/>
    </row>
    <row r="1038" customFormat="false" ht="12.8" hidden="false" customHeight="true" outlineLevel="0" collapsed="false">
      <c r="A1038" s="16"/>
      <c r="C1038" s="16"/>
      <c r="D1038" s="16"/>
      <c r="E1038" s="16"/>
      <c r="F1038" s="16"/>
      <c r="G1038" s="16"/>
      <c r="H1038" s="16"/>
      <c r="I1038" s="16"/>
      <c r="J1038" s="16"/>
      <c r="K1038" s="16"/>
      <c r="L1038" s="16"/>
      <c r="M1038" s="16"/>
      <c r="N1038" s="16"/>
      <c r="O1038" s="16"/>
      <c r="P1038" s="16"/>
      <c r="Q1038" s="16"/>
      <c r="R1038" s="16"/>
      <c r="S1038" s="16"/>
      <c r="T1038" s="16"/>
      <c r="U1038" s="16"/>
      <c r="V1038" s="16"/>
      <c r="W1038" s="16"/>
    </row>
    <row r="1039" customFormat="false" ht="12.8" hidden="false" customHeight="true" outlineLevel="0" collapsed="false">
      <c r="A1039" s="16"/>
      <c r="C1039" s="16"/>
      <c r="D1039" s="16"/>
      <c r="E1039" s="16"/>
      <c r="F1039" s="16"/>
      <c r="G1039" s="16"/>
      <c r="H1039" s="16"/>
      <c r="I1039" s="16"/>
      <c r="J1039" s="16"/>
      <c r="K1039" s="16"/>
      <c r="L1039" s="16"/>
      <c r="M1039" s="16"/>
      <c r="N1039" s="16"/>
      <c r="O1039" s="16"/>
      <c r="P1039" s="16"/>
      <c r="Q1039" s="16"/>
      <c r="R1039" s="16"/>
      <c r="S1039" s="16"/>
      <c r="T1039" s="16"/>
      <c r="U1039" s="16"/>
      <c r="V1039" s="16"/>
      <c r="W1039" s="16"/>
    </row>
    <row r="1040" customFormat="false" ht="12.8" hidden="false" customHeight="true" outlineLevel="0" collapsed="false">
      <c r="A1040" s="16"/>
      <c r="C1040" s="16"/>
      <c r="D1040" s="16"/>
      <c r="E1040" s="16"/>
      <c r="F1040" s="16"/>
      <c r="G1040" s="16"/>
      <c r="H1040" s="16"/>
      <c r="I1040" s="16"/>
      <c r="J1040" s="16"/>
      <c r="K1040" s="16"/>
      <c r="L1040" s="16"/>
      <c r="M1040" s="16"/>
      <c r="N1040" s="16"/>
      <c r="O1040" s="16"/>
      <c r="P1040" s="16"/>
      <c r="Q1040" s="16"/>
      <c r="R1040" s="16"/>
      <c r="S1040" s="16"/>
      <c r="T1040" s="16"/>
      <c r="U1040" s="16"/>
      <c r="V1040" s="16"/>
      <c r="W1040" s="16"/>
    </row>
  </sheetData>
  <mergeCells count="1">
    <mergeCell ref="T1:W1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&amp;C&amp;"Arial,標準"&amp;A</oddHeader>
    <oddFooter>&amp;C&amp;"Arial,標準"ページ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6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H18" activeCellId="0" sqref="H18"/>
    </sheetView>
  </sheetViews>
  <sheetFormatPr defaultColWidth="12.8046875" defaultRowHeight="12.8" customHeight="true" zeroHeight="false" outlineLevelRow="0" outlineLevelCol="0"/>
  <cols>
    <col collapsed="false" customWidth="true" hidden="false" outlineLevel="0" max="2" min="2" style="1" width="6.61"/>
    <col collapsed="false" customWidth="true" hidden="false" outlineLevel="0" max="3" min="3" style="1" width="5.59"/>
    <col collapsed="false" customWidth="true" hidden="false" outlineLevel="0" max="4" min="4" style="1" width="5.93"/>
    <col collapsed="false" customWidth="true" hidden="false" outlineLevel="0" max="5" min="5" style="1" width="7.99"/>
    <col collapsed="false" customWidth="true" hidden="false" outlineLevel="0" max="6" min="6" style="1" width="8.84"/>
    <col collapsed="false" customWidth="true" hidden="false" outlineLevel="0" max="7" min="7" style="1" width="9.19"/>
    <col collapsed="false" customWidth="true" hidden="false" outlineLevel="0" max="8" min="8" style="1" width="7.99"/>
    <col collapsed="false" customWidth="true" hidden="false" outlineLevel="0" max="10" min="9" style="1" width="11.59"/>
    <col collapsed="false" customWidth="true" hidden="false" outlineLevel="0" max="11" min="11" style="1" width="13.82"/>
    <col collapsed="false" customWidth="true" hidden="false" outlineLevel="0" max="12" min="12" style="1" width="16.91"/>
  </cols>
  <sheetData>
    <row r="1" customFormat="false" ht="12.8" hidden="false" customHeight="false" outlineLevel="0" collapsed="false">
      <c r="A1" s="2" t="s">
        <v>217</v>
      </c>
      <c r="B1" s="2" t="s">
        <v>34</v>
      </c>
      <c r="C1" s="2" t="s">
        <v>0</v>
      </c>
      <c r="D1" s="2" t="s">
        <v>35</v>
      </c>
      <c r="E1" s="2" t="s">
        <v>218</v>
      </c>
      <c r="F1" s="2" t="s">
        <v>219</v>
      </c>
      <c r="G1" s="2" t="s">
        <v>220</v>
      </c>
      <c r="H1" s="2" t="s">
        <v>36</v>
      </c>
      <c r="I1" s="2" t="s">
        <v>21</v>
      </c>
      <c r="J1" s="2" t="s">
        <v>22</v>
      </c>
      <c r="K1" s="2" t="s">
        <v>221</v>
      </c>
      <c r="L1" s="2" t="s">
        <v>222</v>
      </c>
      <c r="M1" s="2" t="s">
        <v>39</v>
      </c>
      <c r="N1" s="2" t="s">
        <v>40</v>
      </c>
    </row>
    <row r="2" customFormat="false" ht="12.8" hidden="false" customHeight="false" outlineLevel="0" collapsed="false">
      <c r="A2" s="1" t="n">
        <v>1</v>
      </c>
      <c r="B2" s="1" t="n">
        <v>692</v>
      </c>
      <c r="C2" s="1" t="n">
        <v>103</v>
      </c>
      <c r="D2" s="1" t="n">
        <v>48</v>
      </c>
      <c r="H2" s="1" t="n">
        <v>83</v>
      </c>
      <c r="I2" s="1" t="n">
        <v>5</v>
      </c>
      <c r="J2" s="1" t="n">
        <v>50</v>
      </c>
      <c r="K2" s="1" t="n">
        <v>93</v>
      </c>
      <c r="L2" s="1" t="n">
        <v>92</v>
      </c>
      <c r="M2" s="1" t="n">
        <v>0</v>
      </c>
      <c r="N2" s="1" t="n">
        <v>1.2</v>
      </c>
    </row>
    <row r="3" customFormat="false" ht="12.8" hidden="false" customHeight="false" outlineLevel="0" collapsed="false">
      <c r="A3" s="1" t="n">
        <v>2</v>
      </c>
      <c r="B3" s="1" t="n">
        <v>785</v>
      </c>
      <c r="C3" s="1" t="n">
        <v>109</v>
      </c>
      <c r="D3" s="1" t="n">
        <v>54</v>
      </c>
      <c r="E3" s="1" t="n">
        <f aca="false">B3-B2</f>
        <v>93</v>
      </c>
      <c r="F3" s="1" t="n">
        <f aca="false">C3-C2</f>
        <v>6</v>
      </c>
      <c r="G3" s="1" t="n">
        <f aca="false">D3-D2</f>
        <v>6</v>
      </c>
    </row>
    <row r="4" customFormat="false" ht="12.8" hidden="false" customHeight="false" outlineLevel="0" collapsed="false">
      <c r="A4" s="1" t="n">
        <v>3</v>
      </c>
      <c r="B4" s="1" t="n">
        <v>879</v>
      </c>
      <c r="C4" s="1" t="n">
        <v>115</v>
      </c>
      <c r="D4" s="1" t="n">
        <v>61</v>
      </c>
      <c r="E4" s="1" t="n">
        <f aca="false">B4-B3</f>
        <v>94</v>
      </c>
      <c r="F4" s="1" t="n">
        <f aca="false">C4-C3</f>
        <v>6</v>
      </c>
      <c r="G4" s="1" t="n">
        <f aca="false">D4-D3</f>
        <v>7</v>
      </c>
    </row>
    <row r="5" customFormat="false" ht="12.8" hidden="false" customHeight="false" outlineLevel="0" collapsed="false">
      <c r="A5" s="1" t="n">
        <v>4</v>
      </c>
      <c r="B5" s="1" t="n">
        <v>973</v>
      </c>
      <c r="C5" s="1" t="n">
        <v>121</v>
      </c>
      <c r="D5" s="1" t="n">
        <v>67</v>
      </c>
      <c r="E5" s="1" t="n">
        <f aca="false">B5-B4</f>
        <v>94</v>
      </c>
      <c r="F5" s="1" t="n">
        <f aca="false">C5-C4</f>
        <v>6</v>
      </c>
      <c r="G5" s="1" t="n">
        <f aca="false">D5-D4</f>
        <v>6</v>
      </c>
    </row>
    <row r="6" customFormat="false" ht="12.8" hidden="false" customHeight="false" outlineLevel="0" collapsed="false">
      <c r="A6" s="1" t="n">
        <v>5</v>
      </c>
      <c r="B6" s="1" t="n">
        <v>1067</v>
      </c>
      <c r="C6" s="1" t="n">
        <v>127</v>
      </c>
      <c r="D6" s="1" t="n">
        <v>74</v>
      </c>
      <c r="E6" s="1" t="n">
        <f aca="false">B6-B5</f>
        <v>94</v>
      </c>
      <c r="F6" s="1" t="n">
        <f aca="false">C6-C5</f>
        <v>6</v>
      </c>
      <c r="G6" s="1" t="n">
        <f aca="false">D6-D5</f>
        <v>7</v>
      </c>
    </row>
    <row r="7" customFormat="false" ht="12.8" hidden="false" customHeight="false" outlineLevel="0" collapsed="false">
      <c r="A7" s="1" t="n">
        <v>6</v>
      </c>
      <c r="B7" s="1" t="n">
        <v>1161</v>
      </c>
      <c r="C7" s="1" t="n">
        <v>133</v>
      </c>
      <c r="D7" s="1" t="n">
        <v>80</v>
      </c>
      <c r="E7" s="1" t="n">
        <f aca="false">B7-B6</f>
        <v>94</v>
      </c>
      <c r="F7" s="1" t="n">
        <f aca="false">C7-C6</f>
        <v>6</v>
      </c>
      <c r="G7" s="1" t="n">
        <f aca="false">D7-D6</f>
        <v>6</v>
      </c>
    </row>
    <row r="8" customFormat="false" ht="12.8" hidden="false" customHeight="false" outlineLevel="0" collapsed="false">
      <c r="A8" s="1" t="n">
        <v>7</v>
      </c>
      <c r="B8" s="1" t="n">
        <v>1255</v>
      </c>
      <c r="C8" s="1" t="n">
        <v>139</v>
      </c>
      <c r="D8" s="1" t="n">
        <v>87</v>
      </c>
      <c r="E8" s="1" t="n">
        <f aca="false">B8-B7</f>
        <v>94</v>
      </c>
      <c r="F8" s="1" t="n">
        <f aca="false">C8-C7</f>
        <v>6</v>
      </c>
      <c r="G8" s="1" t="n">
        <f aca="false">D8-D7</f>
        <v>7</v>
      </c>
    </row>
    <row r="9" customFormat="false" ht="12.8" hidden="false" customHeight="false" outlineLevel="0" collapsed="false">
      <c r="A9" s="1" t="n">
        <v>8</v>
      </c>
      <c r="B9" s="1" t="n">
        <v>1349</v>
      </c>
      <c r="C9" s="1" t="n">
        <v>145</v>
      </c>
      <c r="D9" s="1" t="n">
        <v>93</v>
      </c>
      <c r="E9" s="1" t="n">
        <f aca="false">B9-B8</f>
        <v>94</v>
      </c>
      <c r="F9" s="1" t="n">
        <f aca="false">C9-C8</f>
        <v>6</v>
      </c>
      <c r="G9" s="1" t="n">
        <f aca="false">D9-D8</f>
        <v>6</v>
      </c>
    </row>
    <row r="10" customFormat="false" ht="12.8" hidden="false" customHeight="false" outlineLevel="0" collapsed="false">
      <c r="A10" s="1" t="n">
        <v>9</v>
      </c>
      <c r="B10" s="1" t="n">
        <v>1443</v>
      </c>
      <c r="C10" s="1" t="n">
        <v>151</v>
      </c>
      <c r="D10" s="1" t="n">
        <v>100</v>
      </c>
      <c r="E10" s="1" t="n">
        <f aca="false">B10-B9</f>
        <v>94</v>
      </c>
      <c r="F10" s="1" t="n">
        <f aca="false">C10-C9</f>
        <v>6</v>
      </c>
      <c r="G10" s="1" t="n">
        <f aca="false">D10-D9</f>
        <v>7</v>
      </c>
    </row>
    <row r="11" customFormat="false" ht="12.8" hidden="false" customHeight="false" outlineLevel="0" collapsed="false">
      <c r="A11" s="1" t="n">
        <v>10</v>
      </c>
      <c r="B11" s="1" t="n">
        <v>1537</v>
      </c>
      <c r="C11" s="1" t="n">
        <v>157</v>
      </c>
      <c r="D11" s="1" t="n">
        <v>106</v>
      </c>
      <c r="E11" s="1" t="n">
        <f aca="false">B11-B10</f>
        <v>94</v>
      </c>
      <c r="F11" s="1" t="n">
        <f aca="false">C11-C10</f>
        <v>6</v>
      </c>
      <c r="G11" s="1" t="n">
        <f aca="false">D11-D10</f>
        <v>6</v>
      </c>
    </row>
    <row r="12" customFormat="false" ht="12.8" hidden="false" customHeight="false" outlineLevel="0" collapsed="false">
      <c r="A12" s="1" t="n">
        <v>10</v>
      </c>
      <c r="B12" s="1" t="n">
        <v>2012</v>
      </c>
      <c r="C12" s="1" t="n">
        <v>194</v>
      </c>
      <c r="D12" s="1" t="n">
        <v>139</v>
      </c>
      <c r="E12" s="1" t="n">
        <f aca="false">B12-B11</f>
        <v>475</v>
      </c>
      <c r="F12" s="1" t="n">
        <f aca="false">C12-C11</f>
        <v>37</v>
      </c>
      <c r="G12" s="1" t="n">
        <f aca="false">D12-D11</f>
        <v>33</v>
      </c>
      <c r="H12" s="1" t="n">
        <v>83</v>
      </c>
      <c r="I12" s="1" t="n">
        <v>5</v>
      </c>
      <c r="J12" s="1" t="n">
        <v>50</v>
      </c>
      <c r="K12" s="1" t="n">
        <v>93</v>
      </c>
      <c r="L12" s="1" t="n">
        <v>92</v>
      </c>
      <c r="M12" s="1" t="n">
        <v>0</v>
      </c>
      <c r="N12" s="1" t="n">
        <v>1.2</v>
      </c>
    </row>
    <row r="13" customFormat="false" ht="12.8" hidden="false" customHeight="false" outlineLevel="0" collapsed="false">
      <c r="A13" s="1" t="n">
        <v>11</v>
      </c>
      <c r="B13" s="1" t="n">
        <v>2106</v>
      </c>
      <c r="C13" s="1" t="n">
        <v>200</v>
      </c>
      <c r="D13" s="1" t="n">
        <v>146</v>
      </c>
      <c r="E13" s="1" t="n">
        <f aca="false">B13-B12</f>
        <v>94</v>
      </c>
      <c r="F13" s="1" t="n">
        <f aca="false">C13-C12</f>
        <v>6</v>
      </c>
      <c r="G13" s="1" t="n">
        <f aca="false">D13-D12</f>
        <v>7</v>
      </c>
    </row>
    <row r="14" customFormat="false" ht="12.8" hidden="false" customHeight="false" outlineLevel="0" collapsed="false">
      <c r="A14" s="1" t="n">
        <v>12</v>
      </c>
      <c r="B14" s="1" t="n">
        <v>2200</v>
      </c>
      <c r="C14" s="1" t="n">
        <v>206</v>
      </c>
      <c r="D14" s="1" t="n">
        <v>153</v>
      </c>
      <c r="E14" s="1" t="n">
        <f aca="false">B14-B13</f>
        <v>94</v>
      </c>
      <c r="F14" s="1" t="n">
        <f aca="false">C14-C13</f>
        <v>6</v>
      </c>
      <c r="G14" s="1" t="n">
        <f aca="false">D14-D13</f>
        <v>7</v>
      </c>
    </row>
    <row r="15" customFormat="false" ht="12.8" hidden="false" customHeight="false" outlineLevel="0" collapsed="false">
      <c r="A15" s="1" t="n">
        <v>13</v>
      </c>
      <c r="B15" s="1" t="n">
        <v>2294</v>
      </c>
      <c r="C15" s="1" t="n">
        <v>212</v>
      </c>
      <c r="D15" s="1" t="n">
        <v>159</v>
      </c>
      <c r="E15" s="1" t="n">
        <f aca="false">B15-B14</f>
        <v>94</v>
      </c>
      <c r="F15" s="1" t="n">
        <f aca="false">C15-C14</f>
        <v>6</v>
      </c>
      <c r="G15" s="1" t="n">
        <f aca="false">D15-D14</f>
        <v>6</v>
      </c>
    </row>
    <row r="16" customFormat="false" ht="12.8" hidden="false" customHeight="false" outlineLevel="0" collapsed="false">
      <c r="A16" s="1" t="n">
        <v>14</v>
      </c>
      <c r="B16" s="1" t="n">
        <v>2388</v>
      </c>
      <c r="C16" s="1" t="n">
        <v>218</v>
      </c>
      <c r="D16" s="1" t="n">
        <v>166</v>
      </c>
      <c r="E16" s="1" t="n">
        <f aca="false">B16-B15</f>
        <v>94</v>
      </c>
      <c r="F16" s="1" t="n">
        <f aca="false">C16-C15</f>
        <v>6</v>
      </c>
      <c r="G16" s="1" t="n">
        <f aca="false">D16-D15</f>
        <v>7</v>
      </c>
    </row>
    <row r="17" customFormat="false" ht="12.8" hidden="false" customHeight="false" outlineLevel="0" collapsed="false">
      <c r="A17" s="1" t="n">
        <v>15</v>
      </c>
      <c r="B17" s="1" t="n">
        <v>2482</v>
      </c>
      <c r="C17" s="1" t="n">
        <v>224</v>
      </c>
      <c r="D17" s="1" t="n">
        <v>172</v>
      </c>
      <c r="E17" s="1" t="n">
        <f aca="false">B17-B16</f>
        <v>94</v>
      </c>
      <c r="F17" s="1" t="n">
        <f aca="false">C17-C16</f>
        <v>6</v>
      </c>
      <c r="G17" s="1" t="n">
        <f aca="false">D17-D16</f>
        <v>6</v>
      </c>
    </row>
    <row r="18" customFormat="false" ht="12.8" hidden="false" customHeight="false" outlineLevel="0" collapsed="false">
      <c r="A18" s="1" t="n">
        <v>16</v>
      </c>
      <c r="B18" s="1" t="n">
        <v>2576</v>
      </c>
      <c r="C18" s="1" t="n">
        <v>230</v>
      </c>
      <c r="D18" s="1" t="n">
        <v>179</v>
      </c>
      <c r="E18" s="1" t="n">
        <f aca="false">B18-B17</f>
        <v>94</v>
      </c>
      <c r="F18" s="1" t="n">
        <f aca="false">C18-C17</f>
        <v>6</v>
      </c>
      <c r="G18" s="1" t="n">
        <f aca="false">D18-D17</f>
        <v>7</v>
      </c>
    </row>
    <row r="19" customFormat="false" ht="12.8" hidden="false" customHeight="false" outlineLevel="0" collapsed="false">
      <c r="A19" s="1" t="n">
        <v>17</v>
      </c>
      <c r="B19" s="1" t="n">
        <v>2669</v>
      </c>
      <c r="C19" s="1" t="n">
        <v>236</v>
      </c>
      <c r="D19" s="1" t="n">
        <v>185</v>
      </c>
      <c r="E19" s="1" t="n">
        <f aca="false">B19-B18</f>
        <v>93</v>
      </c>
      <c r="F19" s="1" t="n">
        <f aca="false">C19-C18</f>
        <v>6</v>
      </c>
      <c r="G19" s="1" t="n">
        <f aca="false">D19-D18</f>
        <v>6</v>
      </c>
    </row>
    <row r="20" customFormat="false" ht="12.8" hidden="false" customHeight="false" outlineLevel="0" collapsed="false">
      <c r="A20" s="1" t="n">
        <v>18</v>
      </c>
      <c r="B20" s="1" t="n">
        <v>2763</v>
      </c>
      <c r="C20" s="1" t="n">
        <v>242</v>
      </c>
      <c r="D20" s="1" t="n">
        <v>192</v>
      </c>
      <c r="E20" s="1" t="n">
        <f aca="false">B20-B19</f>
        <v>94</v>
      </c>
      <c r="F20" s="1" t="n">
        <f aca="false">C20-C19</f>
        <v>6</v>
      </c>
      <c r="G20" s="1" t="n">
        <f aca="false">D20-D19</f>
        <v>7</v>
      </c>
    </row>
    <row r="21" customFormat="false" ht="12.8" hidden="false" customHeight="false" outlineLevel="0" collapsed="false">
      <c r="A21" s="1" t="n">
        <v>19</v>
      </c>
      <c r="B21" s="1" t="n">
        <v>2857</v>
      </c>
      <c r="C21" s="1" t="n">
        <v>248</v>
      </c>
      <c r="D21" s="1" t="n">
        <v>198</v>
      </c>
      <c r="E21" s="1" t="n">
        <f aca="false">B21-B20</f>
        <v>94</v>
      </c>
      <c r="F21" s="1" t="n">
        <f aca="false">C21-C20</f>
        <v>6</v>
      </c>
      <c r="G21" s="1" t="n">
        <f aca="false">D21-D20</f>
        <v>6</v>
      </c>
    </row>
    <row r="22" customFormat="false" ht="12.8" hidden="false" customHeight="false" outlineLevel="0" collapsed="false">
      <c r="A22" s="1" t="n">
        <v>20</v>
      </c>
      <c r="B22" s="1" t="n">
        <v>2951</v>
      </c>
      <c r="C22" s="1" t="n">
        <v>254</v>
      </c>
      <c r="D22" s="1" t="n">
        <v>205</v>
      </c>
      <c r="E22" s="1" t="n">
        <f aca="false">B22-B21</f>
        <v>94</v>
      </c>
      <c r="F22" s="1" t="n">
        <f aca="false">C22-C21</f>
        <v>6</v>
      </c>
      <c r="G22" s="1" t="n">
        <f aca="false">D22-D21</f>
        <v>7</v>
      </c>
    </row>
    <row r="23" customFormat="false" ht="12.8" hidden="false" customHeight="false" outlineLevel="0" collapsed="false">
      <c r="A23" s="1" t="n">
        <v>20</v>
      </c>
      <c r="B23" s="1" t="n">
        <v>3426</v>
      </c>
      <c r="C23" s="1" t="n">
        <v>291</v>
      </c>
      <c r="D23" s="1" t="n">
        <v>238</v>
      </c>
      <c r="E23" s="1" t="n">
        <f aca="false">B23-B22</f>
        <v>475</v>
      </c>
      <c r="F23" s="1" t="n">
        <f aca="false">C23-C22</f>
        <v>37</v>
      </c>
      <c r="G23" s="1" t="n">
        <f aca="false">D23-D22</f>
        <v>33</v>
      </c>
    </row>
    <row r="24" customFormat="false" ht="12.8" hidden="false" customHeight="false" outlineLevel="0" collapsed="false">
      <c r="A24" s="1" t="n">
        <v>21</v>
      </c>
      <c r="B24" s="1" t="n">
        <v>3520</v>
      </c>
      <c r="C24" s="1" t="n">
        <v>297</v>
      </c>
      <c r="D24" s="1" t="n">
        <v>245</v>
      </c>
      <c r="E24" s="1" t="n">
        <f aca="false">B24-B23</f>
        <v>94</v>
      </c>
      <c r="F24" s="1" t="n">
        <f aca="false">C24-C23</f>
        <v>6</v>
      </c>
      <c r="G24" s="1" t="n">
        <f aca="false">D24-D23</f>
        <v>7</v>
      </c>
    </row>
    <row r="25" customFormat="false" ht="12.8" hidden="false" customHeight="false" outlineLevel="0" collapsed="false">
      <c r="A25" s="1" t="n">
        <v>22</v>
      </c>
      <c r="B25" s="1" t="n">
        <v>3614</v>
      </c>
      <c r="C25" s="1" t="n">
        <v>303</v>
      </c>
      <c r="D25" s="1" t="n">
        <v>251</v>
      </c>
      <c r="E25" s="1" t="n">
        <f aca="false">B25-B24</f>
        <v>94</v>
      </c>
      <c r="F25" s="1" t="n">
        <f aca="false">C25-C24</f>
        <v>6</v>
      </c>
      <c r="G25" s="1" t="n">
        <f aca="false">D25-D24</f>
        <v>6</v>
      </c>
    </row>
    <row r="26" customFormat="false" ht="12.8" hidden="false" customHeight="false" outlineLevel="0" collapsed="false">
      <c r="A26" s="1" t="n">
        <v>23</v>
      </c>
      <c r="B26" s="1" t="n">
        <v>3708</v>
      </c>
      <c r="C26" s="1" t="n">
        <v>309</v>
      </c>
      <c r="D26" s="1" t="n">
        <v>258</v>
      </c>
      <c r="E26" s="1" t="n">
        <f aca="false">B26-B25</f>
        <v>94</v>
      </c>
      <c r="F26" s="1" t="n">
        <f aca="false">C26-C25</f>
        <v>6</v>
      </c>
      <c r="G26" s="1" t="n">
        <f aca="false">D26-D25</f>
        <v>7</v>
      </c>
    </row>
    <row r="27" customFormat="false" ht="12.8" hidden="false" customHeight="false" outlineLevel="0" collapsed="false">
      <c r="A27" s="1" t="n">
        <v>24</v>
      </c>
      <c r="B27" s="1" t="n">
        <v>3802</v>
      </c>
      <c r="C27" s="1" t="n">
        <v>315</v>
      </c>
      <c r="D27" s="1" t="n">
        <v>264</v>
      </c>
      <c r="E27" s="1" t="n">
        <f aca="false">B27-B26</f>
        <v>94</v>
      </c>
      <c r="F27" s="1" t="n">
        <f aca="false">C27-C26</f>
        <v>6</v>
      </c>
      <c r="G27" s="1" t="n">
        <f aca="false">D27-D26</f>
        <v>6</v>
      </c>
    </row>
    <row r="28" customFormat="false" ht="12.8" hidden="false" customHeight="false" outlineLevel="0" collapsed="false">
      <c r="A28" s="1" t="n">
        <v>25</v>
      </c>
      <c r="B28" s="1" t="n">
        <v>3896</v>
      </c>
      <c r="C28" s="1" t="n">
        <v>321</v>
      </c>
      <c r="D28" s="1" t="n">
        <v>271</v>
      </c>
      <c r="E28" s="1" t="n">
        <f aca="false">B28-B27</f>
        <v>94</v>
      </c>
      <c r="F28" s="1" t="n">
        <f aca="false">C28-C27</f>
        <v>6</v>
      </c>
      <c r="G28" s="1" t="n">
        <f aca="false">D28-D27</f>
        <v>7</v>
      </c>
    </row>
    <row r="29" customFormat="false" ht="12.8" hidden="false" customHeight="false" outlineLevel="0" collapsed="false">
      <c r="A29" s="1" t="n">
        <v>26</v>
      </c>
      <c r="B29" s="1" t="n">
        <v>3990</v>
      </c>
      <c r="C29" s="1" t="n">
        <v>327</v>
      </c>
      <c r="D29" s="1" t="n">
        <v>277</v>
      </c>
      <c r="E29" s="1" t="n">
        <f aca="false">B29-B28</f>
        <v>94</v>
      </c>
      <c r="F29" s="1" t="n">
        <f aca="false">C29-C28</f>
        <v>6</v>
      </c>
      <c r="G29" s="1" t="n">
        <f aca="false">D29-D28</f>
        <v>6</v>
      </c>
    </row>
    <row r="30" customFormat="false" ht="12.8" hidden="false" customHeight="false" outlineLevel="0" collapsed="false">
      <c r="A30" s="1" t="n">
        <v>27</v>
      </c>
      <c r="B30" s="1" t="n">
        <v>4084</v>
      </c>
      <c r="C30" s="1" t="n">
        <v>333</v>
      </c>
      <c r="D30" s="1" t="n">
        <v>284</v>
      </c>
      <c r="E30" s="1" t="n">
        <f aca="false">B30-B29</f>
        <v>94</v>
      </c>
      <c r="F30" s="1" t="n">
        <f aca="false">C30-C29</f>
        <v>6</v>
      </c>
      <c r="G30" s="1" t="n">
        <f aca="false">D30-D29</f>
        <v>7</v>
      </c>
    </row>
    <row r="31" customFormat="false" ht="12.8" hidden="false" customHeight="false" outlineLevel="0" collapsed="false">
      <c r="A31" s="1" t="n">
        <v>28</v>
      </c>
      <c r="B31" s="1" t="n">
        <v>4178</v>
      </c>
      <c r="C31" s="1" t="n">
        <v>339</v>
      </c>
      <c r="D31" s="1" t="n">
        <v>290</v>
      </c>
      <c r="E31" s="1" t="n">
        <f aca="false">B31-B30</f>
        <v>94</v>
      </c>
      <c r="F31" s="1" t="n">
        <f aca="false">C31-C30</f>
        <v>6</v>
      </c>
      <c r="G31" s="1" t="n">
        <f aca="false">D31-D30</f>
        <v>6</v>
      </c>
    </row>
    <row r="32" customFormat="false" ht="12.8" hidden="false" customHeight="false" outlineLevel="0" collapsed="false">
      <c r="A32" s="1" t="n">
        <v>29</v>
      </c>
      <c r="B32" s="1" t="n">
        <v>4272</v>
      </c>
      <c r="C32" s="1" t="n">
        <v>345</v>
      </c>
      <c r="D32" s="1" t="n">
        <v>297</v>
      </c>
      <c r="E32" s="1" t="n">
        <f aca="false">B32-B31</f>
        <v>94</v>
      </c>
      <c r="F32" s="1" t="n">
        <f aca="false">C32-C31</f>
        <v>6</v>
      </c>
      <c r="G32" s="1" t="n">
        <f aca="false">D32-D31</f>
        <v>7</v>
      </c>
    </row>
    <row r="33" customFormat="false" ht="12.8" hidden="false" customHeight="false" outlineLevel="0" collapsed="false">
      <c r="A33" s="1" t="n">
        <v>30</v>
      </c>
      <c r="B33" s="1" t="n">
        <v>4366</v>
      </c>
      <c r="C33" s="1" t="n">
        <v>351</v>
      </c>
      <c r="D33" s="1" t="n">
        <v>304</v>
      </c>
      <c r="E33" s="1" t="n">
        <f aca="false">B33-B32</f>
        <v>94</v>
      </c>
      <c r="F33" s="1" t="n">
        <f aca="false">C33-C32</f>
        <v>6</v>
      </c>
      <c r="G33" s="1" t="n">
        <f aca="false">D33-D32</f>
        <v>7</v>
      </c>
    </row>
    <row r="34" customFormat="false" ht="12.8" hidden="false" customHeight="false" outlineLevel="0" collapsed="false">
      <c r="A34" s="1" t="n">
        <v>30</v>
      </c>
      <c r="B34" s="1" t="n">
        <v>4841</v>
      </c>
      <c r="C34" s="1" t="n">
        <v>388</v>
      </c>
      <c r="D34" s="1" t="n">
        <v>337</v>
      </c>
      <c r="E34" s="1" t="n">
        <f aca="false">B34-B33</f>
        <v>475</v>
      </c>
      <c r="F34" s="1" t="n">
        <f aca="false">C34-C33</f>
        <v>37</v>
      </c>
      <c r="G34" s="1" t="n">
        <f aca="false">D34-D33</f>
        <v>33</v>
      </c>
    </row>
    <row r="35" customFormat="false" ht="12.8" hidden="false" customHeight="false" outlineLevel="0" collapsed="false">
      <c r="A35" s="1" t="n">
        <v>31</v>
      </c>
      <c r="E35" s="1" t="n">
        <f aca="false">B35-B34</f>
        <v>-4841</v>
      </c>
      <c r="F35" s="1" t="n">
        <f aca="false">C35-C34</f>
        <v>-388</v>
      </c>
      <c r="G35" s="1" t="n">
        <f aca="false">D35-D34</f>
        <v>-337</v>
      </c>
    </row>
    <row r="36" customFormat="false" ht="12.8" hidden="false" customHeight="false" outlineLevel="0" collapsed="false">
      <c r="A36" s="1" t="n">
        <v>32</v>
      </c>
      <c r="E36" s="1" t="n">
        <f aca="false">B36-B35</f>
        <v>0</v>
      </c>
      <c r="F36" s="1" t="n">
        <f aca="false">C36-C35</f>
        <v>0</v>
      </c>
      <c r="G36" s="1" t="n">
        <f aca="false">D36-D35</f>
        <v>0</v>
      </c>
    </row>
    <row r="37" customFormat="false" ht="12.8" hidden="false" customHeight="false" outlineLevel="0" collapsed="false">
      <c r="A37" s="1" t="n">
        <v>33</v>
      </c>
      <c r="E37" s="1" t="n">
        <f aca="false">B37-B36</f>
        <v>0</v>
      </c>
      <c r="F37" s="1" t="n">
        <f aca="false">C37-C36</f>
        <v>0</v>
      </c>
      <c r="G37" s="1" t="n">
        <f aca="false">D37-D36</f>
        <v>0</v>
      </c>
    </row>
    <row r="38" customFormat="false" ht="12.8" hidden="false" customHeight="false" outlineLevel="0" collapsed="false">
      <c r="A38" s="1" t="n">
        <v>34</v>
      </c>
      <c r="E38" s="1" t="n">
        <f aca="false">B38-B37</f>
        <v>0</v>
      </c>
      <c r="F38" s="1" t="n">
        <f aca="false">C38-C37</f>
        <v>0</v>
      </c>
      <c r="G38" s="1" t="n">
        <f aca="false">D38-D37</f>
        <v>0</v>
      </c>
    </row>
    <row r="39" customFormat="false" ht="12.8" hidden="false" customHeight="false" outlineLevel="0" collapsed="false">
      <c r="A39" s="1" t="n">
        <v>35</v>
      </c>
      <c r="E39" s="1" t="n">
        <f aca="false">B39-B38</f>
        <v>0</v>
      </c>
      <c r="F39" s="1" t="n">
        <f aca="false">C39-C38</f>
        <v>0</v>
      </c>
      <c r="G39" s="1" t="n">
        <f aca="false">D39-D38</f>
        <v>0</v>
      </c>
    </row>
    <row r="40" customFormat="false" ht="12.8" hidden="false" customHeight="false" outlineLevel="0" collapsed="false">
      <c r="A40" s="1" t="n">
        <v>36</v>
      </c>
      <c r="E40" s="1" t="n">
        <f aca="false">B40-B39</f>
        <v>0</v>
      </c>
      <c r="F40" s="1" t="n">
        <f aca="false">C40-C39</f>
        <v>0</v>
      </c>
      <c r="G40" s="1" t="n">
        <f aca="false">D40-D39</f>
        <v>0</v>
      </c>
    </row>
    <row r="41" customFormat="false" ht="12.8" hidden="false" customHeight="false" outlineLevel="0" collapsed="false">
      <c r="A41" s="1" t="n">
        <v>37</v>
      </c>
      <c r="E41" s="1" t="n">
        <f aca="false">B41-B40</f>
        <v>0</v>
      </c>
      <c r="F41" s="1" t="n">
        <f aca="false">C41-C40</f>
        <v>0</v>
      </c>
      <c r="G41" s="1" t="n">
        <f aca="false">D41-D40</f>
        <v>0</v>
      </c>
    </row>
    <row r="42" customFormat="false" ht="12.8" hidden="false" customHeight="false" outlineLevel="0" collapsed="false">
      <c r="A42" s="1" t="n">
        <v>38</v>
      </c>
      <c r="E42" s="1" t="n">
        <f aca="false">B42-B41</f>
        <v>0</v>
      </c>
      <c r="F42" s="1" t="n">
        <f aca="false">C42-C41</f>
        <v>0</v>
      </c>
      <c r="G42" s="1" t="n">
        <f aca="false">D42-D41</f>
        <v>0</v>
      </c>
    </row>
    <row r="43" customFormat="false" ht="12.8" hidden="false" customHeight="false" outlineLevel="0" collapsed="false">
      <c r="A43" s="1" t="n">
        <v>39</v>
      </c>
      <c r="E43" s="1" t="n">
        <f aca="false">B43-B42</f>
        <v>0</v>
      </c>
      <c r="F43" s="1" t="n">
        <f aca="false">C43-C42</f>
        <v>0</v>
      </c>
      <c r="G43" s="1" t="n">
        <f aca="false">D43-D42</f>
        <v>0</v>
      </c>
    </row>
    <row r="44" customFormat="false" ht="12.8" hidden="false" customHeight="false" outlineLevel="0" collapsed="false">
      <c r="A44" s="1" t="n">
        <v>40</v>
      </c>
      <c r="E44" s="1" t="n">
        <f aca="false">B44-B43</f>
        <v>0</v>
      </c>
      <c r="F44" s="1" t="n">
        <f aca="false">C44-C43</f>
        <v>0</v>
      </c>
      <c r="G44" s="1" t="n">
        <f aca="false">D44-D43</f>
        <v>0</v>
      </c>
    </row>
    <row r="45" customFormat="false" ht="12.8" hidden="false" customHeight="false" outlineLevel="0" collapsed="false">
      <c r="A45" s="1" t="n">
        <v>40</v>
      </c>
      <c r="E45" s="1" t="n">
        <f aca="false">B45-B44</f>
        <v>0</v>
      </c>
      <c r="F45" s="1" t="n">
        <f aca="false">C45-C44</f>
        <v>0</v>
      </c>
      <c r="G45" s="1" t="n">
        <f aca="false">D45-D44</f>
        <v>0</v>
      </c>
    </row>
    <row r="46" customFormat="false" ht="12.8" hidden="false" customHeight="false" outlineLevel="0" collapsed="false">
      <c r="A46" s="1" t="n">
        <v>41</v>
      </c>
      <c r="E46" s="1" t="n">
        <f aca="false">B46-B45</f>
        <v>0</v>
      </c>
      <c r="F46" s="1" t="n">
        <f aca="false">C46-C45</f>
        <v>0</v>
      </c>
      <c r="G46" s="1" t="n">
        <f aca="false">D46-D45</f>
        <v>0</v>
      </c>
    </row>
    <row r="47" customFormat="false" ht="12.8" hidden="false" customHeight="false" outlineLevel="0" collapsed="false">
      <c r="A47" s="1" t="n">
        <v>42</v>
      </c>
      <c r="E47" s="1" t="n">
        <f aca="false">B47-B46</f>
        <v>0</v>
      </c>
      <c r="F47" s="1" t="n">
        <f aca="false">C47-C46</f>
        <v>0</v>
      </c>
      <c r="G47" s="1" t="n">
        <f aca="false">D47-D46</f>
        <v>0</v>
      </c>
    </row>
    <row r="48" customFormat="false" ht="12.8" hidden="false" customHeight="false" outlineLevel="0" collapsed="false">
      <c r="A48" s="1" t="n">
        <v>43</v>
      </c>
      <c r="E48" s="1" t="n">
        <f aca="false">B48-B47</f>
        <v>0</v>
      </c>
      <c r="F48" s="1" t="n">
        <f aca="false">C48-C47</f>
        <v>0</v>
      </c>
      <c r="G48" s="1" t="n">
        <f aca="false">D48-D47</f>
        <v>0</v>
      </c>
    </row>
    <row r="49" customFormat="false" ht="12.8" hidden="false" customHeight="false" outlineLevel="0" collapsed="false">
      <c r="A49" s="1" t="n">
        <v>44</v>
      </c>
      <c r="E49" s="1" t="n">
        <f aca="false">B49-B48</f>
        <v>0</v>
      </c>
      <c r="F49" s="1" t="n">
        <f aca="false">C49-C48</f>
        <v>0</v>
      </c>
      <c r="G49" s="1" t="n">
        <f aca="false">D49-D48</f>
        <v>0</v>
      </c>
    </row>
    <row r="50" customFormat="false" ht="12.8" hidden="false" customHeight="false" outlineLevel="0" collapsed="false">
      <c r="A50" s="1" t="n">
        <v>45</v>
      </c>
      <c r="E50" s="1" t="n">
        <f aca="false">B50-B49</f>
        <v>0</v>
      </c>
      <c r="F50" s="1" t="n">
        <f aca="false">C50-C49</f>
        <v>0</v>
      </c>
      <c r="G50" s="1" t="n">
        <f aca="false">D50-D49</f>
        <v>0</v>
      </c>
    </row>
    <row r="51" customFormat="false" ht="12.8" hidden="false" customHeight="false" outlineLevel="0" collapsed="false">
      <c r="A51" s="1" t="n">
        <v>46</v>
      </c>
      <c r="E51" s="1" t="n">
        <f aca="false">B51-B50</f>
        <v>0</v>
      </c>
      <c r="F51" s="1" t="n">
        <f aca="false">C51-C50</f>
        <v>0</v>
      </c>
      <c r="G51" s="1" t="n">
        <f aca="false">D51-D50</f>
        <v>0</v>
      </c>
    </row>
    <row r="52" customFormat="false" ht="12.8" hidden="false" customHeight="false" outlineLevel="0" collapsed="false">
      <c r="A52" s="1" t="n">
        <v>47</v>
      </c>
      <c r="E52" s="1" t="n">
        <f aca="false">B52-B51</f>
        <v>0</v>
      </c>
      <c r="F52" s="1" t="n">
        <f aca="false">C52-C51</f>
        <v>0</v>
      </c>
      <c r="G52" s="1" t="n">
        <f aca="false">D52-D51</f>
        <v>0</v>
      </c>
    </row>
    <row r="53" customFormat="false" ht="12.8" hidden="false" customHeight="false" outlineLevel="0" collapsed="false">
      <c r="A53" s="1" t="n">
        <v>48</v>
      </c>
      <c r="E53" s="1" t="n">
        <f aca="false">B53-B52</f>
        <v>0</v>
      </c>
      <c r="F53" s="1" t="n">
        <f aca="false">C53-C52</f>
        <v>0</v>
      </c>
      <c r="G53" s="1" t="n">
        <f aca="false">D53-D52</f>
        <v>0</v>
      </c>
    </row>
    <row r="54" customFormat="false" ht="12.8" hidden="false" customHeight="false" outlineLevel="0" collapsed="false">
      <c r="A54" s="1" t="n">
        <v>49</v>
      </c>
      <c r="E54" s="1" t="n">
        <f aca="false">B54-B53</f>
        <v>0</v>
      </c>
      <c r="F54" s="1" t="n">
        <f aca="false">C54-C53</f>
        <v>0</v>
      </c>
      <c r="G54" s="1" t="n">
        <f aca="false">D54-D53</f>
        <v>0</v>
      </c>
    </row>
    <row r="55" customFormat="false" ht="12.8" hidden="false" customHeight="false" outlineLevel="0" collapsed="false">
      <c r="A55" s="1" t="n">
        <v>50</v>
      </c>
      <c r="E55" s="1" t="n">
        <f aca="false">B55-B54</f>
        <v>0</v>
      </c>
      <c r="F55" s="1" t="n">
        <f aca="false">C55-C54</f>
        <v>0</v>
      </c>
      <c r="G55" s="1" t="n">
        <f aca="false">D55-D54</f>
        <v>0</v>
      </c>
    </row>
    <row r="56" customFormat="false" ht="12.8" hidden="false" customHeight="false" outlineLevel="0" collapsed="false">
      <c r="A56" s="1" t="n">
        <v>50</v>
      </c>
      <c r="E56" s="1" t="n">
        <f aca="false">B56-B55</f>
        <v>0</v>
      </c>
      <c r="F56" s="1" t="n">
        <f aca="false">C56-C55</f>
        <v>0</v>
      </c>
      <c r="G56" s="1" t="n">
        <f aca="false">D56-D55</f>
        <v>0</v>
      </c>
    </row>
    <row r="57" customFormat="false" ht="12.8" hidden="false" customHeight="false" outlineLevel="0" collapsed="false">
      <c r="A57" s="1" t="n">
        <v>51</v>
      </c>
      <c r="E57" s="1" t="n">
        <f aca="false">B57-B56</f>
        <v>0</v>
      </c>
      <c r="F57" s="1" t="n">
        <f aca="false">C57-C56</f>
        <v>0</v>
      </c>
      <c r="G57" s="1" t="n">
        <f aca="false">D57-D56</f>
        <v>0</v>
      </c>
    </row>
    <row r="58" customFormat="false" ht="12.8" hidden="false" customHeight="false" outlineLevel="0" collapsed="false">
      <c r="A58" s="1" t="n">
        <v>52</v>
      </c>
      <c r="E58" s="1" t="n">
        <f aca="false">B58-B57</f>
        <v>0</v>
      </c>
      <c r="F58" s="1" t="n">
        <f aca="false">C58-C57</f>
        <v>0</v>
      </c>
      <c r="G58" s="1" t="n">
        <f aca="false">D58-D57</f>
        <v>0</v>
      </c>
    </row>
    <row r="59" customFormat="false" ht="12.8" hidden="false" customHeight="false" outlineLevel="0" collapsed="false">
      <c r="A59" s="1" t="n">
        <v>53</v>
      </c>
      <c r="E59" s="1" t="n">
        <f aca="false">B59-B58</f>
        <v>0</v>
      </c>
      <c r="F59" s="1" t="n">
        <f aca="false">C59-C58</f>
        <v>0</v>
      </c>
      <c r="G59" s="1" t="n">
        <f aca="false">D59-D58</f>
        <v>0</v>
      </c>
    </row>
    <row r="60" customFormat="false" ht="12.8" hidden="false" customHeight="false" outlineLevel="0" collapsed="false">
      <c r="A60" s="1" t="n">
        <v>54</v>
      </c>
      <c r="E60" s="1" t="n">
        <f aca="false">B60-B59</f>
        <v>0</v>
      </c>
      <c r="F60" s="1" t="n">
        <f aca="false">C60-C59</f>
        <v>0</v>
      </c>
      <c r="G60" s="1" t="n">
        <f aca="false">D60-D59</f>
        <v>0</v>
      </c>
    </row>
    <row r="61" customFormat="false" ht="12.8" hidden="false" customHeight="false" outlineLevel="0" collapsed="false">
      <c r="A61" s="1" t="n">
        <v>55</v>
      </c>
      <c r="E61" s="1" t="n">
        <f aca="false">B61-B60</f>
        <v>0</v>
      </c>
      <c r="F61" s="1" t="n">
        <f aca="false">C61-C60</f>
        <v>0</v>
      </c>
      <c r="G61" s="1" t="n">
        <f aca="false">D61-D60</f>
        <v>0</v>
      </c>
    </row>
    <row r="62" customFormat="false" ht="12.8" hidden="false" customHeight="false" outlineLevel="0" collapsed="false">
      <c r="A62" s="1" t="n">
        <v>56</v>
      </c>
      <c r="E62" s="1" t="n">
        <f aca="false">B62-B61</f>
        <v>0</v>
      </c>
      <c r="F62" s="1" t="n">
        <f aca="false">C62-C61</f>
        <v>0</v>
      </c>
      <c r="G62" s="1" t="n">
        <f aca="false">D62-D61</f>
        <v>0</v>
      </c>
    </row>
    <row r="63" customFormat="false" ht="12.8" hidden="false" customHeight="false" outlineLevel="0" collapsed="false">
      <c r="A63" s="1" t="n">
        <v>57</v>
      </c>
      <c r="E63" s="1" t="n">
        <f aca="false">B63-B62</f>
        <v>0</v>
      </c>
      <c r="F63" s="1" t="n">
        <f aca="false">C63-C62</f>
        <v>0</v>
      </c>
      <c r="G63" s="1" t="n">
        <f aca="false">D63-D62</f>
        <v>0</v>
      </c>
    </row>
    <row r="64" customFormat="false" ht="12.8" hidden="false" customHeight="false" outlineLevel="0" collapsed="false">
      <c r="A64" s="1" t="n">
        <v>58</v>
      </c>
      <c r="E64" s="1" t="n">
        <f aca="false">B64-B63</f>
        <v>0</v>
      </c>
      <c r="F64" s="1" t="n">
        <f aca="false">C64-C63</f>
        <v>0</v>
      </c>
      <c r="G64" s="1" t="n">
        <f aca="false">D64-D63</f>
        <v>0</v>
      </c>
    </row>
    <row r="65" customFormat="false" ht="12.8" hidden="false" customHeight="false" outlineLevel="0" collapsed="false">
      <c r="A65" s="1" t="n">
        <v>59</v>
      </c>
      <c r="E65" s="1" t="n">
        <f aca="false">B65-B64</f>
        <v>0</v>
      </c>
      <c r="F65" s="1" t="n">
        <f aca="false">C65-C64</f>
        <v>0</v>
      </c>
      <c r="G65" s="1" t="n">
        <f aca="false">D65-D64</f>
        <v>0</v>
      </c>
    </row>
    <row r="66" customFormat="false" ht="12.8" hidden="false" customHeight="false" outlineLevel="0" collapsed="false">
      <c r="A66" s="1" t="n">
        <v>60</v>
      </c>
      <c r="E66" s="1" t="n">
        <f aca="false">B66-B65</f>
        <v>0</v>
      </c>
      <c r="F66" s="1" t="n">
        <f aca="false">C66-C65</f>
        <v>0</v>
      </c>
      <c r="G66" s="1" t="n">
        <f aca="false">D66-D65</f>
        <v>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&amp;C&amp;"Arial,標準"&amp;A</oddHeader>
    <oddFooter>&amp;C&amp;"Arial,標準"ページ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L155"/>
  <sheetViews>
    <sheetView showFormulas="false" showGridLines="true" showRowColHeaders="true" showZeros="true" rightToLeft="false" tabSelected="false" showOutlineSymbols="true" defaultGridColor="true" view="normal" topLeftCell="A43" colorId="64" zoomScale="90" zoomScaleNormal="90" zoomScalePageLayoutView="100" workbookViewId="0">
      <selection pane="topLeft" activeCell="H151" activeCellId="0" sqref="H151"/>
    </sheetView>
  </sheetViews>
  <sheetFormatPr defaultColWidth="12.8046875" defaultRowHeight="12.8" customHeight="true" zeroHeight="false" outlineLevelRow="0" outlineLevelCol="0"/>
  <cols>
    <col collapsed="false" customWidth="true" hidden="false" outlineLevel="0" max="2" min="1" style="1" width="8.5"/>
    <col collapsed="false" customWidth="true" hidden="false" outlineLevel="0" max="3" min="3" style="1" width="9.53"/>
    <col collapsed="false" customWidth="true" hidden="false" outlineLevel="0" max="4" min="4" style="1" width="11.93"/>
    <col collapsed="false" customWidth="true" hidden="false" outlineLevel="0" max="5" min="5" style="1" width="11.66"/>
    <col collapsed="false" customWidth="true" hidden="false" outlineLevel="0" max="6" min="6" style="1" width="4.38"/>
    <col collapsed="false" customWidth="true" hidden="false" outlineLevel="0" max="7" min="7" style="1" width="15.95"/>
    <col collapsed="false" customWidth="true" hidden="false" outlineLevel="0" max="10" min="9" style="1" width="9.53"/>
    <col collapsed="false" customWidth="true" hidden="false" outlineLevel="0" max="11" min="11" style="1" width="8.33"/>
    <col collapsed="false" customWidth="true" hidden="false" outlineLevel="0" max="12" min="12" style="1" width="9.36"/>
    <col collapsed="false" customWidth="true" hidden="false" outlineLevel="0" max="13" min="13" style="1" width="8.5"/>
    <col collapsed="false" customWidth="true" hidden="false" outlineLevel="0" max="15" min="14" style="1" width="9.53"/>
    <col collapsed="false" customWidth="true" hidden="false" outlineLevel="0" max="16" min="16" style="1" width="7.13"/>
    <col collapsed="false" customWidth="true" hidden="false" outlineLevel="0" max="17" min="17" style="1" width="9.36"/>
    <col collapsed="false" customWidth="true" hidden="false" outlineLevel="0" max="18" min="18" style="1" width="8.5"/>
    <col collapsed="false" customWidth="true" hidden="false" outlineLevel="0" max="20" min="19" style="1" width="9.53"/>
    <col collapsed="false" customWidth="true" hidden="false" outlineLevel="0" max="21" min="21" style="1" width="8.33"/>
    <col collapsed="false" customWidth="true" hidden="false" outlineLevel="0" max="22" min="22" style="1" width="9.36"/>
    <col collapsed="false" customWidth="true" hidden="false" outlineLevel="0" max="23" min="23" style="1" width="8.5"/>
    <col collapsed="false" customWidth="true" hidden="false" outlineLevel="0" max="25" min="24" style="1" width="9.53"/>
    <col collapsed="false" customWidth="true" hidden="false" outlineLevel="0" max="26" min="26" style="1" width="6.61"/>
    <col collapsed="false" customWidth="true" hidden="false" outlineLevel="0" max="27" min="27" style="1" width="9.36"/>
    <col collapsed="false" customWidth="true" hidden="false" outlineLevel="0" max="28" min="28" style="1" width="8.5"/>
    <col collapsed="false" customWidth="true" hidden="false" outlineLevel="0" max="30" min="29" style="1" width="9.53"/>
    <col collapsed="false" customWidth="true" hidden="false" outlineLevel="0" max="31" min="31" style="1" width="6.61"/>
    <col collapsed="false" customWidth="true" hidden="false" outlineLevel="0" max="32" min="32" style="1" width="9.36"/>
    <col collapsed="false" customWidth="true" hidden="false" outlineLevel="0" max="33" min="33" style="1" width="8.5"/>
    <col collapsed="false" customWidth="true" hidden="false" outlineLevel="0" max="35" min="34" style="1" width="9.53"/>
    <col collapsed="false" customWidth="true" hidden="false" outlineLevel="0" max="36" min="36" style="1" width="6.61"/>
    <col collapsed="false" customWidth="true" hidden="false" outlineLevel="0" max="37" min="37" style="1" width="9.36"/>
    <col collapsed="false" customWidth="true" hidden="false" outlineLevel="0" max="38" min="38" style="1" width="8.5"/>
  </cols>
  <sheetData>
    <row r="1" customFormat="false" ht="12.8" hidden="false" customHeight="false" outlineLevel="0" collapsed="false">
      <c r="C1" s="17"/>
      <c r="D1" s="18" t="s">
        <v>223</v>
      </c>
      <c r="E1" s="17"/>
      <c r="F1" s="11" t="s">
        <v>27</v>
      </c>
      <c r="G1" s="11"/>
      <c r="I1" s="11" t="s">
        <v>224</v>
      </c>
      <c r="J1" s="11"/>
      <c r="K1" s="11"/>
      <c r="L1" s="11"/>
      <c r="M1" s="11"/>
      <c r="N1" s="11" t="s">
        <v>225</v>
      </c>
      <c r="O1" s="11"/>
      <c r="P1" s="11"/>
      <c r="Q1" s="11"/>
      <c r="R1" s="11"/>
      <c r="S1" s="11" t="s">
        <v>226</v>
      </c>
      <c r="T1" s="11"/>
      <c r="U1" s="11"/>
      <c r="V1" s="11"/>
      <c r="W1" s="11"/>
      <c r="X1" s="11" t="s">
        <v>227</v>
      </c>
      <c r="Y1" s="11"/>
      <c r="Z1" s="11"/>
      <c r="AA1" s="11"/>
      <c r="AB1" s="11"/>
      <c r="AC1" s="11" t="s">
        <v>228</v>
      </c>
      <c r="AD1" s="11"/>
      <c r="AE1" s="11"/>
      <c r="AF1" s="11"/>
      <c r="AG1" s="11"/>
      <c r="AH1" s="11" t="s">
        <v>229</v>
      </c>
      <c r="AI1" s="11"/>
      <c r="AJ1" s="11"/>
      <c r="AK1" s="11"/>
      <c r="AL1" s="11"/>
    </row>
    <row r="2" customFormat="false" ht="12.8" hidden="false" customHeight="false" outlineLevel="0" collapsed="false">
      <c r="A2" s="2" t="s">
        <v>230</v>
      </c>
      <c r="B2" s="2" t="s">
        <v>231</v>
      </c>
      <c r="C2" s="1" t="s">
        <v>232</v>
      </c>
      <c r="D2" s="2" t="s">
        <v>30</v>
      </c>
      <c r="E2" s="2" t="s">
        <v>31</v>
      </c>
      <c r="F2" s="2" t="s">
        <v>233</v>
      </c>
      <c r="G2" s="2" t="s">
        <v>234</v>
      </c>
      <c r="H2" s="2" t="s">
        <v>235</v>
      </c>
      <c r="I2" s="2" t="s">
        <v>223</v>
      </c>
      <c r="J2" s="2" t="s">
        <v>26</v>
      </c>
      <c r="K2" s="2" t="s">
        <v>236</v>
      </c>
      <c r="L2" s="2" t="s">
        <v>237</v>
      </c>
      <c r="M2" s="2" t="s">
        <v>238</v>
      </c>
      <c r="N2" s="2" t="s">
        <v>223</v>
      </c>
      <c r="O2" s="2" t="s">
        <v>26</v>
      </c>
      <c r="P2" s="2" t="s">
        <v>236</v>
      </c>
      <c r="Q2" s="2" t="s">
        <v>237</v>
      </c>
      <c r="R2" s="2" t="s">
        <v>238</v>
      </c>
      <c r="S2" s="2" t="s">
        <v>223</v>
      </c>
      <c r="T2" s="2" t="s">
        <v>26</v>
      </c>
      <c r="U2" s="2" t="s">
        <v>236</v>
      </c>
      <c r="V2" s="2" t="s">
        <v>237</v>
      </c>
      <c r="W2" s="2" t="s">
        <v>238</v>
      </c>
      <c r="X2" s="2" t="s">
        <v>223</v>
      </c>
      <c r="Y2" s="2" t="s">
        <v>26</v>
      </c>
      <c r="Z2" s="2" t="s">
        <v>236</v>
      </c>
      <c r="AA2" s="2" t="s">
        <v>237</v>
      </c>
      <c r="AB2" s="2" t="s">
        <v>238</v>
      </c>
      <c r="AC2" s="2" t="s">
        <v>26</v>
      </c>
      <c r="AD2" s="2" t="s">
        <v>91</v>
      </c>
      <c r="AE2" s="2" t="s">
        <v>236</v>
      </c>
      <c r="AF2" s="2" t="s">
        <v>237</v>
      </c>
      <c r="AG2" s="2" t="s">
        <v>238</v>
      </c>
      <c r="AH2" s="2" t="s">
        <v>26</v>
      </c>
      <c r="AI2" s="2" t="s">
        <v>91</v>
      </c>
      <c r="AJ2" s="2" t="s">
        <v>236</v>
      </c>
      <c r="AK2" s="2" t="s">
        <v>237</v>
      </c>
      <c r="AL2" s="2" t="s">
        <v>238</v>
      </c>
    </row>
    <row r="3" customFormat="false" ht="12.8" hidden="false" customHeight="false" outlineLevel="0" collapsed="false">
      <c r="A3" s="1" t="n">
        <f aca="false">ROW(A3)-3</f>
        <v>0</v>
      </c>
      <c r="B3" s="1" t="n">
        <v>0</v>
      </c>
      <c r="C3" s="2" t="s">
        <v>239</v>
      </c>
      <c r="D3" s="2" t="s">
        <v>240</v>
      </c>
      <c r="E3" s="2"/>
      <c r="G3" s="1" t="s">
        <v>241</v>
      </c>
      <c r="H3" s="2" t="b">
        <f aca="false">TRUE()</f>
        <v>1</v>
      </c>
      <c r="I3" s="2" t="s">
        <v>242</v>
      </c>
      <c r="J3" s="2" t="s">
        <v>52</v>
      </c>
      <c r="K3" s="1" t="n">
        <v>31.2</v>
      </c>
      <c r="L3" s="1" t="n">
        <v>1</v>
      </c>
      <c r="M3" s="1" t="n">
        <f aca="false">34.1-K3</f>
        <v>2.9</v>
      </c>
      <c r="N3" s="2" t="s">
        <v>242</v>
      </c>
      <c r="O3" s="2" t="s">
        <v>52</v>
      </c>
      <c r="P3" s="1" t="n">
        <v>33.7</v>
      </c>
      <c r="Q3" s="1" t="n">
        <v>1</v>
      </c>
      <c r="R3" s="1" t="n">
        <f aca="false">36.8-P3</f>
        <v>3.09999999999999</v>
      </c>
      <c r="S3" s="2" t="s">
        <v>242</v>
      </c>
      <c r="T3" s="2" t="s">
        <v>52</v>
      </c>
      <c r="U3" s="1" t="n">
        <v>113.6</v>
      </c>
      <c r="V3" s="1" t="n">
        <v>1</v>
      </c>
      <c r="W3" s="1" t="n">
        <f aca="false">124-U3</f>
        <v>10.4</v>
      </c>
      <c r="X3" s="2" t="s">
        <v>242</v>
      </c>
      <c r="Y3" s="2" t="s">
        <v>49</v>
      </c>
      <c r="Z3" s="1" t="n">
        <v>239.1</v>
      </c>
      <c r="AA3" s="1" t="n">
        <v>1</v>
      </c>
      <c r="AB3" s="1" t="n">
        <f aca="false">260.9-Z3</f>
        <v>21.8</v>
      </c>
    </row>
    <row r="4" customFormat="false" ht="12.8" hidden="false" customHeight="false" outlineLevel="0" collapsed="false">
      <c r="A4" s="1" t="n">
        <f aca="false">ROW(A4)-3</f>
        <v>1</v>
      </c>
      <c r="B4" s="1" t="n">
        <v>0</v>
      </c>
      <c r="C4" s="2" t="s">
        <v>239</v>
      </c>
      <c r="D4" s="2" t="s">
        <v>243</v>
      </c>
      <c r="E4" s="2"/>
      <c r="G4" s="1" t="s">
        <v>244</v>
      </c>
      <c r="H4" s="2" t="b">
        <f aca="false">TRUE()</f>
        <v>1</v>
      </c>
      <c r="I4" s="2" t="s">
        <v>245</v>
      </c>
      <c r="J4" s="2" t="s">
        <v>49</v>
      </c>
      <c r="K4" s="1" t="n">
        <v>328.6</v>
      </c>
      <c r="L4" s="1" t="n">
        <v>1</v>
      </c>
      <c r="M4" s="1" t="n">
        <f aca="false">358.5-K4</f>
        <v>29.9</v>
      </c>
    </row>
    <row r="5" customFormat="false" ht="12.8" hidden="false" customHeight="false" outlineLevel="0" collapsed="false">
      <c r="A5" s="1" t="n">
        <f aca="false">ROW(A5)-3</f>
        <v>2</v>
      </c>
      <c r="B5" s="1" t="n">
        <v>0</v>
      </c>
      <c r="C5" s="2" t="s">
        <v>246</v>
      </c>
      <c r="D5" s="2" t="s">
        <v>247</v>
      </c>
      <c r="E5" s="2"/>
      <c r="G5" s="1" t="s">
        <v>248</v>
      </c>
      <c r="H5" s="2" t="b">
        <f aca="false">FALSE()</f>
        <v>0</v>
      </c>
      <c r="I5" s="2" t="s">
        <v>242</v>
      </c>
      <c r="J5" s="2" t="s">
        <v>52</v>
      </c>
      <c r="K5" s="1" t="n">
        <v>56.7</v>
      </c>
      <c r="L5" s="1" t="n">
        <v>1</v>
      </c>
      <c r="M5" s="1" t="n">
        <f aca="false">61.9-K5</f>
        <v>5.2</v>
      </c>
    </row>
    <row r="6" customFormat="false" ht="12.8" hidden="false" customHeight="false" outlineLevel="0" collapsed="false">
      <c r="A6" s="1" t="n">
        <f aca="false">ROW(A6)-3</f>
        <v>3</v>
      </c>
      <c r="B6" s="1" t="n">
        <v>0</v>
      </c>
      <c r="C6" s="2" t="s">
        <v>246</v>
      </c>
      <c r="D6" s="2" t="s">
        <v>249</v>
      </c>
      <c r="E6" s="2"/>
      <c r="G6" s="1" t="s">
        <v>250</v>
      </c>
      <c r="H6" s="2" t="b">
        <f aca="false">FALSE()</f>
        <v>0</v>
      </c>
      <c r="I6" s="2" t="s">
        <v>242</v>
      </c>
      <c r="J6" s="2" t="s">
        <v>49</v>
      </c>
      <c r="K6" s="1" t="n">
        <v>180.2</v>
      </c>
      <c r="L6" s="1" t="n">
        <v>1</v>
      </c>
      <c r="M6" s="1" t="n">
        <f aca="false">196.6-K6</f>
        <v>16.4</v>
      </c>
    </row>
    <row r="7" customFormat="false" ht="12.8" hidden="false" customHeight="false" outlineLevel="0" collapsed="false">
      <c r="A7" s="1" t="n">
        <f aca="false">ROW(A7)-3</f>
        <v>4</v>
      </c>
      <c r="B7" s="1" t="n">
        <v>0</v>
      </c>
      <c r="C7" s="2" t="s">
        <v>251</v>
      </c>
      <c r="D7" s="2" t="s">
        <v>252</v>
      </c>
      <c r="E7" s="2"/>
      <c r="G7" s="1" t="s">
        <v>253</v>
      </c>
      <c r="H7" s="2" t="b">
        <f aca="false">FALSE()</f>
        <v>0</v>
      </c>
      <c r="I7" s="2" t="s">
        <v>242</v>
      </c>
      <c r="J7" s="2" t="s">
        <v>49</v>
      </c>
      <c r="K7" s="1" t="n">
        <v>61.7</v>
      </c>
      <c r="L7" s="1" t="n">
        <v>1</v>
      </c>
      <c r="M7" s="1" t="n">
        <f aca="false">67.4-K7</f>
        <v>5.7</v>
      </c>
    </row>
    <row r="8" customFormat="false" ht="12.8" hidden="false" customHeight="false" outlineLevel="0" collapsed="false">
      <c r="A8" s="1" t="n">
        <f aca="false">ROW(A8)-3</f>
        <v>5</v>
      </c>
      <c r="B8" s="1" t="n">
        <v>0</v>
      </c>
      <c r="C8" s="2" t="s">
        <v>251</v>
      </c>
      <c r="D8" s="2" t="s">
        <v>254</v>
      </c>
      <c r="E8" s="2"/>
      <c r="G8" s="1" t="s">
        <v>255</v>
      </c>
      <c r="H8" s="2" t="b">
        <f aca="false">FALSE()</f>
        <v>0</v>
      </c>
      <c r="I8" s="2" t="s">
        <v>242</v>
      </c>
      <c r="J8" s="2" t="s">
        <v>49</v>
      </c>
      <c r="K8" s="1" t="n">
        <v>335.2</v>
      </c>
      <c r="L8" s="1" t="n">
        <v>1</v>
      </c>
      <c r="M8" s="1" t="n">
        <f aca="false">365.7-K8</f>
        <v>30.5</v>
      </c>
    </row>
    <row r="9" customFormat="false" ht="12.8" hidden="false" customHeight="false" outlineLevel="0" collapsed="false">
      <c r="A9" s="1" t="n">
        <f aca="false">ROW(A9)-3</f>
        <v>6</v>
      </c>
      <c r="B9" s="1" t="n">
        <v>0</v>
      </c>
      <c r="C9" s="2" t="s">
        <v>256</v>
      </c>
      <c r="D9" s="2" t="s">
        <v>240</v>
      </c>
      <c r="E9" s="2"/>
      <c r="G9" s="1" t="s">
        <v>257</v>
      </c>
      <c r="H9" s="2" t="b">
        <f aca="false">FALSE()</f>
        <v>0</v>
      </c>
      <c r="I9" s="2" t="s">
        <v>242</v>
      </c>
      <c r="J9" s="2" t="s">
        <v>49</v>
      </c>
      <c r="K9" s="1" t="n">
        <v>93.4</v>
      </c>
      <c r="L9" s="1" t="n">
        <v>1</v>
      </c>
      <c r="M9" s="1" t="n">
        <f aca="false">101.9-K9</f>
        <v>8.5</v>
      </c>
    </row>
    <row r="10" customFormat="false" ht="12.8" hidden="false" customHeight="false" outlineLevel="0" collapsed="false">
      <c r="A10" s="1" t="n">
        <f aca="false">ROW(A10)-3</f>
        <v>7</v>
      </c>
      <c r="B10" s="1" t="n">
        <v>0</v>
      </c>
      <c r="C10" s="2" t="s">
        <v>256</v>
      </c>
      <c r="D10" s="2" t="s">
        <v>258</v>
      </c>
      <c r="E10" s="2"/>
      <c r="G10" s="1" t="s">
        <v>259</v>
      </c>
      <c r="H10" s="2" t="b">
        <f aca="false">FALSE()</f>
        <v>0</v>
      </c>
      <c r="I10" s="2" t="s">
        <v>242</v>
      </c>
      <c r="J10" s="2" t="s">
        <v>49</v>
      </c>
      <c r="K10" s="1" t="n">
        <v>583</v>
      </c>
      <c r="L10" s="1" t="n">
        <v>1</v>
      </c>
      <c r="M10" s="1" t="n">
        <f aca="false">636-K10</f>
        <v>53</v>
      </c>
    </row>
    <row r="11" customFormat="false" ht="12.8" hidden="false" customHeight="false" outlineLevel="0" collapsed="false">
      <c r="A11" s="1" t="n">
        <f aca="false">ROW(A11)-3</f>
        <v>8</v>
      </c>
      <c r="B11" s="1" t="n">
        <v>0</v>
      </c>
      <c r="C11" s="2" t="s">
        <v>260</v>
      </c>
      <c r="D11" s="2" t="s">
        <v>260</v>
      </c>
      <c r="E11" s="2"/>
      <c r="G11" s="1" t="s">
        <v>261</v>
      </c>
      <c r="H11" s="2" t="b">
        <f aca="false">FALSE()</f>
        <v>0</v>
      </c>
      <c r="I11" s="2" t="s">
        <v>242</v>
      </c>
      <c r="J11" s="2" t="s">
        <v>49</v>
      </c>
      <c r="K11" s="1" t="n">
        <v>542.4</v>
      </c>
      <c r="L11" s="1" t="n">
        <v>1</v>
      </c>
      <c r="M11" s="1" t="n">
        <f aca="false">591.8-K11</f>
        <v>49.4</v>
      </c>
    </row>
    <row r="12" customFormat="false" ht="12.8" hidden="false" customHeight="false" outlineLevel="0" collapsed="false">
      <c r="A12" s="1" t="n">
        <f aca="false">ROW(A12)-3</f>
        <v>9</v>
      </c>
      <c r="B12" s="1" t="n">
        <v>0</v>
      </c>
      <c r="C12" s="2" t="s">
        <v>260</v>
      </c>
      <c r="D12" s="2" t="s">
        <v>262</v>
      </c>
      <c r="E12" s="2"/>
      <c r="G12" s="1" t="s">
        <v>263</v>
      </c>
      <c r="H12" s="2" t="b">
        <f aca="false">FALSE()</f>
        <v>0</v>
      </c>
      <c r="I12" s="2" t="s">
        <v>242</v>
      </c>
      <c r="J12" s="2" t="s">
        <v>49</v>
      </c>
      <c r="K12" s="1" t="n">
        <v>1512.6</v>
      </c>
      <c r="L12" s="1" t="n">
        <v>1</v>
      </c>
      <c r="M12" s="1" t="n">
        <f aca="false">1650.2-K12</f>
        <v>137.6</v>
      </c>
    </row>
    <row r="13" customFormat="false" ht="12.8" hidden="false" customHeight="false" outlineLevel="0" collapsed="false">
      <c r="A13" s="1" t="n">
        <f aca="false">ROW(A13)-3</f>
        <v>10</v>
      </c>
      <c r="B13" s="1" t="n">
        <v>1</v>
      </c>
      <c r="C13" s="2" t="s">
        <v>239</v>
      </c>
      <c r="D13" s="2" t="s">
        <v>240</v>
      </c>
      <c r="E13" s="2"/>
      <c r="G13" s="1" t="s">
        <v>264</v>
      </c>
      <c r="H13" s="2" t="b">
        <f aca="false">FALSE()</f>
        <v>0</v>
      </c>
      <c r="I13" s="2" t="s">
        <v>265</v>
      </c>
      <c r="J13" s="2" t="s">
        <v>52</v>
      </c>
      <c r="K13" s="1" t="n">
        <v>68</v>
      </c>
      <c r="L13" s="1" t="n">
        <v>1</v>
      </c>
      <c r="M13" s="1" t="n">
        <f aca="false">74.2-K13</f>
        <v>6.2</v>
      </c>
      <c r="N13" s="2" t="s">
        <v>265</v>
      </c>
      <c r="O13" s="2" t="s">
        <v>52</v>
      </c>
      <c r="P13" s="1" t="n">
        <v>7.6</v>
      </c>
      <c r="Q13" s="1" t="n">
        <v>1</v>
      </c>
      <c r="R13" s="1" t="n">
        <f aca="false">8.3-P13</f>
        <v>0.700000000000001</v>
      </c>
    </row>
    <row r="14" customFormat="false" ht="12.8" hidden="false" customHeight="false" outlineLevel="0" collapsed="false">
      <c r="A14" s="1" t="n">
        <f aca="false">ROW(A14)-3</f>
        <v>11</v>
      </c>
      <c r="B14" s="1" t="n">
        <v>1</v>
      </c>
      <c r="C14" s="2" t="s">
        <v>239</v>
      </c>
      <c r="D14" s="2" t="s">
        <v>243</v>
      </c>
      <c r="E14" s="2"/>
      <c r="G14" s="1" t="s">
        <v>266</v>
      </c>
      <c r="H14" s="2" t="b">
        <f aca="false">FALSE()</f>
        <v>0</v>
      </c>
      <c r="I14" s="2" t="s">
        <v>265</v>
      </c>
      <c r="J14" s="2" t="s">
        <v>52</v>
      </c>
      <c r="K14" s="1" t="n">
        <v>61.8</v>
      </c>
      <c r="L14" s="1" t="n">
        <v>1</v>
      </c>
      <c r="M14" s="1" t="n">
        <f aca="false">67.5-K14</f>
        <v>5.7</v>
      </c>
      <c r="N14" s="2" t="s">
        <v>265</v>
      </c>
      <c r="O14" s="2" t="s">
        <v>52</v>
      </c>
      <c r="P14" s="1" t="n">
        <v>12.7</v>
      </c>
      <c r="Q14" s="1" t="n">
        <v>1</v>
      </c>
      <c r="R14" s="1" t="n">
        <f aca="false">13.9-P14</f>
        <v>1.2</v>
      </c>
      <c r="S14" s="2" t="s">
        <v>265</v>
      </c>
      <c r="T14" s="2" t="s">
        <v>52</v>
      </c>
      <c r="U14" s="1" t="n">
        <v>61.8</v>
      </c>
      <c r="V14" s="1" t="n">
        <v>1</v>
      </c>
      <c r="W14" s="1" t="n">
        <f aca="false">67.5-U14</f>
        <v>5.7</v>
      </c>
      <c r="X14" s="2" t="s">
        <v>265</v>
      </c>
      <c r="Y14" s="2" t="s">
        <v>52</v>
      </c>
      <c r="Z14" s="1" t="n">
        <v>49.5</v>
      </c>
      <c r="AA14" s="1" t="n">
        <v>1</v>
      </c>
      <c r="AB14" s="1" t="n">
        <f aca="false">54-Z14</f>
        <v>4.5</v>
      </c>
    </row>
    <row r="15" customFormat="false" ht="12.8" hidden="false" customHeight="false" outlineLevel="0" collapsed="false">
      <c r="A15" s="1" t="n">
        <f aca="false">ROW(A15)-3</f>
        <v>12</v>
      </c>
      <c r="B15" s="1" t="n">
        <v>1</v>
      </c>
      <c r="C15" s="2" t="s">
        <v>246</v>
      </c>
      <c r="D15" s="2" t="s">
        <v>247</v>
      </c>
      <c r="E15" s="2"/>
      <c r="G15" s="1" t="s">
        <v>267</v>
      </c>
      <c r="H15" s="2" t="b">
        <f aca="false">FALSE()</f>
        <v>0</v>
      </c>
      <c r="I15" s="2" t="s">
        <v>265</v>
      </c>
      <c r="J15" s="2" t="s">
        <v>52</v>
      </c>
      <c r="K15" s="1" t="n">
        <v>63</v>
      </c>
      <c r="L15" s="1" t="n">
        <v>1</v>
      </c>
      <c r="M15" s="1" t="n">
        <f aca="false">68.8-K15</f>
        <v>5.8</v>
      </c>
      <c r="N15" s="2" t="s">
        <v>265</v>
      </c>
      <c r="O15" s="2" t="s">
        <v>52</v>
      </c>
      <c r="P15" s="1" t="n">
        <v>39</v>
      </c>
      <c r="Q15" s="1" t="n">
        <v>1</v>
      </c>
      <c r="R15" s="1" t="n">
        <f aca="false">42.6-P15</f>
        <v>3.6</v>
      </c>
    </row>
    <row r="16" customFormat="false" ht="12.8" hidden="false" customHeight="false" outlineLevel="0" collapsed="false">
      <c r="A16" s="1" t="n">
        <f aca="false">ROW(A16)-3</f>
        <v>13</v>
      </c>
      <c r="B16" s="1" t="n">
        <v>1</v>
      </c>
      <c r="C16" s="2" t="s">
        <v>246</v>
      </c>
      <c r="D16" s="2" t="s">
        <v>249</v>
      </c>
      <c r="E16" s="2"/>
      <c r="G16" s="1" t="s">
        <v>268</v>
      </c>
      <c r="H16" s="2" t="b">
        <f aca="false">FALSE()</f>
        <v>0</v>
      </c>
      <c r="I16" s="2" t="s">
        <v>265</v>
      </c>
      <c r="J16" s="2" t="s">
        <v>52</v>
      </c>
      <c r="K16" s="1" t="n">
        <v>221.4</v>
      </c>
      <c r="L16" s="1" t="n">
        <v>1</v>
      </c>
      <c r="M16" s="1" t="n">
        <f aca="false">241.6-K16</f>
        <v>20.2</v>
      </c>
    </row>
    <row r="17" customFormat="false" ht="12.8" hidden="false" customHeight="false" outlineLevel="0" collapsed="false">
      <c r="A17" s="1" t="n">
        <f aca="false">ROW(A17)-3</f>
        <v>14</v>
      </c>
      <c r="B17" s="1" t="n">
        <v>1</v>
      </c>
      <c r="C17" s="2" t="s">
        <v>251</v>
      </c>
      <c r="D17" s="2" t="s">
        <v>252</v>
      </c>
      <c r="E17" s="2"/>
      <c r="G17" s="1" t="s">
        <v>269</v>
      </c>
      <c r="H17" s="2" t="b">
        <f aca="false">FALSE()</f>
        <v>0</v>
      </c>
      <c r="I17" s="2" t="s">
        <v>265</v>
      </c>
      <c r="J17" s="2" t="s">
        <v>52</v>
      </c>
      <c r="K17" s="1" t="n">
        <v>93.4</v>
      </c>
      <c r="L17" s="1" t="n">
        <v>1</v>
      </c>
      <c r="M17" s="1" t="n">
        <f aca="false">101.9-K17</f>
        <v>8.5</v>
      </c>
    </row>
    <row r="18" customFormat="false" ht="12.8" hidden="false" customHeight="false" outlineLevel="0" collapsed="false">
      <c r="A18" s="1" t="n">
        <f aca="false">ROW(A18)-3</f>
        <v>15</v>
      </c>
      <c r="B18" s="1" t="n">
        <v>1</v>
      </c>
      <c r="C18" s="2" t="s">
        <v>251</v>
      </c>
      <c r="D18" s="2" t="s">
        <v>254</v>
      </c>
      <c r="E18" s="2"/>
      <c r="G18" s="1" t="s">
        <v>270</v>
      </c>
      <c r="H18" s="2" t="b">
        <f aca="false">FALSE()</f>
        <v>0</v>
      </c>
      <c r="I18" s="2" t="s">
        <v>265</v>
      </c>
      <c r="J18" s="2" t="s">
        <v>52</v>
      </c>
      <c r="K18" s="1" t="n">
        <v>388.8</v>
      </c>
      <c r="L18" s="1" t="n">
        <v>1</v>
      </c>
      <c r="M18" s="1" t="n">
        <f aca="false">424.2-K18</f>
        <v>35.4</v>
      </c>
    </row>
    <row r="19" customFormat="false" ht="12.8" hidden="false" customHeight="false" outlineLevel="0" collapsed="false">
      <c r="A19" s="1" t="n">
        <f aca="false">ROW(A19)-3</f>
        <v>16</v>
      </c>
      <c r="B19" s="1" t="n">
        <v>1</v>
      </c>
      <c r="C19" s="2" t="s">
        <v>256</v>
      </c>
      <c r="D19" s="2" t="s">
        <v>240</v>
      </c>
      <c r="E19" s="2"/>
      <c r="G19" s="1" t="s">
        <v>271</v>
      </c>
      <c r="H19" s="2" t="b">
        <f aca="false">TRUE()</f>
        <v>1</v>
      </c>
      <c r="I19" s="2" t="s">
        <v>265</v>
      </c>
      <c r="J19" s="2" t="s">
        <v>52</v>
      </c>
      <c r="K19" s="1" t="n">
        <v>24.2</v>
      </c>
      <c r="L19" s="1" t="n">
        <v>1</v>
      </c>
      <c r="M19" s="1" t="n">
        <f aca="false">26.4-K19</f>
        <v>2.2</v>
      </c>
      <c r="N19" s="2" t="s">
        <v>265</v>
      </c>
      <c r="O19" s="2" t="s">
        <v>52</v>
      </c>
      <c r="P19" s="1" t="n">
        <v>51.7</v>
      </c>
      <c r="Q19" s="1" t="n">
        <v>1</v>
      </c>
      <c r="R19" s="1" t="n">
        <f aca="false">56.4-P19</f>
        <v>4.7</v>
      </c>
      <c r="S19" s="2" t="s">
        <v>265</v>
      </c>
      <c r="T19" s="2" t="s">
        <v>52</v>
      </c>
      <c r="U19" s="1" t="n">
        <v>50.1</v>
      </c>
      <c r="V19" s="1" t="n">
        <v>1</v>
      </c>
      <c r="W19" s="1" t="n">
        <f aca="false">54.7-U19</f>
        <v>4.6</v>
      </c>
    </row>
    <row r="20" customFormat="false" ht="12.8" hidden="false" customHeight="false" outlineLevel="0" collapsed="false">
      <c r="A20" s="1" t="n">
        <f aca="false">ROW(A20)-3</f>
        <v>17</v>
      </c>
      <c r="B20" s="1" t="n">
        <v>1</v>
      </c>
      <c r="C20" s="2" t="s">
        <v>256</v>
      </c>
      <c r="D20" s="2" t="s">
        <v>258</v>
      </c>
      <c r="E20" s="2"/>
      <c r="G20" s="1" t="s">
        <v>272</v>
      </c>
      <c r="H20" s="2" t="b">
        <f aca="false">FALSE()</f>
        <v>0</v>
      </c>
      <c r="I20" s="2" t="s">
        <v>265</v>
      </c>
      <c r="J20" s="2" t="s">
        <v>52</v>
      </c>
      <c r="K20" s="1" t="n">
        <v>543.8</v>
      </c>
      <c r="L20" s="1" t="n">
        <v>1</v>
      </c>
      <c r="M20" s="1" t="n">
        <f aca="false">593.3-K20</f>
        <v>49.5</v>
      </c>
    </row>
    <row r="21" customFormat="false" ht="12.8" hidden="false" customHeight="false" outlineLevel="0" collapsed="false">
      <c r="A21" s="1" t="n">
        <f aca="false">ROW(A21)-3</f>
        <v>18</v>
      </c>
      <c r="B21" s="1" t="n">
        <v>1</v>
      </c>
      <c r="C21" s="2" t="s">
        <v>260</v>
      </c>
      <c r="D21" s="2" t="s">
        <v>260</v>
      </c>
      <c r="E21" s="2"/>
      <c r="G21" s="1" t="s">
        <v>273</v>
      </c>
      <c r="H21" s="2" t="b">
        <f aca="false">FALSE()</f>
        <v>0</v>
      </c>
      <c r="I21" s="2" t="s">
        <v>265</v>
      </c>
      <c r="J21" s="2" t="s">
        <v>52</v>
      </c>
      <c r="K21" s="1" t="n">
        <v>735.2</v>
      </c>
      <c r="L21" s="1" t="n">
        <v>1</v>
      </c>
      <c r="M21" s="1" t="n">
        <f aca="false">802.1-K21</f>
        <v>66.9</v>
      </c>
    </row>
    <row r="22" customFormat="false" ht="12.8" hidden="false" customHeight="false" outlineLevel="0" collapsed="false">
      <c r="A22" s="1" t="n">
        <f aca="false">ROW(A22)-3</f>
        <v>19</v>
      </c>
      <c r="B22" s="1" t="n">
        <v>1</v>
      </c>
      <c r="C22" s="2" t="s">
        <v>260</v>
      </c>
      <c r="D22" s="2" t="s">
        <v>262</v>
      </c>
      <c r="E22" s="2"/>
      <c r="G22" s="1" t="s">
        <v>274</v>
      </c>
      <c r="H22" s="2" t="b">
        <f aca="false">FALSE()</f>
        <v>0</v>
      </c>
      <c r="I22" s="2" t="s">
        <v>265</v>
      </c>
      <c r="J22" s="2" t="s">
        <v>52</v>
      </c>
      <c r="K22" s="1" t="n">
        <v>1597.7</v>
      </c>
      <c r="L22" s="1" t="n">
        <v>1</v>
      </c>
      <c r="M22" s="1" t="n">
        <f aca="false">1743-K22</f>
        <v>145.3</v>
      </c>
    </row>
    <row r="23" customFormat="false" ht="12.8" hidden="false" customHeight="false" outlineLevel="0" collapsed="false">
      <c r="A23" s="1" t="n">
        <f aca="false">ROW(A23)-3</f>
        <v>20</v>
      </c>
      <c r="B23" s="1" t="n">
        <v>2</v>
      </c>
      <c r="C23" s="2" t="s">
        <v>239</v>
      </c>
      <c r="D23" s="2" t="s">
        <v>240</v>
      </c>
      <c r="E23" s="2"/>
      <c r="G23" s="1" t="s">
        <v>275</v>
      </c>
      <c r="H23" s="2" t="b">
        <f aca="false">TRUE()</f>
        <v>1</v>
      </c>
      <c r="I23" s="2" t="s">
        <v>245</v>
      </c>
      <c r="J23" s="2" t="s">
        <v>52</v>
      </c>
      <c r="K23" s="1" t="n">
        <v>38.9</v>
      </c>
      <c r="L23" s="1" t="n">
        <v>1</v>
      </c>
      <c r="M23" s="1" t="n">
        <f aca="false">42.5-K23</f>
        <v>3.6</v>
      </c>
      <c r="N23" s="2" t="s">
        <v>245</v>
      </c>
      <c r="O23" s="2" t="s">
        <v>52</v>
      </c>
      <c r="P23" s="1" t="n">
        <v>35.3</v>
      </c>
      <c r="Q23" s="1" t="n">
        <v>1</v>
      </c>
      <c r="R23" s="1" t="n">
        <f aca="false">38.6-P23</f>
        <v>3.3</v>
      </c>
      <c r="S23" s="2" t="s">
        <v>245</v>
      </c>
      <c r="T23" s="2" t="s">
        <v>52</v>
      </c>
      <c r="U23" s="1" t="n">
        <v>124.3</v>
      </c>
      <c r="V23" s="1" t="n">
        <v>1</v>
      </c>
      <c r="W23" s="1" t="n">
        <f aca="false">135.6-U23</f>
        <v>11.3</v>
      </c>
    </row>
    <row r="24" customFormat="false" ht="12.8" hidden="false" customHeight="false" outlineLevel="0" collapsed="false">
      <c r="A24" s="1" t="n">
        <f aca="false">ROW(A24)-3</f>
        <v>21</v>
      </c>
      <c r="B24" s="1" t="n">
        <v>2</v>
      </c>
      <c r="C24" s="2" t="s">
        <v>239</v>
      </c>
      <c r="D24" s="2" t="s">
        <v>240</v>
      </c>
      <c r="E24" s="2"/>
      <c r="G24" s="1" t="s">
        <v>276</v>
      </c>
      <c r="H24" s="2" t="b">
        <f aca="false">TRUE()</f>
        <v>1</v>
      </c>
      <c r="I24" s="2" t="s">
        <v>245</v>
      </c>
      <c r="J24" s="2" t="s">
        <v>52</v>
      </c>
      <c r="K24" s="1" t="n">
        <v>9</v>
      </c>
      <c r="L24" s="1" t="n">
        <v>3</v>
      </c>
      <c r="M24" s="1" t="n">
        <f aca="false">9.8-K24</f>
        <v>0.800000000000001</v>
      </c>
      <c r="N24" s="2" t="s">
        <v>245</v>
      </c>
      <c r="O24" s="2" t="s">
        <v>52</v>
      </c>
      <c r="P24" s="1" t="n">
        <v>9</v>
      </c>
      <c r="Q24" s="1" t="n">
        <v>4</v>
      </c>
      <c r="R24" s="1" t="n">
        <f aca="false">9.8-P24</f>
        <v>0.800000000000001</v>
      </c>
      <c r="S24" s="2" t="s">
        <v>245</v>
      </c>
      <c r="T24" s="2" t="s">
        <v>52</v>
      </c>
      <c r="U24" s="1" t="n">
        <v>9</v>
      </c>
      <c r="V24" s="1" t="n">
        <v>20</v>
      </c>
      <c r="W24" s="1" t="n">
        <f aca="false">9.8-U24</f>
        <v>0.800000000000001</v>
      </c>
    </row>
    <row r="25" customFormat="false" ht="12.8" hidden="false" customHeight="false" outlineLevel="0" collapsed="false">
      <c r="A25" s="1" t="n">
        <f aca="false">ROW(A25)-3</f>
        <v>22</v>
      </c>
      <c r="B25" s="1" t="n">
        <v>2</v>
      </c>
      <c r="C25" s="2" t="s">
        <v>239</v>
      </c>
      <c r="D25" s="2" t="s">
        <v>258</v>
      </c>
      <c r="E25" s="2"/>
      <c r="G25" s="1" t="s">
        <v>277</v>
      </c>
      <c r="H25" s="2" t="b">
        <f aca="false">TRUE()</f>
        <v>1</v>
      </c>
      <c r="I25" s="2" t="s">
        <v>245</v>
      </c>
      <c r="J25" s="2" t="s">
        <v>52</v>
      </c>
      <c r="K25" s="1" t="n">
        <v>16.4</v>
      </c>
      <c r="L25" s="1" t="n">
        <v>3</v>
      </c>
      <c r="M25" s="1" t="n">
        <f aca="false">17.9-K25</f>
        <v>1.5</v>
      </c>
      <c r="N25" s="2" t="s">
        <v>245</v>
      </c>
      <c r="O25" s="2" t="s">
        <v>52</v>
      </c>
      <c r="P25" s="1" t="n">
        <v>16.4</v>
      </c>
      <c r="Q25" s="1" t="n">
        <v>4</v>
      </c>
      <c r="R25" s="1" t="n">
        <f aca="false">17.9-P25</f>
        <v>1.5</v>
      </c>
      <c r="S25" s="2" t="s">
        <v>245</v>
      </c>
      <c r="T25" s="2" t="s">
        <v>52</v>
      </c>
      <c r="U25" s="1" t="n">
        <v>16.4</v>
      </c>
      <c r="V25" s="1" t="n">
        <v>20</v>
      </c>
      <c r="W25" s="1" t="n">
        <f aca="false">17.9-U25</f>
        <v>1.5</v>
      </c>
    </row>
    <row r="26" customFormat="false" ht="12.8" hidden="false" customHeight="false" outlineLevel="0" collapsed="false">
      <c r="A26" s="1" t="n">
        <f aca="false">ROW(A26)-3</f>
        <v>23</v>
      </c>
      <c r="B26" s="1" t="n">
        <v>2</v>
      </c>
      <c r="C26" s="2" t="s">
        <v>246</v>
      </c>
      <c r="D26" s="2" t="s">
        <v>247</v>
      </c>
      <c r="E26" s="2"/>
      <c r="G26" s="1" t="s">
        <v>278</v>
      </c>
      <c r="H26" s="2" t="b">
        <f aca="false">FALSE()</f>
        <v>0</v>
      </c>
      <c r="I26" s="2" t="s">
        <v>245</v>
      </c>
      <c r="J26" s="2" t="s">
        <v>52</v>
      </c>
      <c r="K26" s="1" t="n">
        <v>41.2</v>
      </c>
      <c r="L26" s="1" t="n">
        <v>1</v>
      </c>
      <c r="M26" s="1" t="n">
        <f aca="false">45-K26</f>
        <v>3.8</v>
      </c>
    </row>
    <row r="27" customFormat="false" ht="12.8" hidden="false" customHeight="false" outlineLevel="0" collapsed="false">
      <c r="A27" s="1" t="n">
        <f aca="false">ROW(A27)-3</f>
        <v>24</v>
      </c>
      <c r="B27" s="1" t="n">
        <v>2</v>
      </c>
      <c r="C27" s="2" t="s">
        <v>246</v>
      </c>
      <c r="D27" s="2" t="s">
        <v>247</v>
      </c>
      <c r="E27" s="2"/>
      <c r="G27" s="1" t="s">
        <v>279</v>
      </c>
      <c r="H27" s="2" t="b">
        <f aca="false">FALSE()</f>
        <v>0</v>
      </c>
      <c r="I27" s="2" t="s">
        <v>245</v>
      </c>
      <c r="J27" s="2" t="s">
        <v>52</v>
      </c>
      <c r="K27" s="1" t="n">
        <v>9</v>
      </c>
      <c r="L27" s="1" t="n">
        <v>13</v>
      </c>
      <c r="M27" s="1" t="n">
        <f aca="false">9.8-K27</f>
        <v>0.800000000000001</v>
      </c>
    </row>
    <row r="28" customFormat="false" ht="12.8" hidden="false" customHeight="false" outlineLevel="0" collapsed="false">
      <c r="A28" s="1" t="n">
        <f aca="false">ROW(A28)-3</f>
        <v>25</v>
      </c>
      <c r="B28" s="1" t="n">
        <v>2</v>
      </c>
      <c r="C28" s="2" t="s">
        <v>246</v>
      </c>
      <c r="D28" s="2" t="s">
        <v>247</v>
      </c>
      <c r="E28" s="2"/>
      <c r="G28" s="1" t="s">
        <v>280</v>
      </c>
      <c r="H28" s="2" t="b">
        <f aca="false">FALSE()</f>
        <v>0</v>
      </c>
      <c r="I28" s="2" t="s">
        <v>245</v>
      </c>
      <c r="J28" s="2" t="s">
        <v>52</v>
      </c>
      <c r="K28" s="1" t="n">
        <v>60</v>
      </c>
      <c r="L28" s="1" t="n">
        <v>1</v>
      </c>
      <c r="M28" s="1" t="n">
        <f aca="false">65.5-K28</f>
        <v>5.5</v>
      </c>
    </row>
    <row r="29" customFormat="false" ht="12.8" hidden="false" customHeight="false" outlineLevel="0" collapsed="false">
      <c r="A29" s="1" t="n">
        <f aca="false">ROW(A29)-3</f>
        <v>26</v>
      </c>
      <c r="B29" s="1" t="n">
        <v>2</v>
      </c>
      <c r="C29" s="2" t="s">
        <v>246</v>
      </c>
      <c r="D29" s="2" t="s">
        <v>249</v>
      </c>
      <c r="E29" s="2"/>
      <c r="G29" s="1" t="s">
        <v>281</v>
      </c>
      <c r="H29" s="2" t="b">
        <f aca="false">FALSE()</f>
        <v>0</v>
      </c>
      <c r="I29" s="2" t="s">
        <v>245</v>
      </c>
      <c r="J29" s="2" t="s">
        <v>52</v>
      </c>
      <c r="K29" s="1" t="n">
        <v>182.4</v>
      </c>
      <c r="L29" s="1" t="n">
        <v>1</v>
      </c>
      <c r="M29" s="1" t="n">
        <f aca="false">199-K29</f>
        <v>16.6</v>
      </c>
    </row>
    <row r="30" customFormat="false" ht="12.8" hidden="false" customHeight="false" outlineLevel="0" collapsed="false">
      <c r="A30" s="1" t="n">
        <f aca="false">ROW(A30)-3</f>
        <v>27</v>
      </c>
      <c r="B30" s="1" t="n">
        <v>2</v>
      </c>
      <c r="C30" s="2" t="s">
        <v>251</v>
      </c>
      <c r="D30" s="2" t="s">
        <v>252</v>
      </c>
      <c r="E30" s="2"/>
      <c r="G30" s="1" t="s">
        <v>282</v>
      </c>
      <c r="H30" s="2" t="b">
        <f aca="false">FALSE()</f>
        <v>0</v>
      </c>
      <c r="I30" s="2" t="s">
        <v>245</v>
      </c>
      <c r="J30" s="2" t="s">
        <v>55</v>
      </c>
      <c r="K30" s="1" t="n">
        <v>63.4</v>
      </c>
      <c r="L30" s="1" t="n">
        <v>1</v>
      </c>
      <c r="M30" s="1" t="n">
        <f aca="false">69.2-K30</f>
        <v>5.8</v>
      </c>
    </row>
    <row r="31" customFormat="false" ht="12.8" hidden="false" customHeight="false" outlineLevel="0" collapsed="false">
      <c r="A31" s="1" t="n">
        <f aca="false">ROW(A31)-3</f>
        <v>28</v>
      </c>
      <c r="B31" s="1" t="n">
        <v>2</v>
      </c>
      <c r="C31" s="2" t="s">
        <v>251</v>
      </c>
      <c r="D31" s="2" t="s">
        <v>254</v>
      </c>
      <c r="E31" s="2"/>
      <c r="G31" s="1" t="s">
        <v>283</v>
      </c>
      <c r="H31" s="2" t="b">
        <f aca="false">FALSE()</f>
        <v>0</v>
      </c>
      <c r="I31" s="2" t="s">
        <v>245</v>
      </c>
      <c r="J31" s="2" t="s">
        <v>55</v>
      </c>
      <c r="K31" s="1" t="n">
        <v>246.7</v>
      </c>
      <c r="L31" s="1" t="n">
        <v>1</v>
      </c>
      <c r="M31" s="1" t="n">
        <f aca="false">258-K31</f>
        <v>11.3</v>
      </c>
    </row>
    <row r="32" customFormat="false" ht="12.8" hidden="false" customHeight="false" outlineLevel="0" collapsed="false">
      <c r="A32" s="1" t="n">
        <f aca="false">ROW(A32)-3</f>
        <v>29</v>
      </c>
      <c r="B32" s="1" t="n">
        <v>2</v>
      </c>
      <c r="C32" s="2" t="s">
        <v>256</v>
      </c>
      <c r="D32" s="2" t="s">
        <v>240</v>
      </c>
      <c r="E32" s="2"/>
      <c r="G32" s="1" t="s">
        <v>284</v>
      </c>
      <c r="H32" s="2" t="b">
        <f aca="false">FALSE()</f>
        <v>0</v>
      </c>
      <c r="I32" s="2" t="s">
        <v>245</v>
      </c>
      <c r="J32" s="2" t="s">
        <v>55</v>
      </c>
      <c r="K32" s="1" t="n">
        <v>52.6</v>
      </c>
      <c r="L32" s="1" t="n">
        <v>1</v>
      </c>
      <c r="M32" s="1" t="n">
        <f aca="false">57.4-K32</f>
        <v>4.8</v>
      </c>
    </row>
    <row r="33" customFormat="false" ht="12.8" hidden="false" customHeight="false" outlineLevel="0" collapsed="false">
      <c r="A33" s="1" t="n">
        <f aca="false">ROW(A33)-3</f>
        <v>30</v>
      </c>
      <c r="B33" s="1" t="n">
        <v>2</v>
      </c>
      <c r="C33" s="2" t="s">
        <v>256</v>
      </c>
      <c r="D33" s="2" t="s">
        <v>258</v>
      </c>
      <c r="E33" s="2"/>
      <c r="G33" s="1" t="s">
        <v>285</v>
      </c>
      <c r="H33" s="2" t="b">
        <f aca="false">FALSE()</f>
        <v>0</v>
      </c>
      <c r="I33" s="2" t="s">
        <v>245</v>
      </c>
      <c r="J33" s="2" t="s">
        <v>55</v>
      </c>
      <c r="K33" s="1" t="n">
        <v>215</v>
      </c>
      <c r="L33" s="1" t="n">
        <v>1</v>
      </c>
      <c r="M33" s="1" t="n">
        <f aca="false">234.6-K33</f>
        <v>19.6</v>
      </c>
      <c r="N33" s="2" t="s">
        <v>245</v>
      </c>
      <c r="O33" s="2" t="s">
        <v>55</v>
      </c>
      <c r="P33" s="1" t="n">
        <v>215</v>
      </c>
      <c r="Q33" s="1" t="n">
        <v>1</v>
      </c>
      <c r="R33" s="1" t="n">
        <f aca="false">234.6-P33</f>
        <v>19.6</v>
      </c>
      <c r="S33" s="2" t="s">
        <v>245</v>
      </c>
      <c r="T33" s="2" t="s">
        <v>55</v>
      </c>
      <c r="U33" s="1" t="n">
        <v>387</v>
      </c>
      <c r="V33" s="1" t="n">
        <v>1</v>
      </c>
      <c r="W33" s="1" t="n">
        <f aca="false">422.2-U33</f>
        <v>35.2</v>
      </c>
    </row>
    <row r="34" customFormat="false" ht="12.8" hidden="false" customHeight="false" outlineLevel="0" collapsed="false">
      <c r="A34" s="1" t="n">
        <f aca="false">ROW(A34)-3</f>
        <v>31</v>
      </c>
      <c r="B34" s="1" t="n">
        <v>2</v>
      </c>
      <c r="C34" s="2" t="s">
        <v>260</v>
      </c>
      <c r="D34" s="2" t="s">
        <v>260</v>
      </c>
      <c r="E34" s="2"/>
      <c r="G34" s="1" t="s">
        <v>286</v>
      </c>
      <c r="H34" s="2" t="b">
        <f aca="false">FALSE()</f>
        <v>0</v>
      </c>
      <c r="I34" s="2" t="s">
        <v>245</v>
      </c>
      <c r="J34" s="2" t="s">
        <v>55</v>
      </c>
      <c r="K34" s="1" t="n">
        <v>209.6</v>
      </c>
      <c r="L34" s="1" t="n">
        <v>1</v>
      </c>
      <c r="M34" s="1" t="n">
        <f aca="false">228.8-K34</f>
        <v>19.2</v>
      </c>
      <c r="N34" s="2" t="s">
        <v>245</v>
      </c>
      <c r="O34" s="2" t="s">
        <v>55</v>
      </c>
      <c r="P34" s="1" t="n">
        <v>283</v>
      </c>
      <c r="Q34" s="1" t="n">
        <v>1</v>
      </c>
      <c r="R34" s="1" t="n">
        <f aca="false">308.8-P34</f>
        <v>25.8</v>
      </c>
    </row>
    <row r="35" customFormat="false" ht="12.8" hidden="false" customHeight="false" outlineLevel="0" collapsed="false">
      <c r="A35" s="1" t="n">
        <f aca="false">ROW(A35)-3</f>
        <v>32</v>
      </c>
      <c r="B35" s="1" t="n">
        <v>2</v>
      </c>
      <c r="C35" s="2" t="s">
        <v>260</v>
      </c>
      <c r="D35" s="2" t="s">
        <v>262</v>
      </c>
      <c r="E35" s="2"/>
      <c r="G35" s="1" t="s">
        <v>287</v>
      </c>
      <c r="H35" s="2" t="b">
        <f aca="false">FALSE()</f>
        <v>0</v>
      </c>
      <c r="I35" s="2" t="s">
        <v>245</v>
      </c>
      <c r="J35" s="2" t="s">
        <v>55</v>
      </c>
      <c r="K35" s="1" t="n">
        <v>646.8</v>
      </c>
      <c r="L35" s="1" t="n">
        <v>1</v>
      </c>
      <c r="M35" s="1" t="n">
        <f aca="false">705.6-K35</f>
        <v>58.8000000000001</v>
      </c>
      <c r="N35" s="2" t="s">
        <v>245</v>
      </c>
      <c r="O35" s="2" t="s">
        <v>55</v>
      </c>
      <c r="P35" s="1" t="n">
        <v>873.2</v>
      </c>
      <c r="Q35" s="1" t="n">
        <v>1</v>
      </c>
      <c r="R35" s="1" t="n">
        <f aca="false">952.6-P35</f>
        <v>79.4</v>
      </c>
    </row>
    <row r="36" customFormat="false" ht="12.8" hidden="false" customHeight="false" outlineLevel="0" collapsed="false">
      <c r="A36" s="1" t="n">
        <f aca="false">ROW(A36)-3</f>
        <v>33</v>
      </c>
      <c r="B36" s="1" t="n">
        <v>24</v>
      </c>
      <c r="C36" s="2" t="s">
        <v>239</v>
      </c>
      <c r="D36" s="2" t="s">
        <v>240</v>
      </c>
      <c r="E36" s="2"/>
      <c r="G36" s="1" t="s">
        <v>288</v>
      </c>
      <c r="H36" s="2" t="b">
        <f aca="false">TRUE()</f>
        <v>1</v>
      </c>
      <c r="I36" s="2" t="s">
        <v>242</v>
      </c>
      <c r="J36" s="2" t="s">
        <v>52</v>
      </c>
      <c r="K36" s="1" t="n">
        <f aca="false">0.269*100</f>
        <v>26.9</v>
      </c>
      <c r="L36" s="1" t="n">
        <v>1</v>
      </c>
      <c r="M36" s="1" t="n">
        <v>2.5</v>
      </c>
      <c r="N36" s="2" t="s">
        <v>242</v>
      </c>
      <c r="O36" s="2" t="s">
        <v>52</v>
      </c>
      <c r="P36" s="1" t="n">
        <f aca="false">0.296*100</f>
        <v>29.6</v>
      </c>
      <c r="Q36" s="1" t="n">
        <v>1</v>
      </c>
      <c r="R36" s="1" t="n">
        <v>2.7</v>
      </c>
      <c r="S36" s="2" t="s">
        <v>242</v>
      </c>
      <c r="T36" s="2" t="s">
        <v>67</v>
      </c>
      <c r="U36" s="1" t="n">
        <v>62.8</v>
      </c>
      <c r="V36" s="1" t="n">
        <v>1</v>
      </c>
      <c r="W36" s="1" t="n">
        <v>5.8</v>
      </c>
      <c r="X36" s="2" t="s">
        <v>242</v>
      </c>
      <c r="Y36" s="2" t="s">
        <v>67</v>
      </c>
      <c r="Z36" s="1" t="n">
        <v>96.5</v>
      </c>
      <c r="AA36" s="1" t="n">
        <v>1</v>
      </c>
      <c r="AB36" s="1" t="n">
        <v>8.8</v>
      </c>
      <c r="AC36" s="2" t="s">
        <v>242</v>
      </c>
      <c r="AD36" s="2" t="s">
        <v>67</v>
      </c>
      <c r="AE36" s="1" t="n">
        <v>129</v>
      </c>
      <c r="AF36" s="1" t="n">
        <v>1</v>
      </c>
      <c r="AG36" s="1" t="n">
        <v>11.8</v>
      </c>
    </row>
    <row r="37" customFormat="false" ht="12.8" hidden="false" customHeight="false" outlineLevel="0" collapsed="false">
      <c r="A37" s="1" t="n">
        <f aca="false">ROW(A37)-3</f>
        <v>34</v>
      </c>
      <c r="B37" s="1" t="n">
        <v>24</v>
      </c>
      <c r="C37" s="2" t="s">
        <v>239</v>
      </c>
      <c r="D37" s="2" t="s">
        <v>289</v>
      </c>
      <c r="E37" s="2"/>
      <c r="G37" s="1" t="s">
        <v>290</v>
      </c>
      <c r="H37" s="2" t="b">
        <f aca="false">FALSE()</f>
        <v>0</v>
      </c>
      <c r="I37" s="2" t="s">
        <v>242</v>
      </c>
      <c r="J37" s="2" t="s">
        <v>67</v>
      </c>
      <c r="K37" s="1" t="n">
        <v>454.7</v>
      </c>
      <c r="L37" s="1" t="n">
        <v>1</v>
      </c>
      <c r="M37" s="1" t="n">
        <v>41.4</v>
      </c>
      <c r="N37" s="2" t="s">
        <v>242</v>
      </c>
      <c r="O37" s="2" t="s">
        <v>67</v>
      </c>
      <c r="P37" s="1" t="n">
        <v>858.1</v>
      </c>
      <c r="Q37" s="1" t="n">
        <v>1</v>
      </c>
      <c r="R37" s="1" t="n">
        <v>78.1</v>
      </c>
      <c r="S37" s="2" t="s">
        <v>242</v>
      </c>
      <c r="T37" s="2" t="s">
        <v>67</v>
      </c>
      <c r="U37" s="1" t="n">
        <v>2141.1</v>
      </c>
      <c r="V37" s="1" t="n">
        <v>1</v>
      </c>
      <c r="W37" s="1" t="n">
        <f aca="false">2335.8-U37</f>
        <v>194.7</v>
      </c>
    </row>
    <row r="38" customFormat="false" ht="12.8" hidden="false" customHeight="false" outlineLevel="0" collapsed="false">
      <c r="A38" s="1" t="n">
        <f aca="false">ROW(A38)-3</f>
        <v>35</v>
      </c>
      <c r="B38" s="1" t="n">
        <v>24</v>
      </c>
      <c r="C38" s="2" t="s">
        <v>246</v>
      </c>
      <c r="D38" s="2" t="s">
        <v>247</v>
      </c>
      <c r="E38" s="2"/>
      <c r="G38" s="1" t="s">
        <v>291</v>
      </c>
      <c r="H38" s="2" t="b">
        <f aca="false">FALSE()</f>
        <v>0</v>
      </c>
      <c r="I38" s="2" t="s">
        <v>242</v>
      </c>
      <c r="J38" s="2" t="s">
        <v>52</v>
      </c>
      <c r="K38" s="1" t="n">
        <v>25.8</v>
      </c>
      <c r="L38" s="1" t="n">
        <v>1</v>
      </c>
      <c r="M38" s="1" t="n">
        <f aca="false">28.2-K38</f>
        <v>2.4</v>
      </c>
    </row>
    <row r="39" customFormat="false" ht="12.8" hidden="false" customHeight="false" outlineLevel="0" collapsed="false">
      <c r="A39" s="1" t="n">
        <f aca="false">ROW(A39)-3</f>
        <v>36</v>
      </c>
      <c r="B39" s="1" t="n">
        <v>24</v>
      </c>
      <c r="C39" s="2" t="s">
        <v>246</v>
      </c>
      <c r="D39" s="2" t="s">
        <v>249</v>
      </c>
      <c r="E39" s="2"/>
      <c r="G39" s="1" t="s">
        <v>292</v>
      </c>
      <c r="H39" s="2" t="b">
        <f aca="false">FALSE()</f>
        <v>0</v>
      </c>
      <c r="I39" s="2" t="s">
        <v>242</v>
      </c>
      <c r="J39" s="2" t="s">
        <v>67</v>
      </c>
      <c r="K39" s="1" t="n">
        <v>245.9</v>
      </c>
      <c r="L39" s="1" t="n">
        <v>1</v>
      </c>
      <c r="M39" s="1" t="n">
        <f aca="false">268.3-K39</f>
        <v>22.4</v>
      </c>
    </row>
    <row r="40" customFormat="false" ht="12.8" hidden="false" customHeight="false" outlineLevel="0" collapsed="false">
      <c r="A40" s="1" t="n">
        <f aca="false">ROW(A40)-3</f>
        <v>37</v>
      </c>
      <c r="B40" s="1" t="n">
        <v>24</v>
      </c>
      <c r="C40" s="2" t="s">
        <v>251</v>
      </c>
      <c r="D40" s="2" t="s">
        <v>252</v>
      </c>
      <c r="E40" s="2"/>
      <c r="G40" s="1" t="s">
        <v>293</v>
      </c>
      <c r="H40" s="2" t="b">
        <f aca="false">FALSE()</f>
        <v>0</v>
      </c>
      <c r="I40" s="2" t="s">
        <v>242</v>
      </c>
      <c r="J40" s="2" t="s">
        <v>67</v>
      </c>
      <c r="K40" s="1" t="n">
        <v>104.5</v>
      </c>
      <c r="L40" s="1" t="n">
        <v>1</v>
      </c>
      <c r="M40" s="1" t="n">
        <f aca="false">114-K40</f>
        <v>9.5</v>
      </c>
    </row>
    <row r="41" customFormat="false" ht="12.8" hidden="false" customHeight="false" outlineLevel="0" collapsed="false">
      <c r="A41" s="1" t="n">
        <f aca="false">ROW(A41)-3</f>
        <v>38</v>
      </c>
      <c r="B41" s="1" t="n">
        <v>24</v>
      </c>
      <c r="C41" s="2" t="s">
        <v>251</v>
      </c>
      <c r="D41" s="2" t="s">
        <v>254</v>
      </c>
      <c r="E41" s="2"/>
      <c r="G41" s="1" t="s">
        <v>294</v>
      </c>
      <c r="H41" s="2" t="b">
        <f aca="false">FALSE()</f>
        <v>0</v>
      </c>
      <c r="I41" s="2" t="s">
        <v>242</v>
      </c>
      <c r="J41" s="2" t="s">
        <v>67</v>
      </c>
      <c r="K41" s="1" t="n">
        <v>337.8</v>
      </c>
      <c r="L41" s="1" t="n">
        <v>1</v>
      </c>
      <c r="M41" s="1" t="n">
        <f aca="false">368.6-K41</f>
        <v>30.8</v>
      </c>
    </row>
    <row r="42" customFormat="false" ht="12.8" hidden="false" customHeight="false" outlineLevel="0" collapsed="false">
      <c r="A42" s="1" t="n">
        <f aca="false">ROW(A42)-3</f>
        <v>39</v>
      </c>
      <c r="B42" s="1" t="n">
        <v>24</v>
      </c>
      <c r="C42" s="2" t="s">
        <v>256</v>
      </c>
      <c r="D42" s="2" t="s">
        <v>240</v>
      </c>
      <c r="E42" s="2"/>
      <c r="G42" s="1" t="s">
        <v>295</v>
      </c>
      <c r="H42" s="2" t="b">
        <f aca="false">FALSE()</f>
        <v>0</v>
      </c>
      <c r="I42" s="2" t="s">
        <v>242</v>
      </c>
      <c r="J42" s="2" t="s">
        <v>67</v>
      </c>
      <c r="K42" s="1" t="n">
        <v>35.8</v>
      </c>
      <c r="L42" s="1" t="n">
        <v>1</v>
      </c>
      <c r="M42" s="1" t="n">
        <f aca="false">39.1-K42</f>
        <v>3.3</v>
      </c>
    </row>
    <row r="43" customFormat="false" ht="12.8" hidden="false" customHeight="false" outlineLevel="0" collapsed="false">
      <c r="A43" s="1" t="n">
        <f aca="false">ROW(A43)-3</f>
        <v>40</v>
      </c>
      <c r="B43" s="1" t="n">
        <v>24</v>
      </c>
      <c r="C43" s="2" t="s">
        <v>256</v>
      </c>
      <c r="D43" s="2" t="s">
        <v>258</v>
      </c>
      <c r="E43" s="2"/>
      <c r="G43" s="1" t="s">
        <v>296</v>
      </c>
      <c r="H43" s="2" t="b">
        <f aca="false">TRUE()</f>
        <v>1</v>
      </c>
      <c r="I43" s="2" t="s">
        <v>242</v>
      </c>
      <c r="J43" s="2" t="s">
        <v>67</v>
      </c>
      <c r="K43" s="1" t="n">
        <v>393.4</v>
      </c>
      <c r="L43" s="1" t="n">
        <v>1</v>
      </c>
      <c r="M43" s="1" t="n">
        <f aca="false">429.3-K43</f>
        <v>35.9</v>
      </c>
      <c r="N43" s="2" t="s">
        <v>242</v>
      </c>
      <c r="O43" s="2" t="s">
        <v>67</v>
      </c>
      <c r="P43" s="1" t="n">
        <v>483.2</v>
      </c>
      <c r="Q43" s="1" t="n">
        <v>1</v>
      </c>
      <c r="R43" s="1" t="n">
        <f aca="false">527.2-P43</f>
        <v>44.0000000000001</v>
      </c>
    </row>
    <row r="44" customFormat="false" ht="12.8" hidden="false" customHeight="false" outlineLevel="0" collapsed="false">
      <c r="A44" s="1" t="n">
        <f aca="false">ROW(A44)-3</f>
        <v>41</v>
      </c>
      <c r="B44" s="1" t="n">
        <v>24</v>
      </c>
      <c r="C44" s="2" t="s">
        <v>260</v>
      </c>
      <c r="D44" s="2" t="s">
        <v>260</v>
      </c>
      <c r="E44" s="2"/>
      <c r="G44" s="1" t="s">
        <v>297</v>
      </c>
      <c r="H44" s="2" t="b">
        <f aca="false">FALSE()</f>
        <v>0</v>
      </c>
      <c r="I44" s="2" t="s">
        <v>242</v>
      </c>
      <c r="J44" s="2" t="s">
        <v>67</v>
      </c>
      <c r="K44" s="1" t="n">
        <v>628</v>
      </c>
      <c r="L44" s="1" t="n">
        <v>1</v>
      </c>
      <c r="M44" s="1" t="n">
        <f aca="false">685.3-628</f>
        <v>57.3</v>
      </c>
    </row>
    <row r="45" customFormat="false" ht="12.8" hidden="false" customHeight="false" outlineLevel="0" collapsed="false">
      <c r="A45" s="1" t="n">
        <f aca="false">ROW(A45)-3</f>
        <v>42</v>
      </c>
      <c r="B45" s="1" t="n">
        <v>24</v>
      </c>
      <c r="C45" s="2" t="s">
        <v>260</v>
      </c>
      <c r="D45" s="2" t="s">
        <v>262</v>
      </c>
      <c r="E45" s="2"/>
      <c r="G45" s="1" t="s">
        <v>298</v>
      </c>
      <c r="H45" s="2" t="b">
        <f aca="false">FALSE()</f>
        <v>0</v>
      </c>
      <c r="I45" s="2" t="s">
        <v>242</v>
      </c>
      <c r="J45" s="2" t="s">
        <v>67</v>
      </c>
      <c r="K45" s="1" t="n">
        <v>2388</v>
      </c>
      <c r="L45" s="1" t="n">
        <v>1</v>
      </c>
      <c r="M45" s="1" t="n">
        <f aca="false">2605.1-K45</f>
        <v>217.1</v>
      </c>
    </row>
    <row r="46" customFormat="false" ht="12.8" hidden="false" customHeight="false" outlineLevel="0" collapsed="false">
      <c r="A46" s="1" t="n">
        <f aca="false">ROW(A46)-3</f>
        <v>43</v>
      </c>
      <c r="B46" s="1" t="n">
        <v>3</v>
      </c>
      <c r="C46" s="2" t="s">
        <v>239</v>
      </c>
      <c r="D46" s="2" t="s">
        <v>240</v>
      </c>
      <c r="E46" s="2"/>
      <c r="G46" s="1" t="s">
        <v>299</v>
      </c>
      <c r="H46" s="2" t="b">
        <f aca="false">TRUE()</f>
        <v>1</v>
      </c>
      <c r="I46" s="2" t="s">
        <v>242</v>
      </c>
      <c r="J46" s="2" t="s">
        <v>52</v>
      </c>
      <c r="K46" s="1" t="n">
        <v>55.2</v>
      </c>
      <c r="L46" s="1" t="n">
        <v>1</v>
      </c>
      <c r="M46" s="1" t="n">
        <f aca="false">60.3-K46</f>
        <v>5.09999999999999</v>
      </c>
      <c r="N46" s="2" t="s">
        <v>242</v>
      </c>
      <c r="O46" s="2" t="s">
        <v>52</v>
      </c>
      <c r="P46" s="1" t="n">
        <v>62.6</v>
      </c>
      <c r="Q46" s="1" t="n">
        <v>1</v>
      </c>
      <c r="R46" s="1" t="n">
        <f aca="false">68.3-P46</f>
        <v>5.7</v>
      </c>
      <c r="S46" s="2" t="s">
        <v>242</v>
      </c>
      <c r="T46" s="2" t="s">
        <v>52</v>
      </c>
      <c r="U46" s="1" t="n">
        <v>72.7</v>
      </c>
      <c r="V46" s="1" t="n">
        <v>1</v>
      </c>
      <c r="W46" s="1" t="n">
        <f aca="false">79.4-U46</f>
        <v>6.7</v>
      </c>
      <c r="X46" s="2" t="s">
        <v>242</v>
      </c>
      <c r="Y46" s="2" t="s">
        <v>52</v>
      </c>
      <c r="Z46" s="1" t="n">
        <v>170.2</v>
      </c>
      <c r="AA46" s="1" t="n">
        <v>1</v>
      </c>
      <c r="AB46" s="1" t="n">
        <f aca="false">185.7-Z46</f>
        <v>15.5</v>
      </c>
      <c r="AC46" s="2" t="s">
        <v>242</v>
      </c>
      <c r="AD46" s="2" t="s">
        <v>52</v>
      </c>
      <c r="AE46" s="1" t="n">
        <v>123.6</v>
      </c>
      <c r="AF46" s="1" t="n">
        <v>1</v>
      </c>
      <c r="AG46" s="1" t="n">
        <f aca="false">134.9-AE46</f>
        <v>11.3</v>
      </c>
    </row>
    <row r="47" customFormat="false" ht="12.8" hidden="false" customHeight="false" outlineLevel="0" collapsed="false">
      <c r="A47" s="1" t="n">
        <f aca="false">ROW(A47)-3</f>
        <v>44</v>
      </c>
      <c r="B47" s="1" t="n">
        <v>3</v>
      </c>
      <c r="C47" s="2" t="s">
        <v>239</v>
      </c>
      <c r="D47" s="2" t="s">
        <v>243</v>
      </c>
      <c r="E47" s="2"/>
      <c r="G47" s="1" t="s">
        <v>300</v>
      </c>
      <c r="H47" s="2" t="b">
        <f aca="false">TRUE()</f>
        <v>1</v>
      </c>
      <c r="I47" s="2" t="s">
        <v>242</v>
      </c>
      <c r="J47" s="2" t="s">
        <v>52</v>
      </c>
      <c r="K47" s="1" t="n">
        <v>71.8</v>
      </c>
      <c r="L47" s="1" t="n">
        <v>1</v>
      </c>
      <c r="M47" s="1" t="n">
        <f aca="false">78.4-K47</f>
        <v>6.60000000000001</v>
      </c>
    </row>
    <row r="48" customFormat="false" ht="12.8" hidden="false" customHeight="false" outlineLevel="0" collapsed="false">
      <c r="A48" s="1" t="n">
        <f aca="false">ROW(A48)-3</f>
        <v>45</v>
      </c>
      <c r="B48" s="1" t="n">
        <v>3</v>
      </c>
      <c r="C48" s="2" t="s">
        <v>246</v>
      </c>
      <c r="D48" s="2" t="s">
        <v>247</v>
      </c>
      <c r="E48" s="2"/>
      <c r="G48" s="1" t="s">
        <v>301</v>
      </c>
      <c r="H48" s="2" t="b">
        <f aca="false">FALSE()</f>
        <v>0</v>
      </c>
      <c r="I48" s="2" t="s">
        <v>242</v>
      </c>
      <c r="J48" s="2" t="s">
        <v>52</v>
      </c>
      <c r="K48" s="1" t="n">
        <v>35.1</v>
      </c>
      <c r="L48" s="1" t="n">
        <v>1</v>
      </c>
      <c r="M48" s="1" t="n">
        <f aca="false">38.3-K48</f>
        <v>3.2</v>
      </c>
    </row>
    <row r="49" customFormat="false" ht="12.8" hidden="false" customHeight="false" outlineLevel="0" collapsed="false">
      <c r="A49" s="1" t="n">
        <f aca="false">ROW(A49)-3</f>
        <v>46</v>
      </c>
      <c r="B49" s="1" t="n">
        <v>3</v>
      </c>
      <c r="C49" s="2" t="s">
        <v>246</v>
      </c>
      <c r="D49" s="2" t="s">
        <v>249</v>
      </c>
      <c r="E49" s="2"/>
      <c r="G49" s="1" t="s">
        <v>302</v>
      </c>
      <c r="H49" s="2" t="b">
        <f aca="false">FALSE()</f>
        <v>0</v>
      </c>
      <c r="I49" s="2" t="s">
        <v>242</v>
      </c>
      <c r="J49" s="2" t="s">
        <v>52</v>
      </c>
      <c r="K49" s="1" t="n">
        <v>227.9</v>
      </c>
      <c r="L49" s="1" t="n">
        <v>1</v>
      </c>
      <c r="M49" s="1" t="n">
        <f aca="false">248.7-K49</f>
        <v>20.8</v>
      </c>
    </row>
    <row r="50" customFormat="false" ht="12.8" hidden="false" customHeight="false" outlineLevel="0" collapsed="false">
      <c r="A50" s="1" t="n">
        <f aca="false">ROW(A50)-3</f>
        <v>47</v>
      </c>
      <c r="B50" s="1" t="n">
        <v>3</v>
      </c>
      <c r="C50" s="2" t="s">
        <v>251</v>
      </c>
      <c r="D50" s="2" t="s">
        <v>252</v>
      </c>
      <c r="E50" s="2"/>
      <c r="G50" s="1" t="s">
        <v>303</v>
      </c>
      <c r="H50" s="2" t="b">
        <f aca="false">FALSE()</f>
        <v>0</v>
      </c>
      <c r="I50" s="2" t="s">
        <v>242</v>
      </c>
      <c r="J50" s="2" t="s">
        <v>52</v>
      </c>
      <c r="K50" s="1" t="n">
        <v>94.5</v>
      </c>
      <c r="L50" s="1" t="n">
        <v>1</v>
      </c>
      <c r="M50" s="1" t="n">
        <f aca="false">103.1-K50</f>
        <v>8.59999999999999</v>
      </c>
    </row>
    <row r="51" customFormat="false" ht="12.8" hidden="false" customHeight="false" outlineLevel="0" collapsed="false">
      <c r="A51" s="1" t="n">
        <f aca="false">ROW(A51)-3</f>
        <v>48</v>
      </c>
      <c r="B51" s="1" t="n">
        <v>3</v>
      </c>
      <c r="C51" s="2" t="s">
        <v>251</v>
      </c>
      <c r="D51" s="2" t="s">
        <v>254</v>
      </c>
      <c r="E51" s="2"/>
      <c r="G51" s="1" t="s">
        <v>304</v>
      </c>
      <c r="H51" s="2" t="b">
        <f aca="false">FALSE()</f>
        <v>0</v>
      </c>
      <c r="I51" s="2" t="s">
        <v>242</v>
      </c>
      <c r="J51" s="2" t="s">
        <v>52</v>
      </c>
      <c r="K51" s="1" t="n">
        <v>300.4</v>
      </c>
      <c r="L51" s="1" t="n">
        <v>1</v>
      </c>
      <c r="M51" s="1" t="n">
        <f aca="false">327.8-K51</f>
        <v>27.4</v>
      </c>
    </row>
    <row r="52" customFormat="false" ht="12.8" hidden="false" customHeight="false" outlineLevel="0" collapsed="false">
      <c r="A52" s="1" t="n">
        <f aca="false">ROW(A52)-3</f>
        <v>49</v>
      </c>
      <c r="B52" s="1" t="n">
        <v>3</v>
      </c>
      <c r="C52" s="2" t="s">
        <v>256</v>
      </c>
      <c r="D52" s="2" t="s">
        <v>240</v>
      </c>
      <c r="E52" s="2"/>
      <c r="G52" s="1" t="s">
        <v>305</v>
      </c>
      <c r="H52" s="2" t="b">
        <f aca="false">FALSE()</f>
        <v>0</v>
      </c>
      <c r="I52" s="2" t="s">
        <v>245</v>
      </c>
      <c r="J52" s="2" t="s">
        <v>52</v>
      </c>
      <c r="K52" s="1" t="n">
        <v>47.3</v>
      </c>
      <c r="L52" s="1" t="n">
        <v>1</v>
      </c>
      <c r="M52" s="1" t="n">
        <f aca="false">51.6-K52</f>
        <v>4.3</v>
      </c>
    </row>
    <row r="53" customFormat="false" ht="12.8" hidden="false" customHeight="false" outlineLevel="0" collapsed="false">
      <c r="A53" s="1" t="n">
        <f aca="false">ROW(A53)-3</f>
        <v>50</v>
      </c>
      <c r="B53" s="1" t="n">
        <v>3</v>
      </c>
      <c r="C53" s="2" t="s">
        <v>256</v>
      </c>
      <c r="D53" s="2" t="s">
        <v>258</v>
      </c>
      <c r="E53" s="2"/>
      <c r="G53" s="1" t="s">
        <v>306</v>
      </c>
      <c r="H53" s="2" t="b">
        <f aca="false">FALSE()</f>
        <v>0</v>
      </c>
      <c r="I53" s="2" t="s">
        <v>242</v>
      </c>
      <c r="J53" s="2" t="s">
        <v>52</v>
      </c>
      <c r="K53" s="1" t="n">
        <v>539.7</v>
      </c>
      <c r="L53" s="1" t="n">
        <v>1</v>
      </c>
      <c r="M53" s="1" t="n">
        <f aca="false">588.8-K53</f>
        <v>49.0999999999999</v>
      </c>
    </row>
    <row r="54" customFormat="false" ht="12.8" hidden="false" customHeight="false" outlineLevel="0" collapsed="false">
      <c r="A54" s="1" t="n">
        <f aca="false">ROW(A54)-3</f>
        <v>51</v>
      </c>
      <c r="B54" s="1" t="n">
        <v>3</v>
      </c>
      <c r="C54" s="2" t="s">
        <v>260</v>
      </c>
      <c r="D54" s="2" t="s">
        <v>260</v>
      </c>
      <c r="E54" s="2"/>
      <c r="G54" s="1" t="s">
        <v>307</v>
      </c>
      <c r="H54" s="2" t="b">
        <f aca="false">FALSE()</f>
        <v>0</v>
      </c>
      <c r="I54" s="2" t="s">
        <v>242</v>
      </c>
      <c r="J54" s="2" t="s">
        <v>52</v>
      </c>
      <c r="K54" s="1" t="n">
        <v>536.2</v>
      </c>
      <c r="L54" s="1" t="n">
        <v>1</v>
      </c>
      <c r="M54" s="1" t="n">
        <f aca="false">585-K54</f>
        <v>48.8</v>
      </c>
    </row>
    <row r="55" customFormat="false" ht="12.8" hidden="false" customHeight="false" outlineLevel="0" collapsed="false">
      <c r="A55" s="1" t="n">
        <f aca="false">ROW(A55)-3</f>
        <v>52</v>
      </c>
      <c r="B55" s="1" t="n">
        <v>3</v>
      </c>
      <c r="C55" s="2" t="s">
        <v>260</v>
      </c>
      <c r="D55" s="2" t="s">
        <v>262</v>
      </c>
      <c r="E55" s="2"/>
      <c r="G55" s="1" t="s">
        <v>308</v>
      </c>
      <c r="H55" s="2" t="b">
        <f aca="false">FALSE()</f>
        <v>0</v>
      </c>
      <c r="I55" s="2" t="s">
        <v>242</v>
      </c>
      <c r="J55" s="2" t="s">
        <v>52</v>
      </c>
      <c r="K55" s="1" t="n">
        <v>1571.1</v>
      </c>
      <c r="L55" s="1" t="n">
        <v>1</v>
      </c>
      <c r="M55" s="1" t="n">
        <f aca="false">1714-K55</f>
        <v>142.9</v>
      </c>
    </row>
    <row r="56" customFormat="false" ht="12.8" hidden="false" customHeight="false" outlineLevel="0" collapsed="false">
      <c r="A56" s="1" t="n">
        <f aca="false">ROW(A56)-3</f>
        <v>53</v>
      </c>
      <c r="B56" s="1" t="n">
        <v>4</v>
      </c>
      <c r="C56" s="2" t="s">
        <v>239</v>
      </c>
      <c r="D56" s="2" t="s">
        <v>240</v>
      </c>
      <c r="E56" s="2"/>
      <c r="G56" s="1" t="s">
        <v>309</v>
      </c>
      <c r="H56" s="2" t="b">
        <f aca="false">TRUE()</f>
        <v>1</v>
      </c>
      <c r="I56" s="2" t="s">
        <v>242</v>
      </c>
      <c r="J56" s="2" t="s">
        <v>52</v>
      </c>
      <c r="K56" s="1" t="n">
        <v>34.4</v>
      </c>
      <c r="L56" s="1" t="n">
        <v>1</v>
      </c>
      <c r="M56" s="1" t="n">
        <f aca="false">37.6-K56</f>
        <v>3.2</v>
      </c>
      <c r="N56" s="2" t="s">
        <v>242</v>
      </c>
      <c r="O56" s="2" t="s">
        <v>52</v>
      </c>
      <c r="P56" s="1" t="n">
        <v>41.2</v>
      </c>
      <c r="Q56" s="1" t="n">
        <v>1</v>
      </c>
      <c r="R56" s="1" t="n">
        <f aca="false">45-P56</f>
        <v>3.8</v>
      </c>
      <c r="S56" s="2" t="s">
        <v>242</v>
      </c>
      <c r="T56" s="2" t="s">
        <v>52</v>
      </c>
      <c r="U56" s="1" t="n">
        <v>102.8</v>
      </c>
      <c r="V56" s="1" t="n">
        <v>1</v>
      </c>
      <c r="W56" s="1" t="n">
        <f aca="false">112.2-U56</f>
        <v>9.40000000000001</v>
      </c>
      <c r="X56" s="2" t="s">
        <v>242</v>
      </c>
      <c r="Y56" s="2" t="s">
        <v>52</v>
      </c>
      <c r="Z56" s="1" t="n">
        <v>213.4</v>
      </c>
      <c r="AA56" s="1" t="n">
        <v>1</v>
      </c>
      <c r="AB56" s="1" t="n">
        <f aca="false">232.8-Z56</f>
        <v>19.4</v>
      </c>
    </row>
    <row r="57" customFormat="false" ht="12.8" hidden="false" customHeight="false" outlineLevel="0" collapsed="false">
      <c r="A57" s="1" t="n">
        <f aca="false">ROW(A57)-3</f>
        <v>54</v>
      </c>
      <c r="B57" s="1" t="n">
        <v>4</v>
      </c>
      <c r="C57" s="2" t="s">
        <v>239</v>
      </c>
      <c r="D57" s="2" t="s">
        <v>258</v>
      </c>
      <c r="E57" s="2"/>
      <c r="G57" s="1" t="s">
        <v>310</v>
      </c>
      <c r="H57" s="2" t="b">
        <f aca="false">TRUE()</f>
        <v>1</v>
      </c>
      <c r="I57" s="2" t="s">
        <v>242</v>
      </c>
      <c r="J57" s="2" t="s">
        <v>59</v>
      </c>
      <c r="K57" s="1" t="n">
        <v>55.1</v>
      </c>
      <c r="L57" s="1" t="n">
        <v>1</v>
      </c>
      <c r="M57" s="1" t="n">
        <f aca="false">60.2-K57</f>
        <v>5.1</v>
      </c>
      <c r="N57" s="2" t="s">
        <v>242</v>
      </c>
      <c r="O57" s="2" t="s">
        <v>59</v>
      </c>
      <c r="P57" s="1" t="n">
        <v>57.2</v>
      </c>
      <c r="Q57" s="1" t="n">
        <v>1</v>
      </c>
      <c r="R57" s="1" t="n">
        <f aca="false">62.4-P57</f>
        <v>5.2</v>
      </c>
      <c r="S57" s="2" t="s">
        <v>242</v>
      </c>
      <c r="T57" s="2" t="s">
        <v>59</v>
      </c>
      <c r="U57" s="1" t="n">
        <v>132</v>
      </c>
      <c r="V57" s="1" t="n">
        <v>1</v>
      </c>
      <c r="W57" s="1" t="n">
        <f aca="false">144-U57</f>
        <v>12</v>
      </c>
      <c r="X57" s="2" t="s">
        <v>242</v>
      </c>
      <c r="Y57" s="2" t="s">
        <v>59</v>
      </c>
      <c r="Z57" s="1" t="n">
        <v>340.7</v>
      </c>
      <c r="AA57" s="1" t="n">
        <v>1</v>
      </c>
      <c r="AB57" s="1" t="n">
        <f aca="false">371.7-Z57</f>
        <v>31</v>
      </c>
    </row>
    <row r="58" customFormat="false" ht="12.8" hidden="false" customHeight="false" outlineLevel="0" collapsed="false">
      <c r="A58" s="1" t="n">
        <f aca="false">ROW(A58)-3</f>
        <v>55</v>
      </c>
      <c r="B58" s="1" t="n">
        <v>4</v>
      </c>
      <c r="C58" s="2" t="s">
        <v>246</v>
      </c>
      <c r="D58" s="2" t="s">
        <v>247</v>
      </c>
      <c r="E58" s="2"/>
      <c r="G58" s="1" t="s">
        <v>311</v>
      </c>
      <c r="H58" s="2" t="b">
        <f aca="false">FALSE()</f>
        <v>0</v>
      </c>
      <c r="I58" s="2" t="s">
        <v>242</v>
      </c>
      <c r="J58" s="2" t="s">
        <v>52</v>
      </c>
      <c r="K58" s="1" t="n">
        <v>68.3</v>
      </c>
      <c r="L58" s="1" t="n">
        <v>1</v>
      </c>
      <c r="M58" s="1" t="n">
        <f aca="false">74.6-K58</f>
        <v>6.3</v>
      </c>
    </row>
    <row r="59" customFormat="false" ht="12.8" hidden="false" customHeight="false" outlineLevel="0" collapsed="false">
      <c r="A59" s="1" t="n">
        <f aca="false">ROW(A59)-3</f>
        <v>56</v>
      </c>
      <c r="B59" s="1" t="n">
        <v>4</v>
      </c>
      <c r="C59" s="2" t="s">
        <v>246</v>
      </c>
      <c r="D59" s="2" t="s">
        <v>258</v>
      </c>
      <c r="E59" s="2"/>
      <c r="G59" s="1" t="s">
        <v>310</v>
      </c>
      <c r="H59" s="2" t="b">
        <f aca="false">FALSE()</f>
        <v>0</v>
      </c>
      <c r="I59" s="2" t="s">
        <v>242</v>
      </c>
      <c r="J59" s="2" t="s">
        <v>59</v>
      </c>
      <c r="K59" s="1" t="n">
        <v>78.8</v>
      </c>
      <c r="L59" s="1" t="n">
        <v>1</v>
      </c>
      <c r="M59" s="1" t="n">
        <f aca="false">86-K59</f>
        <v>7.2</v>
      </c>
    </row>
    <row r="60" customFormat="false" ht="12.8" hidden="false" customHeight="false" outlineLevel="0" collapsed="false">
      <c r="A60" s="1" t="n">
        <f aca="false">ROW(A60)-3</f>
        <v>57</v>
      </c>
      <c r="B60" s="1" t="n">
        <v>4</v>
      </c>
      <c r="C60" s="2" t="s">
        <v>246</v>
      </c>
      <c r="D60" s="2" t="s">
        <v>249</v>
      </c>
      <c r="E60" s="2"/>
      <c r="G60" s="1" t="s">
        <v>312</v>
      </c>
      <c r="H60" s="2" t="b">
        <f aca="false">FALSE()</f>
        <v>0</v>
      </c>
      <c r="I60" s="2" t="s">
        <v>242</v>
      </c>
      <c r="J60" s="2" t="s">
        <v>59</v>
      </c>
      <c r="K60" s="1" t="n">
        <v>262</v>
      </c>
      <c r="L60" s="1" t="n">
        <v>1</v>
      </c>
      <c r="M60" s="1" t="n">
        <f aca="false">285.9-K60</f>
        <v>23.9</v>
      </c>
    </row>
    <row r="61" customFormat="false" ht="12.8" hidden="false" customHeight="false" outlineLevel="0" collapsed="false">
      <c r="A61" s="1" t="n">
        <f aca="false">ROW(A61)-3</f>
        <v>58</v>
      </c>
      <c r="B61" s="1" t="n">
        <v>4</v>
      </c>
      <c r="C61" s="2" t="s">
        <v>251</v>
      </c>
      <c r="D61" s="2" t="s">
        <v>252</v>
      </c>
      <c r="E61" s="2"/>
      <c r="G61" s="1" t="s">
        <v>313</v>
      </c>
      <c r="H61" s="2" t="b">
        <f aca="false">FALSE()</f>
        <v>0</v>
      </c>
      <c r="I61" s="2" t="s">
        <v>242</v>
      </c>
      <c r="J61" s="2" t="s">
        <v>59</v>
      </c>
      <c r="K61" s="1" t="n">
        <v>120.8</v>
      </c>
      <c r="L61" s="1" t="n">
        <v>1</v>
      </c>
      <c r="M61" s="1" t="n">
        <f aca="false">131.8-K61</f>
        <v>11</v>
      </c>
    </row>
    <row r="62" customFormat="false" ht="12.8" hidden="false" customHeight="false" outlineLevel="0" collapsed="false">
      <c r="A62" s="1" t="n">
        <f aca="false">ROW(A62)-3</f>
        <v>59</v>
      </c>
      <c r="B62" s="1" t="n">
        <v>4</v>
      </c>
      <c r="C62" s="2" t="s">
        <v>251</v>
      </c>
      <c r="D62" s="2" t="s">
        <v>254</v>
      </c>
      <c r="E62" s="2"/>
      <c r="G62" s="1" t="s">
        <v>314</v>
      </c>
      <c r="H62" s="2" t="b">
        <f aca="false">FALSE()</f>
        <v>0</v>
      </c>
      <c r="I62" s="2" t="s">
        <v>242</v>
      </c>
      <c r="J62" s="2" t="s">
        <v>59</v>
      </c>
      <c r="K62" s="1" t="n">
        <v>383.7</v>
      </c>
      <c r="L62" s="1" t="n">
        <v>1</v>
      </c>
      <c r="M62" s="1" t="n">
        <f aca="false">418.6-K62</f>
        <v>34.9</v>
      </c>
    </row>
    <row r="63" customFormat="false" ht="12.8" hidden="false" customHeight="false" outlineLevel="0" collapsed="false">
      <c r="A63" s="1" t="n">
        <f aca="false">ROW(A63)-3</f>
        <v>60</v>
      </c>
      <c r="B63" s="1" t="n">
        <v>4</v>
      </c>
      <c r="C63" s="2" t="s">
        <v>256</v>
      </c>
      <c r="D63" s="2" t="s">
        <v>240</v>
      </c>
      <c r="E63" s="2"/>
      <c r="G63" s="1" t="s">
        <v>315</v>
      </c>
      <c r="H63" s="2" t="b">
        <f aca="false">FALSE()</f>
        <v>0</v>
      </c>
      <c r="I63" s="2" t="s">
        <v>242</v>
      </c>
      <c r="J63" s="2" t="s">
        <v>59</v>
      </c>
      <c r="K63" s="1" t="n">
        <v>52.6</v>
      </c>
      <c r="L63" s="1" t="n">
        <v>1</v>
      </c>
      <c r="M63" s="1" t="n">
        <f aca="false">57.4-K63</f>
        <v>4.8</v>
      </c>
    </row>
    <row r="64" customFormat="false" ht="12.8" hidden="false" customHeight="false" outlineLevel="0" collapsed="false">
      <c r="A64" s="1" t="n">
        <f aca="false">ROW(A64)-3</f>
        <v>61</v>
      </c>
      <c r="B64" s="1" t="n">
        <v>4</v>
      </c>
      <c r="C64" s="2" t="s">
        <v>256</v>
      </c>
      <c r="D64" s="2" t="s">
        <v>258</v>
      </c>
      <c r="E64" s="2"/>
      <c r="G64" s="1" t="s">
        <v>316</v>
      </c>
      <c r="H64" s="2" t="b">
        <f aca="false">FALSE()</f>
        <v>0</v>
      </c>
      <c r="I64" s="2" t="s">
        <v>242</v>
      </c>
      <c r="J64" s="2" t="s">
        <v>59</v>
      </c>
      <c r="K64" s="1" t="n">
        <v>675</v>
      </c>
      <c r="L64" s="1" t="n">
        <v>1</v>
      </c>
      <c r="M64" s="1" t="n">
        <f aca="false">736.4-K64</f>
        <v>61.4</v>
      </c>
    </row>
    <row r="65" customFormat="false" ht="12.8" hidden="false" customHeight="false" outlineLevel="0" collapsed="false">
      <c r="A65" s="1" t="n">
        <f aca="false">ROW(A65)-3</f>
        <v>62</v>
      </c>
      <c r="B65" s="1" t="n">
        <v>4</v>
      </c>
      <c r="C65" s="2" t="s">
        <v>260</v>
      </c>
      <c r="D65" s="2" t="s">
        <v>260</v>
      </c>
      <c r="E65" s="2"/>
      <c r="G65" s="1" t="s">
        <v>317</v>
      </c>
      <c r="H65" s="2" t="b">
        <f aca="false">FALSE()</f>
        <v>0</v>
      </c>
      <c r="I65" s="2" t="s">
        <v>242</v>
      </c>
      <c r="J65" s="2" t="s">
        <v>59</v>
      </c>
      <c r="K65" s="1" t="n">
        <v>632.5</v>
      </c>
      <c r="L65" s="1" t="n">
        <v>1</v>
      </c>
      <c r="M65" s="1" t="n">
        <f aca="false">690-K65</f>
        <v>57.5</v>
      </c>
    </row>
    <row r="66" customFormat="false" ht="12.8" hidden="false" customHeight="false" outlineLevel="0" collapsed="false">
      <c r="A66" s="1" t="n">
        <f aca="false">ROW(A66)-3</f>
        <v>63</v>
      </c>
      <c r="B66" s="1" t="n">
        <v>4</v>
      </c>
      <c r="C66" s="2" t="s">
        <v>260</v>
      </c>
      <c r="D66" s="2" t="s">
        <v>262</v>
      </c>
      <c r="E66" s="2"/>
      <c r="G66" s="1" t="s">
        <v>318</v>
      </c>
      <c r="H66" s="2" t="b">
        <f aca="false">FALSE()</f>
        <v>0</v>
      </c>
      <c r="I66" s="2" t="s">
        <v>242</v>
      </c>
      <c r="J66" s="2" t="s">
        <v>59</v>
      </c>
      <c r="K66" s="1" t="n">
        <v>2103</v>
      </c>
      <c r="L66" s="1" t="n">
        <v>1</v>
      </c>
      <c r="M66" s="1" t="n">
        <f aca="false">2294.2-K66</f>
        <v>191.2</v>
      </c>
    </row>
    <row r="67" customFormat="false" ht="12.8" hidden="false" customHeight="false" outlineLevel="0" collapsed="false">
      <c r="A67" s="1" t="n">
        <f aca="false">ROW(A67)-3</f>
        <v>64</v>
      </c>
      <c r="B67" s="1" t="n">
        <v>5</v>
      </c>
      <c r="C67" s="2" t="s">
        <v>239</v>
      </c>
      <c r="D67" s="2" t="s">
        <v>240</v>
      </c>
      <c r="E67" s="2"/>
      <c r="G67" s="1" t="s">
        <v>319</v>
      </c>
      <c r="H67" s="2" t="b">
        <f aca="false">TRUE()</f>
        <v>1</v>
      </c>
      <c r="I67" s="2" t="s">
        <v>242</v>
      </c>
      <c r="J67" s="2" t="s">
        <v>52</v>
      </c>
      <c r="K67" s="1" t="n">
        <v>82</v>
      </c>
      <c r="L67" s="1" t="n">
        <v>1</v>
      </c>
      <c r="M67" s="1" t="n">
        <f aca="false">89.5-K67</f>
        <v>7.5</v>
      </c>
      <c r="N67" s="2" t="s">
        <v>242</v>
      </c>
      <c r="O67" s="2" t="s">
        <v>52</v>
      </c>
      <c r="P67" s="1" t="n">
        <v>76.6</v>
      </c>
      <c r="Q67" s="1" t="n">
        <v>1</v>
      </c>
      <c r="R67" s="1" t="n">
        <f aca="false">83.6-P67</f>
        <v>7</v>
      </c>
      <c r="S67" s="2" t="s">
        <v>242</v>
      </c>
      <c r="T67" s="2" t="s">
        <v>52</v>
      </c>
      <c r="U67" s="1" t="n">
        <v>179.2</v>
      </c>
      <c r="V67" s="1" t="n">
        <v>1</v>
      </c>
      <c r="W67" s="1" t="n">
        <f aca="false">195.5-U67</f>
        <v>16.3</v>
      </c>
      <c r="X67" s="2" t="s">
        <v>242</v>
      </c>
      <c r="Y67" s="2" t="s">
        <v>52</v>
      </c>
      <c r="Z67" s="1" t="n">
        <v>233.4</v>
      </c>
      <c r="AA67" s="1" t="n">
        <v>1</v>
      </c>
      <c r="AB67" s="1" t="n">
        <f aca="false">254.7-Z67</f>
        <v>21.3</v>
      </c>
      <c r="AC67" s="2" t="s">
        <v>242</v>
      </c>
      <c r="AD67" s="2" t="s">
        <v>52</v>
      </c>
      <c r="AE67" s="1" t="n">
        <v>421.2</v>
      </c>
      <c r="AF67" s="1" t="n">
        <v>1</v>
      </c>
      <c r="AG67" s="1" t="n">
        <f aca="false">459.5-AE67</f>
        <v>38.3</v>
      </c>
    </row>
    <row r="68" customFormat="false" ht="12.8" hidden="false" customHeight="false" outlineLevel="0" collapsed="false">
      <c r="A68" s="1" t="n">
        <f aca="false">ROW(A68)-3</f>
        <v>65</v>
      </c>
      <c r="B68" s="1" t="n">
        <v>5</v>
      </c>
      <c r="C68" s="2" t="s">
        <v>246</v>
      </c>
      <c r="D68" s="2" t="s">
        <v>247</v>
      </c>
      <c r="E68" s="2"/>
      <c r="G68" s="1" t="s">
        <v>320</v>
      </c>
      <c r="H68" s="2" t="b">
        <f aca="false">FALSE()</f>
        <v>0</v>
      </c>
      <c r="I68" s="2" t="s">
        <v>242</v>
      </c>
      <c r="J68" s="2" t="s">
        <v>52</v>
      </c>
      <c r="K68" s="1" t="n">
        <v>96.7</v>
      </c>
      <c r="L68" s="1" t="n">
        <v>1</v>
      </c>
      <c r="M68" s="1" t="n">
        <f aca="false">105.5-K68</f>
        <v>8.8</v>
      </c>
    </row>
    <row r="69" customFormat="false" ht="12.8" hidden="false" customHeight="false" outlineLevel="0" collapsed="false">
      <c r="A69" s="1" t="n">
        <f aca="false">ROW(A69)-3</f>
        <v>66</v>
      </c>
      <c r="B69" s="1" t="n">
        <v>5</v>
      </c>
      <c r="C69" s="2" t="s">
        <v>246</v>
      </c>
      <c r="D69" s="2" t="s">
        <v>249</v>
      </c>
      <c r="E69" s="2"/>
      <c r="G69" s="1" t="s">
        <v>321</v>
      </c>
      <c r="H69" s="2" t="b">
        <f aca="false">FALSE()</f>
        <v>0</v>
      </c>
      <c r="I69" s="2" t="s">
        <v>242</v>
      </c>
      <c r="J69" s="2" t="s">
        <v>52</v>
      </c>
      <c r="K69" s="1" t="n">
        <v>271.2</v>
      </c>
      <c r="L69" s="1" t="n">
        <v>1</v>
      </c>
      <c r="M69" s="1" t="n">
        <f aca="false">296-K69</f>
        <v>24.8</v>
      </c>
    </row>
    <row r="70" customFormat="false" ht="12.8" hidden="false" customHeight="false" outlineLevel="0" collapsed="false">
      <c r="A70" s="1" t="n">
        <f aca="false">ROW(A70)-3</f>
        <v>67</v>
      </c>
      <c r="B70" s="1" t="n">
        <v>5</v>
      </c>
      <c r="C70" s="2" t="s">
        <v>251</v>
      </c>
      <c r="D70" s="2" t="s">
        <v>252</v>
      </c>
      <c r="E70" s="2"/>
      <c r="G70" s="1" t="s">
        <v>322</v>
      </c>
      <c r="H70" s="2" t="b">
        <f aca="false">FALSE()</f>
        <v>0</v>
      </c>
      <c r="I70" s="2" t="s">
        <v>242</v>
      </c>
      <c r="J70" s="2" t="s">
        <v>52</v>
      </c>
      <c r="K70" s="1" t="n">
        <v>215</v>
      </c>
      <c r="L70" s="1" t="n">
        <v>1</v>
      </c>
      <c r="M70" s="1" t="n">
        <f aca="false">234.6-K70</f>
        <v>19.6</v>
      </c>
    </row>
    <row r="71" customFormat="false" ht="12.8" hidden="false" customHeight="false" outlineLevel="0" collapsed="false">
      <c r="A71" s="1" t="n">
        <f aca="false">ROW(A71)-3</f>
        <v>68</v>
      </c>
      <c r="B71" s="1" t="n">
        <v>5</v>
      </c>
      <c r="C71" s="2" t="s">
        <v>251</v>
      </c>
      <c r="D71" s="2" t="s">
        <v>254</v>
      </c>
      <c r="E71" s="2"/>
      <c r="G71" s="1" t="s">
        <v>323</v>
      </c>
      <c r="H71" s="2" t="b">
        <f aca="false">FALSE()</f>
        <v>0</v>
      </c>
      <c r="I71" s="2" t="s">
        <v>242</v>
      </c>
      <c r="J71" s="2" t="s">
        <v>52</v>
      </c>
      <c r="K71" s="1" t="n">
        <v>547.5</v>
      </c>
      <c r="L71" s="1" t="n">
        <v>1</v>
      </c>
      <c r="M71" s="1" t="n">
        <f aca="false">597.3-K71</f>
        <v>49.8</v>
      </c>
    </row>
    <row r="72" customFormat="false" ht="12.8" hidden="false" customHeight="false" outlineLevel="0" collapsed="false">
      <c r="A72" s="1" t="n">
        <f aca="false">ROW(A72)-3</f>
        <v>69</v>
      </c>
      <c r="B72" s="1" t="n">
        <v>5</v>
      </c>
      <c r="C72" s="2" t="s">
        <v>256</v>
      </c>
      <c r="D72" s="2" t="s">
        <v>240</v>
      </c>
      <c r="E72" s="2"/>
      <c r="G72" s="1" t="s">
        <v>324</v>
      </c>
      <c r="H72" s="2" t="b">
        <f aca="false">FALSE()</f>
        <v>0</v>
      </c>
      <c r="I72" s="2" t="s">
        <v>242</v>
      </c>
      <c r="J72" s="2" t="s">
        <v>52</v>
      </c>
      <c r="K72" s="1" t="n">
        <v>66.7</v>
      </c>
      <c r="L72" s="1" t="n">
        <v>1</v>
      </c>
      <c r="M72" s="1" t="n">
        <f aca="false">72.8-K72</f>
        <v>6.09999999999999</v>
      </c>
      <c r="N72" s="2" t="s">
        <v>242</v>
      </c>
      <c r="O72" s="2" t="s">
        <v>52</v>
      </c>
      <c r="P72" s="1" t="n">
        <v>37.5</v>
      </c>
      <c r="Q72" s="1" t="n">
        <v>1</v>
      </c>
      <c r="R72" s="1" t="n">
        <f aca="false">41-P72</f>
        <v>3.5</v>
      </c>
      <c r="S72" s="2" t="s">
        <v>242</v>
      </c>
      <c r="T72" s="2" t="s">
        <v>52</v>
      </c>
      <c r="U72" s="1" t="n">
        <v>25</v>
      </c>
      <c r="V72" s="1" t="n">
        <v>1</v>
      </c>
      <c r="W72" s="1" t="n">
        <f aca="false">27.3-U72</f>
        <v>2.3</v>
      </c>
    </row>
    <row r="73" customFormat="false" ht="12.8" hidden="false" customHeight="false" outlineLevel="0" collapsed="false">
      <c r="A73" s="1" t="n">
        <f aca="false">ROW(A73)-3</f>
        <v>70</v>
      </c>
      <c r="B73" s="1" t="n">
        <v>5</v>
      </c>
      <c r="C73" s="2" t="s">
        <v>256</v>
      </c>
      <c r="D73" s="2" t="s">
        <v>258</v>
      </c>
      <c r="E73" s="2"/>
      <c r="G73" s="1" t="s">
        <v>325</v>
      </c>
      <c r="H73" s="2" t="b">
        <f aca="false">FALSE()</f>
        <v>0</v>
      </c>
      <c r="I73" s="2" t="s">
        <v>242</v>
      </c>
      <c r="J73" s="2" t="s">
        <v>52</v>
      </c>
      <c r="K73" s="1" t="n">
        <v>345.1</v>
      </c>
      <c r="L73" s="1" t="n">
        <v>1</v>
      </c>
      <c r="M73" s="1" t="n">
        <f aca="false">376.5-K73</f>
        <v>31.4</v>
      </c>
      <c r="N73" s="2" t="s">
        <v>242</v>
      </c>
      <c r="O73" s="2" t="s">
        <v>52</v>
      </c>
      <c r="P73" s="1" t="n">
        <v>1035.2</v>
      </c>
      <c r="Q73" s="1" t="n">
        <v>1</v>
      </c>
      <c r="R73" s="1" t="n">
        <f aca="false">1129.4-P73</f>
        <v>94.2000000000001</v>
      </c>
      <c r="S73" s="2" t="s">
        <v>242</v>
      </c>
      <c r="T73" s="2" t="s">
        <v>52</v>
      </c>
      <c r="U73" s="1" t="n">
        <v>345.1</v>
      </c>
      <c r="V73" s="1" t="n">
        <v>1</v>
      </c>
      <c r="W73" s="1" t="n">
        <f aca="false">376.5-U73</f>
        <v>31.4</v>
      </c>
    </row>
    <row r="74" customFormat="false" ht="12.8" hidden="false" customHeight="false" outlineLevel="0" collapsed="false">
      <c r="A74" s="1" t="n">
        <f aca="false">ROW(A74)-3</f>
        <v>71</v>
      </c>
      <c r="B74" s="1" t="n">
        <v>5</v>
      </c>
      <c r="C74" s="2" t="s">
        <v>260</v>
      </c>
      <c r="D74" s="2" t="s">
        <v>260</v>
      </c>
      <c r="E74" s="2"/>
      <c r="G74" s="1" t="s">
        <v>326</v>
      </c>
      <c r="H74" s="2" t="b">
        <f aca="false">FALSE()</f>
        <v>0</v>
      </c>
      <c r="I74" s="2" t="s">
        <v>242</v>
      </c>
      <c r="J74" s="2" t="s">
        <v>52</v>
      </c>
      <c r="K74" s="1" t="n">
        <v>687.3</v>
      </c>
      <c r="L74" s="1" t="n">
        <v>1</v>
      </c>
      <c r="M74" s="1" t="n">
        <f aca="false">749.8-K74</f>
        <v>62.5</v>
      </c>
    </row>
    <row r="75" customFormat="false" ht="12.8" hidden="false" customHeight="false" outlineLevel="0" collapsed="false">
      <c r="A75" s="1" t="n">
        <f aca="false">ROW(A75)-3</f>
        <v>72</v>
      </c>
      <c r="B75" s="1" t="n">
        <v>5</v>
      </c>
      <c r="C75" s="2" t="s">
        <v>260</v>
      </c>
      <c r="D75" s="2" t="s">
        <v>262</v>
      </c>
      <c r="E75" s="2"/>
      <c r="G75" s="1" t="s">
        <v>327</v>
      </c>
      <c r="H75" s="2" t="b">
        <f aca="false">FALSE()</f>
        <v>0</v>
      </c>
      <c r="I75" s="2" t="s">
        <v>242</v>
      </c>
      <c r="J75" s="2" t="s">
        <v>52</v>
      </c>
      <c r="K75" s="1" t="n">
        <v>2028.8</v>
      </c>
      <c r="L75" s="1" t="n">
        <v>1</v>
      </c>
      <c r="M75" s="1" t="n">
        <f aca="false">2213.3-K75</f>
        <v>184.5</v>
      </c>
    </row>
    <row r="76" customFormat="false" ht="12.8" hidden="false" customHeight="false" outlineLevel="0" collapsed="false">
      <c r="A76" s="1" t="n">
        <f aca="false">ROW(A76)-3</f>
        <v>73</v>
      </c>
      <c r="B76" s="1" t="n">
        <v>6</v>
      </c>
      <c r="C76" s="2" t="s">
        <v>239</v>
      </c>
      <c r="D76" s="2" t="s">
        <v>240</v>
      </c>
      <c r="E76" s="2"/>
      <c r="G76" s="1" t="s">
        <v>328</v>
      </c>
      <c r="H76" s="2" t="b">
        <f aca="false">TRUE()</f>
        <v>1</v>
      </c>
      <c r="I76" s="2" t="s">
        <v>245</v>
      </c>
      <c r="J76" s="2" t="s">
        <v>52</v>
      </c>
      <c r="K76" s="1" t="n">
        <v>67.8</v>
      </c>
      <c r="L76" s="1" t="n">
        <v>1</v>
      </c>
      <c r="M76" s="1" t="n">
        <f aca="false">74-K76</f>
        <v>6.2</v>
      </c>
      <c r="N76" s="2" t="s">
        <v>245</v>
      </c>
      <c r="O76" s="2" t="s">
        <v>52</v>
      </c>
      <c r="P76" s="1" t="n">
        <v>92.3</v>
      </c>
      <c r="Q76" s="1" t="n">
        <v>1</v>
      </c>
      <c r="R76" s="1" t="n">
        <f aca="false">100.7-P76</f>
        <v>8.40000000000001</v>
      </c>
      <c r="S76" s="2" t="s">
        <v>245</v>
      </c>
      <c r="T76" s="2" t="s">
        <v>52</v>
      </c>
      <c r="U76" s="1" t="n">
        <v>109.8</v>
      </c>
      <c r="V76" s="1" t="n">
        <v>1</v>
      </c>
      <c r="W76" s="1" t="n">
        <f aca="false">119.8-U76</f>
        <v>10</v>
      </c>
      <c r="X76" s="2" t="s">
        <v>265</v>
      </c>
      <c r="Y76" s="2" t="s">
        <v>52</v>
      </c>
      <c r="Z76" s="1" t="n">
        <v>229.1</v>
      </c>
      <c r="AA76" s="1" t="n">
        <v>1</v>
      </c>
      <c r="AB76" s="1" t="n">
        <f aca="false">250-Z76</f>
        <v>20.9</v>
      </c>
    </row>
    <row r="77" customFormat="false" ht="12.8" hidden="false" customHeight="false" outlineLevel="0" collapsed="false">
      <c r="A77" s="1" t="n">
        <f aca="false">ROW(A77)-3</f>
        <v>74</v>
      </c>
      <c r="B77" s="1" t="n">
        <v>6</v>
      </c>
      <c r="C77" s="2" t="s">
        <v>239</v>
      </c>
      <c r="D77" s="2" t="s">
        <v>258</v>
      </c>
      <c r="E77" s="2"/>
      <c r="G77" s="1" t="s">
        <v>329</v>
      </c>
      <c r="H77" s="2" t="b">
        <f aca="false">TRUE()</f>
        <v>1</v>
      </c>
      <c r="I77" s="2" t="s">
        <v>245</v>
      </c>
      <c r="J77" s="2" t="s">
        <v>49</v>
      </c>
      <c r="K77" s="1" t="n">
        <v>240.9</v>
      </c>
      <c r="L77" s="1" t="n">
        <v>1</v>
      </c>
      <c r="M77" s="1" t="n">
        <f aca="false">262.8-K77</f>
        <v>21.9</v>
      </c>
      <c r="N77" s="2" t="s">
        <v>265</v>
      </c>
      <c r="O77" s="2" t="s">
        <v>49</v>
      </c>
      <c r="P77" s="1" t="n">
        <v>469.2</v>
      </c>
      <c r="Q77" s="1" t="n">
        <v>1</v>
      </c>
      <c r="R77" s="1" t="n">
        <f aca="false">511.9-P77</f>
        <v>42.7</v>
      </c>
      <c r="S77" s="2" t="s">
        <v>265</v>
      </c>
      <c r="T77" s="2" t="s">
        <v>49</v>
      </c>
      <c r="U77" s="1" t="n">
        <v>456.9</v>
      </c>
      <c r="V77" s="1" t="n">
        <v>1</v>
      </c>
      <c r="W77" s="1" t="n">
        <f aca="false">498.5-U77</f>
        <v>41.6</v>
      </c>
    </row>
    <row r="78" customFormat="false" ht="12.8" hidden="false" customHeight="false" outlineLevel="0" collapsed="false">
      <c r="A78" s="1" t="n">
        <f aca="false">ROW(A78)-3</f>
        <v>75</v>
      </c>
      <c r="B78" s="1" t="n">
        <v>6</v>
      </c>
      <c r="C78" s="2" t="s">
        <v>246</v>
      </c>
      <c r="D78" s="2" t="s">
        <v>247</v>
      </c>
      <c r="E78" s="2"/>
      <c r="G78" s="1" t="s">
        <v>330</v>
      </c>
      <c r="H78" s="2" t="b">
        <f aca="false">FALSE()</f>
        <v>0</v>
      </c>
      <c r="I78" s="2" t="s">
        <v>245</v>
      </c>
      <c r="J78" s="2" t="s">
        <v>52</v>
      </c>
      <c r="K78" s="1" t="n">
        <v>68.4</v>
      </c>
      <c r="L78" s="1" t="n">
        <v>1</v>
      </c>
      <c r="M78" s="1" t="n">
        <f aca="false">74.7-K78</f>
        <v>6.3</v>
      </c>
    </row>
    <row r="79" customFormat="false" ht="12.8" hidden="false" customHeight="false" outlineLevel="0" collapsed="false">
      <c r="A79" s="1" t="n">
        <f aca="false">ROW(A79)-3</f>
        <v>76</v>
      </c>
      <c r="B79" s="1" t="n">
        <v>6</v>
      </c>
      <c r="C79" s="2" t="s">
        <v>246</v>
      </c>
      <c r="D79" s="2" t="s">
        <v>249</v>
      </c>
      <c r="E79" s="2"/>
      <c r="G79" s="1" t="s">
        <v>331</v>
      </c>
      <c r="H79" s="2" t="b">
        <f aca="false">FALSE()</f>
        <v>0</v>
      </c>
      <c r="I79" s="2" t="s">
        <v>245</v>
      </c>
      <c r="J79" s="2" t="s">
        <v>52</v>
      </c>
      <c r="K79" s="1" t="n">
        <v>271.2</v>
      </c>
      <c r="L79" s="1" t="n">
        <v>1</v>
      </c>
      <c r="M79" s="1" t="n">
        <f aca="false">295.9-K79</f>
        <v>24.7</v>
      </c>
    </row>
    <row r="80" customFormat="false" ht="12.8" hidden="false" customHeight="false" outlineLevel="0" collapsed="false">
      <c r="A80" s="1" t="n">
        <f aca="false">ROW(A80)-3</f>
        <v>77</v>
      </c>
      <c r="B80" s="1" t="n">
        <v>6</v>
      </c>
      <c r="C80" s="2" t="s">
        <v>246</v>
      </c>
      <c r="D80" s="2" t="s">
        <v>258</v>
      </c>
      <c r="E80" s="2"/>
      <c r="G80" s="1" t="s">
        <v>332</v>
      </c>
      <c r="H80" s="2" t="b">
        <f aca="false">FALSE()</f>
        <v>0</v>
      </c>
      <c r="I80" s="2" t="s">
        <v>265</v>
      </c>
      <c r="J80" s="2" t="s">
        <v>49</v>
      </c>
      <c r="K80" s="1" t="n">
        <v>465.4</v>
      </c>
      <c r="L80" s="1" t="n">
        <v>1</v>
      </c>
      <c r="M80" s="1" t="n">
        <f aca="false">507.8-K80</f>
        <v>42.4</v>
      </c>
    </row>
    <row r="81" customFormat="false" ht="12.8" hidden="false" customHeight="false" outlineLevel="0" collapsed="false">
      <c r="A81" s="1" t="n">
        <f aca="false">ROW(A81)-3</f>
        <v>78</v>
      </c>
      <c r="B81" s="1" t="n">
        <v>6</v>
      </c>
      <c r="C81" s="2" t="s">
        <v>251</v>
      </c>
      <c r="D81" s="2" t="s">
        <v>252</v>
      </c>
      <c r="E81" s="2"/>
      <c r="G81" s="1" t="s">
        <v>333</v>
      </c>
      <c r="H81" s="2" t="b">
        <f aca="false">FALSE()</f>
        <v>0</v>
      </c>
      <c r="I81" s="2" t="s">
        <v>245</v>
      </c>
      <c r="J81" s="2" t="s">
        <v>52</v>
      </c>
      <c r="K81" s="1" t="n">
        <v>263.4</v>
      </c>
      <c r="L81" s="1" t="n">
        <v>1</v>
      </c>
      <c r="M81" s="1" t="n">
        <f aca="false">287.4-K81</f>
        <v>24</v>
      </c>
    </row>
    <row r="82" customFormat="false" ht="12.8" hidden="false" customHeight="false" outlineLevel="0" collapsed="false">
      <c r="A82" s="1" t="n">
        <f aca="false">ROW(A82)-3</f>
        <v>79</v>
      </c>
      <c r="B82" s="1" t="n">
        <v>6</v>
      </c>
      <c r="C82" s="2" t="s">
        <v>251</v>
      </c>
      <c r="D82" s="2" t="s">
        <v>254</v>
      </c>
      <c r="E82" s="2"/>
      <c r="G82" s="1" t="s">
        <v>334</v>
      </c>
      <c r="H82" s="2" t="b">
        <f aca="false">FALSE()</f>
        <v>0</v>
      </c>
      <c r="I82" s="2" t="s">
        <v>265</v>
      </c>
      <c r="J82" s="2" t="s">
        <v>49</v>
      </c>
      <c r="K82" s="1" t="n">
        <v>325.8</v>
      </c>
      <c r="L82" s="1" t="n">
        <v>1</v>
      </c>
      <c r="M82" s="1" t="n">
        <f aca="false">355.5-K82</f>
        <v>29.7</v>
      </c>
    </row>
    <row r="83" customFormat="false" ht="12.8" hidden="false" customHeight="false" outlineLevel="0" collapsed="false">
      <c r="A83" s="1" t="n">
        <f aca="false">ROW(A83)-3</f>
        <v>80</v>
      </c>
      <c r="B83" s="1" t="n">
        <v>6</v>
      </c>
      <c r="C83" s="2" t="s">
        <v>256</v>
      </c>
      <c r="D83" s="2" t="s">
        <v>240</v>
      </c>
      <c r="E83" s="2"/>
      <c r="G83" s="1" t="s">
        <v>335</v>
      </c>
      <c r="H83" s="2" t="b">
        <f aca="false">FALSE()</f>
        <v>0</v>
      </c>
      <c r="I83" s="2" t="s">
        <v>265</v>
      </c>
      <c r="J83" s="2" t="s">
        <v>49</v>
      </c>
      <c r="K83" s="1" t="n">
        <v>44.2</v>
      </c>
      <c r="L83" s="1" t="n">
        <v>1</v>
      </c>
      <c r="M83" s="1" t="n">
        <f aca="false">48.3-K83</f>
        <v>4.09999999999999</v>
      </c>
    </row>
    <row r="84" customFormat="false" ht="12.8" hidden="false" customHeight="false" outlineLevel="0" collapsed="false">
      <c r="A84" s="1" t="n">
        <f aca="false">ROW(A84)-3</f>
        <v>81</v>
      </c>
      <c r="B84" s="1" t="n">
        <v>6</v>
      </c>
      <c r="C84" s="2" t="s">
        <v>256</v>
      </c>
      <c r="D84" s="2" t="s">
        <v>258</v>
      </c>
      <c r="E84" s="2"/>
      <c r="G84" s="1" t="s">
        <v>336</v>
      </c>
      <c r="H84" s="2" t="b">
        <f aca="false">FALSE()</f>
        <v>0</v>
      </c>
      <c r="I84" s="2" t="s">
        <v>265</v>
      </c>
      <c r="J84" s="2" t="s">
        <v>49</v>
      </c>
      <c r="K84" s="1" t="n">
        <v>231.4</v>
      </c>
      <c r="L84" s="1" t="n">
        <v>1</v>
      </c>
      <c r="M84" s="1" t="n">
        <f aca="false">252.5-K84</f>
        <v>21.1</v>
      </c>
    </row>
    <row r="85" customFormat="false" ht="12.8" hidden="false" customHeight="false" outlineLevel="0" collapsed="false">
      <c r="A85" s="1" t="n">
        <f aca="false">ROW(A85)-3</f>
        <v>82</v>
      </c>
      <c r="B85" s="1" t="n">
        <v>6</v>
      </c>
      <c r="C85" s="2" t="s">
        <v>256</v>
      </c>
      <c r="D85" s="2" t="s">
        <v>258</v>
      </c>
      <c r="E85" s="2"/>
      <c r="G85" s="1" t="s">
        <v>337</v>
      </c>
      <c r="H85" s="2" t="b">
        <f aca="false">FALSE()</f>
        <v>0</v>
      </c>
      <c r="I85" s="2" t="s">
        <v>265</v>
      </c>
      <c r="J85" s="2" t="s">
        <v>49</v>
      </c>
      <c r="K85" s="1" t="n">
        <v>195.1</v>
      </c>
      <c r="L85" s="1" t="n">
        <v>1</v>
      </c>
      <c r="M85" s="1" t="n">
        <f aca="false">212.9-K85</f>
        <v>17.8</v>
      </c>
    </row>
    <row r="86" customFormat="false" ht="12.8" hidden="false" customHeight="false" outlineLevel="0" collapsed="false">
      <c r="A86" s="1" t="n">
        <f aca="false">ROW(A86)-3</f>
        <v>83</v>
      </c>
      <c r="B86" s="1" t="n">
        <v>6</v>
      </c>
      <c r="C86" s="2" t="s">
        <v>260</v>
      </c>
      <c r="D86" s="2" t="s">
        <v>260</v>
      </c>
      <c r="E86" s="2"/>
      <c r="G86" s="1" t="s">
        <v>338</v>
      </c>
      <c r="H86" s="2" t="b">
        <f aca="false">FALSE()</f>
        <v>0</v>
      </c>
      <c r="I86" s="2" t="s">
        <v>265</v>
      </c>
      <c r="J86" s="2" t="s">
        <v>49</v>
      </c>
      <c r="K86" s="1" t="n">
        <v>640.7</v>
      </c>
      <c r="L86" s="1" t="n">
        <v>1</v>
      </c>
      <c r="M86" s="1" t="n">
        <f aca="false">699-K86</f>
        <v>58.3</v>
      </c>
    </row>
    <row r="87" customFormat="false" ht="12.8" hidden="false" customHeight="false" outlineLevel="0" collapsed="false">
      <c r="A87" s="1" t="n">
        <f aca="false">ROW(A87)-3</f>
        <v>84</v>
      </c>
      <c r="B87" s="1" t="n">
        <v>6</v>
      </c>
      <c r="C87" s="2" t="s">
        <v>260</v>
      </c>
      <c r="D87" s="2" t="s">
        <v>262</v>
      </c>
      <c r="E87" s="2"/>
      <c r="G87" s="1" t="s">
        <v>339</v>
      </c>
      <c r="H87" s="2" t="b">
        <f aca="false">FALSE()</f>
        <v>0</v>
      </c>
      <c r="I87" s="2" t="s">
        <v>265</v>
      </c>
      <c r="J87" s="2" t="s">
        <v>49</v>
      </c>
      <c r="K87" s="1" t="n">
        <v>1816.4</v>
      </c>
      <c r="L87" s="1" t="n">
        <v>1</v>
      </c>
      <c r="M87" s="1" t="n">
        <f aca="false">1981.6-K87</f>
        <v>165.2</v>
      </c>
    </row>
    <row r="88" customFormat="false" ht="12.8" hidden="false" customHeight="false" outlineLevel="0" collapsed="false">
      <c r="A88" s="1" t="n">
        <f aca="false">ROW(A88)-3</f>
        <v>85</v>
      </c>
      <c r="B88" s="1" t="n">
        <v>7</v>
      </c>
      <c r="C88" s="2" t="s">
        <v>239</v>
      </c>
      <c r="D88" s="2" t="s">
        <v>240</v>
      </c>
      <c r="E88" s="2"/>
      <c r="G88" s="1" t="s">
        <v>340</v>
      </c>
      <c r="H88" s="2" t="b">
        <f aca="false">TRUE()</f>
        <v>1</v>
      </c>
      <c r="I88" s="2" t="s">
        <v>245</v>
      </c>
      <c r="J88" s="2" t="s">
        <v>52</v>
      </c>
      <c r="K88" s="1" t="n">
        <v>65.9</v>
      </c>
      <c r="L88" s="1" t="n">
        <v>1</v>
      </c>
      <c r="M88" s="1" t="n">
        <f aca="false">71.9-K88</f>
        <v>6</v>
      </c>
      <c r="N88" s="2" t="s">
        <v>245</v>
      </c>
      <c r="O88" s="2" t="s">
        <v>52</v>
      </c>
      <c r="P88" s="1" t="n">
        <v>189</v>
      </c>
      <c r="Q88" s="1" t="n">
        <v>1</v>
      </c>
      <c r="R88" s="1" t="n">
        <f aca="false">206.2-P88</f>
        <v>17.2</v>
      </c>
      <c r="S88" s="2" t="s">
        <v>245</v>
      </c>
      <c r="T88" s="2" t="s">
        <v>52</v>
      </c>
      <c r="U88" s="1" t="n">
        <v>348.3</v>
      </c>
      <c r="V88" s="1" t="n">
        <v>1</v>
      </c>
      <c r="W88" s="1" t="n">
        <f aca="false">380-U88</f>
        <v>31.7</v>
      </c>
    </row>
    <row r="89" customFormat="false" ht="12.8" hidden="false" customHeight="false" outlineLevel="0" collapsed="false">
      <c r="A89" s="1" t="n">
        <f aca="false">ROW(A89)-3</f>
        <v>86</v>
      </c>
      <c r="B89" s="1" t="n">
        <v>7</v>
      </c>
      <c r="C89" s="2" t="s">
        <v>246</v>
      </c>
      <c r="D89" s="2" t="s">
        <v>247</v>
      </c>
      <c r="E89" s="2"/>
      <c r="G89" s="1" t="s">
        <v>341</v>
      </c>
      <c r="H89" s="2" t="b">
        <f aca="false">FALSE()</f>
        <v>0</v>
      </c>
      <c r="I89" s="2" t="s">
        <v>245</v>
      </c>
      <c r="J89" s="2" t="s">
        <v>52</v>
      </c>
      <c r="K89" s="1" t="n">
        <v>138.4</v>
      </c>
      <c r="L89" s="1" t="n">
        <v>1</v>
      </c>
      <c r="M89" s="1" t="n">
        <f aca="false">151-K89</f>
        <v>12.6</v>
      </c>
    </row>
    <row r="90" customFormat="false" ht="12.8" hidden="false" customHeight="false" outlineLevel="0" collapsed="false">
      <c r="A90" s="1" t="n">
        <f aca="false">ROW(A90)-3</f>
        <v>87</v>
      </c>
      <c r="B90" s="1" t="n">
        <v>7</v>
      </c>
      <c r="C90" s="2" t="s">
        <v>246</v>
      </c>
      <c r="D90" s="2" t="s">
        <v>249</v>
      </c>
      <c r="E90" s="2"/>
      <c r="G90" s="1" t="s">
        <v>342</v>
      </c>
      <c r="H90" s="2" t="b">
        <f aca="false">FALSE()</f>
        <v>0</v>
      </c>
      <c r="I90" s="2" t="s">
        <v>245</v>
      </c>
      <c r="J90" s="2" t="s">
        <v>59</v>
      </c>
      <c r="K90" s="1" t="n">
        <v>225.7</v>
      </c>
      <c r="L90" s="1" t="n">
        <v>1</v>
      </c>
      <c r="M90" s="1" t="n">
        <f aca="false">246.3-K90</f>
        <v>20.6</v>
      </c>
    </row>
    <row r="91" customFormat="false" ht="12.8" hidden="false" customHeight="false" outlineLevel="0" collapsed="false">
      <c r="A91" s="1" t="n">
        <f aca="false">ROW(A91)-3</f>
        <v>88</v>
      </c>
      <c r="B91" s="1" t="n">
        <v>7</v>
      </c>
      <c r="C91" s="2" t="s">
        <v>251</v>
      </c>
      <c r="D91" s="2" t="s">
        <v>252</v>
      </c>
      <c r="E91" s="2"/>
      <c r="G91" s="1" t="s">
        <v>343</v>
      </c>
      <c r="H91" s="2" t="b">
        <f aca="false">FALSE()</f>
        <v>0</v>
      </c>
      <c r="I91" s="2" t="s">
        <v>245</v>
      </c>
      <c r="J91" s="2" t="s">
        <v>59</v>
      </c>
      <c r="K91" s="1" t="n">
        <v>96.7</v>
      </c>
      <c r="L91" s="1" t="n">
        <v>1</v>
      </c>
      <c r="M91" s="1" t="n">
        <f aca="false">105.5-K91</f>
        <v>8.8</v>
      </c>
    </row>
    <row r="92" customFormat="false" ht="12.8" hidden="false" customHeight="false" outlineLevel="0" collapsed="false">
      <c r="A92" s="1" t="n">
        <f aca="false">ROW(A92)-3</f>
        <v>89</v>
      </c>
      <c r="B92" s="1" t="n">
        <v>7</v>
      </c>
      <c r="C92" s="2" t="s">
        <v>251</v>
      </c>
      <c r="D92" s="2" t="s">
        <v>254</v>
      </c>
      <c r="E92" s="2"/>
      <c r="G92" s="1" t="s">
        <v>344</v>
      </c>
      <c r="H92" s="2" t="b">
        <f aca="false">FALSE()</f>
        <v>0</v>
      </c>
      <c r="I92" s="2" t="s">
        <v>245</v>
      </c>
      <c r="J92" s="2" t="s">
        <v>59</v>
      </c>
      <c r="K92" s="1" t="n">
        <v>325.9</v>
      </c>
      <c r="L92" s="1" t="n">
        <v>1</v>
      </c>
      <c r="M92" s="1" t="n">
        <f aca="false">355.6-K92</f>
        <v>29.7</v>
      </c>
    </row>
    <row r="93" customFormat="false" ht="12.8" hidden="false" customHeight="false" outlineLevel="0" collapsed="false">
      <c r="A93" s="1" t="n">
        <f aca="false">ROW(A93)-3</f>
        <v>90</v>
      </c>
      <c r="B93" s="1" t="n">
        <v>7</v>
      </c>
      <c r="C93" s="2" t="s">
        <v>256</v>
      </c>
      <c r="D93" s="2" t="s">
        <v>240</v>
      </c>
      <c r="E93" s="2"/>
      <c r="G93" s="1" t="s">
        <v>345</v>
      </c>
      <c r="H93" s="2" t="b">
        <f aca="false">FALSE()</f>
        <v>0</v>
      </c>
      <c r="I93" s="2" t="s">
        <v>245</v>
      </c>
      <c r="J93" s="2" t="s">
        <v>52</v>
      </c>
      <c r="K93" s="1" t="n">
        <v>41.7</v>
      </c>
      <c r="L93" s="1" t="n">
        <v>1</v>
      </c>
      <c r="M93" s="1" t="n">
        <f aca="false">45.5-K93</f>
        <v>3.8</v>
      </c>
      <c r="N93" s="2" t="s">
        <v>245</v>
      </c>
      <c r="O93" s="2" t="s">
        <v>52</v>
      </c>
      <c r="P93" s="1" t="n">
        <v>233.4</v>
      </c>
      <c r="Q93" s="1" t="n">
        <v>1</v>
      </c>
      <c r="R93" s="1" t="n">
        <f aca="false">254.7-P93</f>
        <v>21.3</v>
      </c>
    </row>
    <row r="94" customFormat="false" ht="12.8" hidden="false" customHeight="false" outlineLevel="0" collapsed="false">
      <c r="A94" s="1" t="n">
        <f aca="false">ROW(A94)-3</f>
        <v>91</v>
      </c>
      <c r="B94" s="1" t="n">
        <v>7</v>
      </c>
      <c r="C94" s="2" t="s">
        <v>256</v>
      </c>
      <c r="D94" s="2" t="s">
        <v>258</v>
      </c>
      <c r="E94" s="2"/>
      <c r="G94" s="1" t="s">
        <v>346</v>
      </c>
      <c r="H94" s="2" t="b">
        <f aca="false">FALSE()</f>
        <v>0</v>
      </c>
      <c r="I94" s="2" t="s">
        <v>245</v>
      </c>
      <c r="J94" s="2" t="s">
        <v>59</v>
      </c>
      <c r="K94" s="1" t="n">
        <v>438.5</v>
      </c>
      <c r="L94" s="1" t="n">
        <v>1</v>
      </c>
      <c r="M94" s="1" t="n">
        <f aca="false">478.4-K94</f>
        <v>39.9</v>
      </c>
      <c r="N94" s="2" t="s">
        <v>245</v>
      </c>
      <c r="O94" s="2" t="s">
        <v>59</v>
      </c>
      <c r="P94" s="1" t="n">
        <v>438.5</v>
      </c>
      <c r="Q94" s="1" t="n">
        <v>1</v>
      </c>
      <c r="R94" s="1" t="n">
        <f aca="false">478.4-P94</f>
        <v>39.9</v>
      </c>
    </row>
    <row r="95" customFormat="false" ht="12.8" hidden="false" customHeight="false" outlineLevel="0" collapsed="false">
      <c r="A95" s="1" t="n">
        <f aca="false">ROW(A95)-3</f>
        <v>92</v>
      </c>
      <c r="B95" s="1" t="n">
        <v>7</v>
      </c>
      <c r="C95" s="2" t="s">
        <v>256</v>
      </c>
      <c r="D95" s="2" t="s">
        <v>258</v>
      </c>
      <c r="E95" s="2"/>
      <c r="G95" s="1" t="s">
        <v>347</v>
      </c>
      <c r="H95" s="2" t="b">
        <f aca="false">FALSE()</f>
        <v>0</v>
      </c>
      <c r="I95" s="2" t="s">
        <v>245</v>
      </c>
      <c r="J95" s="2" t="s">
        <v>59</v>
      </c>
      <c r="K95" s="1" t="n">
        <v>500.5</v>
      </c>
      <c r="L95" s="1" t="n">
        <v>1</v>
      </c>
      <c r="M95" s="1" t="n">
        <f aca="false">546-K95</f>
        <v>45.5</v>
      </c>
      <c r="N95" s="2" t="s">
        <v>245</v>
      </c>
      <c r="O95" s="2" t="s">
        <v>59</v>
      </c>
      <c r="P95" s="1" t="n">
        <v>552.2</v>
      </c>
      <c r="Q95" s="1" t="n">
        <v>1</v>
      </c>
      <c r="R95" s="1" t="n">
        <f aca="false">601.4-P95</f>
        <v>49.1999999999999</v>
      </c>
    </row>
    <row r="96" customFormat="false" ht="12.8" hidden="false" customHeight="false" outlineLevel="0" collapsed="false">
      <c r="A96" s="1" t="n">
        <f aca="false">ROW(A96)-3</f>
        <v>93</v>
      </c>
      <c r="B96" s="1" t="n">
        <v>7</v>
      </c>
      <c r="C96" s="2" t="s">
        <v>260</v>
      </c>
      <c r="D96" s="2" t="s">
        <v>260</v>
      </c>
      <c r="E96" s="2"/>
      <c r="G96" s="1" t="s">
        <v>348</v>
      </c>
      <c r="H96" s="2" t="b">
        <f aca="false">FALSE()</f>
        <v>0</v>
      </c>
      <c r="I96" s="2" t="s">
        <v>245</v>
      </c>
      <c r="J96" s="2" t="s">
        <v>59</v>
      </c>
      <c r="K96" s="1" t="n">
        <v>627.3</v>
      </c>
      <c r="L96" s="1" t="n">
        <v>1</v>
      </c>
      <c r="M96" s="1" t="n">
        <f aca="false">684.4-K96</f>
        <v>57.1</v>
      </c>
    </row>
    <row r="97" customFormat="false" ht="12.8" hidden="false" customHeight="false" outlineLevel="0" collapsed="false">
      <c r="A97" s="1" t="n">
        <f aca="false">ROW(A97)-3</f>
        <v>94</v>
      </c>
      <c r="B97" s="1" t="n">
        <v>7</v>
      </c>
      <c r="C97" s="2" t="s">
        <v>260</v>
      </c>
      <c r="D97" s="2" t="s">
        <v>262</v>
      </c>
      <c r="E97" s="2"/>
      <c r="G97" s="1" t="s">
        <v>349</v>
      </c>
      <c r="H97" s="2" t="b">
        <f aca="false">FALSE()</f>
        <v>0</v>
      </c>
      <c r="I97" s="2" t="s">
        <v>245</v>
      </c>
      <c r="J97" s="2" t="s">
        <v>59</v>
      </c>
      <c r="K97" s="1" t="n">
        <v>1643</v>
      </c>
      <c r="L97" s="1" t="n">
        <v>1</v>
      </c>
      <c r="M97" s="1" t="n">
        <f aca="false">1792.4-K97</f>
        <v>149.4</v>
      </c>
    </row>
    <row r="98" customFormat="false" ht="12.8" hidden="false" customHeight="false" outlineLevel="0" collapsed="false">
      <c r="A98" s="1" t="n">
        <f aca="false">ROW(A98)-3</f>
        <v>95</v>
      </c>
      <c r="B98" s="1" t="n">
        <v>8</v>
      </c>
      <c r="C98" s="2" t="s">
        <v>239</v>
      </c>
      <c r="D98" s="2" t="s">
        <v>240</v>
      </c>
      <c r="E98" s="2"/>
      <c r="G98" s="1" t="s">
        <v>350</v>
      </c>
      <c r="H98" s="2" t="b">
        <f aca="false">TRUE()</f>
        <v>1</v>
      </c>
      <c r="I98" s="2" t="s">
        <v>245</v>
      </c>
      <c r="J98" s="2" t="s">
        <v>52</v>
      </c>
      <c r="K98" s="1" t="n">
        <v>63.6</v>
      </c>
      <c r="L98" s="1" t="n">
        <v>1</v>
      </c>
      <c r="M98" s="1" t="n">
        <f aca="false">69.4-K98</f>
        <v>5.8</v>
      </c>
      <c r="N98" s="2" t="s">
        <v>245</v>
      </c>
      <c r="O98" s="2" t="s">
        <v>52</v>
      </c>
      <c r="P98" s="1" t="n">
        <v>79.2</v>
      </c>
      <c r="Q98" s="1" t="n">
        <v>1</v>
      </c>
      <c r="R98" s="1" t="n">
        <f aca="false">86.4-P98</f>
        <v>7.2</v>
      </c>
      <c r="S98" s="2" t="s">
        <v>245</v>
      </c>
      <c r="T98" s="2" t="s">
        <v>52</v>
      </c>
      <c r="U98" s="1" t="n">
        <v>126.1</v>
      </c>
      <c r="V98" s="1" t="n">
        <v>1</v>
      </c>
      <c r="W98" s="1" t="n">
        <f aca="false">137.6-U98</f>
        <v>11.5</v>
      </c>
      <c r="X98" s="2" t="s">
        <v>245</v>
      </c>
      <c r="Y98" s="2" t="s">
        <v>52</v>
      </c>
      <c r="Z98" s="1" t="n">
        <v>317.4</v>
      </c>
      <c r="AA98" s="1" t="n">
        <v>1</v>
      </c>
      <c r="AB98" s="1" t="n">
        <f aca="false">346.3-Z98</f>
        <v>28.9</v>
      </c>
    </row>
    <row r="99" customFormat="false" ht="12.8" hidden="false" customHeight="false" outlineLevel="0" collapsed="false">
      <c r="A99" s="1" t="n">
        <f aca="false">ROW(A99)-3</f>
        <v>96</v>
      </c>
      <c r="B99" s="1" t="n">
        <v>8</v>
      </c>
      <c r="C99" s="2" t="s">
        <v>239</v>
      </c>
      <c r="D99" s="2" t="s">
        <v>258</v>
      </c>
      <c r="E99" s="2"/>
      <c r="G99" s="1" t="s">
        <v>351</v>
      </c>
      <c r="H99" s="2" t="b">
        <f aca="false">TRUE()</f>
        <v>1</v>
      </c>
      <c r="I99" s="2" t="s">
        <v>245</v>
      </c>
      <c r="J99" s="2" t="s">
        <v>52</v>
      </c>
      <c r="K99" s="1" t="n">
        <v>63.6</v>
      </c>
      <c r="L99" s="1" t="n">
        <v>1</v>
      </c>
      <c r="M99" s="1" t="n">
        <f aca="false">69.4-K99</f>
        <v>5.8</v>
      </c>
      <c r="N99" s="2" t="s">
        <v>245</v>
      </c>
      <c r="O99" s="2" t="s">
        <v>52</v>
      </c>
      <c r="P99" s="1" t="n">
        <v>79.2</v>
      </c>
      <c r="Q99" s="1" t="n">
        <v>1</v>
      </c>
      <c r="R99" s="1" t="n">
        <f aca="false">86.4-P99</f>
        <v>7.2</v>
      </c>
      <c r="S99" s="2" t="s">
        <v>245</v>
      </c>
      <c r="T99" s="2" t="s">
        <v>59</v>
      </c>
      <c r="U99" s="1" t="n">
        <v>160.8</v>
      </c>
      <c r="V99" s="1" t="n">
        <v>1</v>
      </c>
      <c r="W99" s="1" t="n">
        <f aca="false">175.5-U99</f>
        <v>14.7</v>
      </c>
      <c r="X99" s="2" t="s">
        <v>245</v>
      </c>
      <c r="Y99" s="2" t="s">
        <v>59</v>
      </c>
      <c r="Z99" s="1" t="n">
        <v>404.8</v>
      </c>
      <c r="AA99" s="1" t="n">
        <v>1</v>
      </c>
      <c r="AB99" s="1" t="n">
        <f aca="false">441.8-Z99</f>
        <v>37</v>
      </c>
    </row>
    <row r="100" customFormat="false" ht="12.8" hidden="false" customHeight="false" outlineLevel="0" collapsed="false">
      <c r="A100" s="1" t="n">
        <f aca="false">ROW(A100)-3</f>
        <v>97</v>
      </c>
      <c r="B100" s="1" t="n">
        <v>8</v>
      </c>
      <c r="C100" s="2" t="s">
        <v>239</v>
      </c>
      <c r="D100" s="2" t="s">
        <v>258</v>
      </c>
      <c r="E100" s="2"/>
      <c r="G100" s="1" t="s">
        <v>352</v>
      </c>
      <c r="H100" s="2" t="b">
        <f aca="false">TRUE()</f>
        <v>1</v>
      </c>
      <c r="I100" s="2" t="s">
        <v>245</v>
      </c>
      <c r="J100" s="2" t="s">
        <v>52</v>
      </c>
      <c r="K100" s="1" t="n">
        <v>63.6</v>
      </c>
      <c r="L100" s="1" t="n">
        <v>1</v>
      </c>
      <c r="M100" s="1" t="n">
        <f aca="false">69.4-K100</f>
        <v>5.8</v>
      </c>
      <c r="N100" s="2" t="s">
        <v>245</v>
      </c>
      <c r="O100" s="2" t="s">
        <v>52</v>
      </c>
      <c r="P100" s="1" t="n">
        <v>79.2</v>
      </c>
      <c r="Q100" s="1" t="n">
        <v>1</v>
      </c>
      <c r="R100" s="1" t="n">
        <f aca="false">86.4-P100</f>
        <v>7.2</v>
      </c>
      <c r="S100" s="2" t="s">
        <v>245</v>
      </c>
      <c r="T100" s="2" t="s">
        <v>59</v>
      </c>
      <c r="U100" s="1" t="n">
        <v>160.8</v>
      </c>
      <c r="V100" s="1" t="n">
        <v>1</v>
      </c>
      <c r="W100" s="1" t="n">
        <f aca="false">175.5-U100</f>
        <v>14.7</v>
      </c>
      <c r="X100" s="2" t="s">
        <v>245</v>
      </c>
      <c r="Y100" s="2" t="s">
        <v>59</v>
      </c>
      <c r="Z100" s="1" t="n">
        <v>501.3</v>
      </c>
      <c r="AA100" s="1" t="n">
        <v>1</v>
      </c>
      <c r="AB100" s="1" t="n">
        <f aca="false">546.9-Z100</f>
        <v>45.6</v>
      </c>
    </row>
    <row r="101" customFormat="false" ht="12.8" hidden="false" customHeight="false" outlineLevel="0" collapsed="false">
      <c r="A101" s="1" t="n">
        <f aca="false">ROW(A101)-3</f>
        <v>98</v>
      </c>
      <c r="B101" s="1" t="n">
        <v>8</v>
      </c>
      <c r="C101" s="2" t="s">
        <v>246</v>
      </c>
      <c r="D101" s="2" t="s">
        <v>247</v>
      </c>
      <c r="E101" s="2"/>
      <c r="G101" s="1" t="s">
        <v>353</v>
      </c>
      <c r="H101" s="2" t="b">
        <f aca="false">FALSE()</f>
        <v>0</v>
      </c>
      <c r="I101" s="2" t="s">
        <v>245</v>
      </c>
      <c r="J101" s="2" t="s">
        <v>52</v>
      </c>
      <c r="K101" s="1" t="n">
        <v>56.1</v>
      </c>
      <c r="L101" s="1" t="n">
        <v>1</v>
      </c>
      <c r="M101" s="1" t="n">
        <f aca="false">61.2-K101</f>
        <v>5.1</v>
      </c>
    </row>
    <row r="102" customFormat="false" ht="12.8" hidden="false" customHeight="false" outlineLevel="0" collapsed="false">
      <c r="A102" s="1" t="n">
        <f aca="false">ROW(A102)-3</f>
        <v>99</v>
      </c>
      <c r="B102" s="1" t="n">
        <v>8</v>
      </c>
      <c r="C102" s="2" t="s">
        <v>246</v>
      </c>
      <c r="D102" s="2" t="s">
        <v>249</v>
      </c>
      <c r="E102" s="2"/>
      <c r="G102" s="1" t="s">
        <v>354</v>
      </c>
      <c r="H102" s="2" t="b">
        <f aca="false">FALSE()</f>
        <v>0</v>
      </c>
      <c r="I102" s="2" t="s">
        <v>245</v>
      </c>
      <c r="J102" s="2" t="s">
        <v>59</v>
      </c>
      <c r="K102" s="1" t="n">
        <v>343.9</v>
      </c>
      <c r="L102" s="1" t="n">
        <v>1</v>
      </c>
      <c r="M102" s="1" t="n">
        <f aca="false">375.2-K102</f>
        <v>31.3</v>
      </c>
    </row>
    <row r="103" customFormat="false" ht="12.8" hidden="false" customHeight="false" outlineLevel="0" collapsed="false">
      <c r="A103" s="1" t="n">
        <f aca="false">ROW(A103)-3</f>
        <v>100</v>
      </c>
      <c r="B103" s="1" t="n">
        <v>8</v>
      </c>
      <c r="C103" s="2" t="s">
        <v>251</v>
      </c>
      <c r="D103" s="2" t="s">
        <v>252</v>
      </c>
      <c r="E103" s="2"/>
      <c r="G103" s="1" t="s">
        <v>355</v>
      </c>
      <c r="H103" s="2" t="b">
        <f aca="false">FALSE()</f>
        <v>0</v>
      </c>
      <c r="I103" s="2" t="s">
        <v>245</v>
      </c>
      <c r="J103" s="2" t="s">
        <v>59</v>
      </c>
      <c r="K103" s="1" t="n">
        <v>183.8</v>
      </c>
      <c r="L103" s="1" t="n">
        <v>1</v>
      </c>
      <c r="M103" s="1" t="n">
        <f aca="false">200.6-K103</f>
        <v>16.8</v>
      </c>
    </row>
    <row r="104" customFormat="false" ht="12.8" hidden="false" customHeight="false" outlineLevel="0" collapsed="false">
      <c r="A104" s="1" t="n">
        <f aca="false">ROW(A104)-3</f>
        <v>101</v>
      </c>
      <c r="B104" s="1" t="n">
        <v>8</v>
      </c>
      <c r="C104" s="2" t="s">
        <v>251</v>
      </c>
      <c r="D104" s="2" t="s">
        <v>254</v>
      </c>
      <c r="E104" s="2"/>
      <c r="G104" s="1" t="s">
        <v>356</v>
      </c>
      <c r="H104" s="2" t="b">
        <f aca="false">FALSE()</f>
        <v>0</v>
      </c>
      <c r="I104" s="2" t="s">
        <v>245</v>
      </c>
      <c r="J104" s="2" t="s">
        <v>59</v>
      </c>
      <c r="K104" s="1" t="n">
        <v>359.2</v>
      </c>
      <c r="L104" s="1" t="n">
        <v>1</v>
      </c>
      <c r="M104" s="1" t="n">
        <f aca="false">391.9-K104</f>
        <v>32.7</v>
      </c>
    </row>
    <row r="105" customFormat="false" ht="12.8" hidden="false" customHeight="false" outlineLevel="0" collapsed="false">
      <c r="A105" s="1" t="n">
        <f aca="false">ROW(A105)-3</f>
        <v>102</v>
      </c>
      <c r="B105" s="1" t="n">
        <v>8</v>
      </c>
      <c r="C105" s="2" t="s">
        <v>256</v>
      </c>
      <c r="D105" s="2" t="s">
        <v>240</v>
      </c>
      <c r="E105" s="2"/>
      <c r="G105" s="1" t="s">
        <v>357</v>
      </c>
      <c r="H105" s="2" t="b">
        <f aca="false">FALSE()</f>
        <v>0</v>
      </c>
      <c r="I105" s="2" t="s">
        <v>245</v>
      </c>
      <c r="J105" s="2" t="s">
        <v>59</v>
      </c>
      <c r="K105" s="1" t="n">
        <v>51.9</v>
      </c>
      <c r="L105" s="1" t="n">
        <v>1</v>
      </c>
      <c r="M105" s="1" t="n">
        <f aca="false">56.7-K105</f>
        <v>4.8</v>
      </c>
      <c r="N105" s="2" t="s">
        <v>245</v>
      </c>
      <c r="O105" s="2" t="s">
        <v>59</v>
      </c>
      <c r="P105" s="1" t="n">
        <v>77.8</v>
      </c>
      <c r="Q105" s="1" t="n">
        <v>1</v>
      </c>
      <c r="R105" s="1" t="n">
        <f aca="false">84.9-P105</f>
        <v>7.10000000000001</v>
      </c>
      <c r="S105" s="2" t="s">
        <v>245</v>
      </c>
      <c r="T105" s="2" t="s">
        <v>59</v>
      </c>
      <c r="U105" s="1" t="n">
        <v>85.5</v>
      </c>
      <c r="V105" s="1" t="n">
        <v>1</v>
      </c>
      <c r="W105" s="1" t="n">
        <f aca="false">93.3-U105</f>
        <v>7.8</v>
      </c>
    </row>
    <row r="106" customFormat="false" ht="12.8" hidden="false" customHeight="false" outlineLevel="0" collapsed="false">
      <c r="A106" s="1" t="n">
        <f aca="false">ROW(A106)-3</f>
        <v>103</v>
      </c>
      <c r="B106" s="1" t="n">
        <v>8</v>
      </c>
      <c r="C106" s="2" t="s">
        <v>256</v>
      </c>
      <c r="D106" s="2" t="s">
        <v>258</v>
      </c>
      <c r="E106" s="2"/>
      <c r="G106" s="1" t="s">
        <v>358</v>
      </c>
      <c r="H106" s="2" t="b">
        <f aca="false">FALSE()</f>
        <v>0</v>
      </c>
      <c r="I106" s="2" t="s">
        <v>245</v>
      </c>
      <c r="J106" s="2" t="s">
        <v>59</v>
      </c>
      <c r="K106" s="1" t="n">
        <v>152.3</v>
      </c>
      <c r="L106" s="1" t="n">
        <v>1</v>
      </c>
      <c r="M106" s="1" t="n">
        <f aca="false">166.2-K106</f>
        <v>13.9</v>
      </c>
      <c r="N106" s="2" t="s">
        <v>245</v>
      </c>
      <c r="O106" s="2" t="s">
        <v>59</v>
      </c>
      <c r="P106" s="1" t="n">
        <v>606</v>
      </c>
      <c r="Q106" s="1" t="n">
        <v>1</v>
      </c>
      <c r="R106" s="1" t="n">
        <f aca="false">661.1-P106</f>
        <v>55.1</v>
      </c>
      <c r="S106" s="2" t="s">
        <v>245</v>
      </c>
      <c r="T106" s="2" t="s">
        <v>59</v>
      </c>
      <c r="U106" s="1" t="n">
        <v>666.6</v>
      </c>
      <c r="V106" s="1" t="n">
        <v>1</v>
      </c>
      <c r="W106" s="1" t="n">
        <f aca="false">727.2-U106</f>
        <v>60.6</v>
      </c>
    </row>
    <row r="107" customFormat="false" ht="12.8" hidden="false" customHeight="false" outlineLevel="0" collapsed="false">
      <c r="A107" s="1" t="n">
        <f aca="false">ROW(A107)-3</f>
        <v>104</v>
      </c>
      <c r="B107" s="1" t="n">
        <v>8</v>
      </c>
      <c r="C107" s="2" t="s">
        <v>260</v>
      </c>
      <c r="D107" s="2" t="s">
        <v>260</v>
      </c>
      <c r="E107" s="2"/>
      <c r="G107" s="1" t="s">
        <v>359</v>
      </c>
      <c r="H107" s="2" t="b">
        <f aca="false">FALSE()</f>
        <v>0</v>
      </c>
      <c r="I107" s="2" t="s">
        <v>245</v>
      </c>
      <c r="J107" s="2" t="s">
        <v>59</v>
      </c>
      <c r="K107" s="1" t="n">
        <v>636</v>
      </c>
      <c r="L107" s="1" t="n">
        <v>1</v>
      </c>
      <c r="M107" s="1" t="n">
        <f aca="false">693.9-K107</f>
        <v>57.9</v>
      </c>
    </row>
    <row r="108" customFormat="false" ht="12.8" hidden="false" customHeight="false" outlineLevel="0" collapsed="false">
      <c r="A108" s="1" t="n">
        <f aca="false">ROW(A108)-3</f>
        <v>105</v>
      </c>
      <c r="B108" s="1" t="n">
        <v>8</v>
      </c>
      <c r="C108" s="2" t="s">
        <v>260</v>
      </c>
      <c r="D108" s="2" t="s">
        <v>262</v>
      </c>
      <c r="E108" s="2"/>
      <c r="G108" s="1" t="s">
        <v>360</v>
      </c>
      <c r="H108" s="2" t="b">
        <f aca="false">FALSE()</f>
        <v>0</v>
      </c>
      <c r="I108" s="2" t="s">
        <v>245</v>
      </c>
      <c r="J108" s="2" t="s">
        <v>59</v>
      </c>
      <c r="K108" s="1" t="n">
        <v>1548.8</v>
      </c>
      <c r="L108" s="1" t="n">
        <v>1</v>
      </c>
      <c r="M108" s="1" t="n">
        <f aca="false">1689.6-K108</f>
        <v>140.8</v>
      </c>
    </row>
    <row r="109" customFormat="false" ht="12.8" hidden="false" customHeight="false" outlineLevel="0" collapsed="false">
      <c r="A109" s="1" t="n">
        <f aca="false">ROW(A109)-3</f>
        <v>106</v>
      </c>
      <c r="B109" s="1" t="n">
        <v>8</v>
      </c>
      <c r="C109" s="2" t="s">
        <v>260</v>
      </c>
      <c r="D109" s="2" t="s">
        <v>262</v>
      </c>
      <c r="E109" s="2"/>
      <c r="G109" s="1" t="s">
        <v>361</v>
      </c>
      <c r="H109" s="2" t="b">
        <f aca="false">FALSE()</f>
        <v>0</v>
      </c>
      <c r="I109" s="2" t="s">
        <v>245</v>
      </c>
      <c r="J109" s="2" t="s">
        <v>59</v>
      </c>
      <c r="K109" s="1" t="n">
        <v>1694</v>
      </c>
      <c r="L109" s="1" t="n">
        <v>1</v>
      </c>
      <c r="M109" s="1" t="n">
        <f aca="false">1848-K109</f>
        <v>154</v>
      </c>
    </row>
    <row r="110" customFormat="false" ht="12.8" hidden="false" customHeight="false" outlineLevel="0" collapsed="false">
      <c r="A110" s="1" t="n">
        <f aca="false">ROW(A110)-3</f>
        <v>107</v>
      </c>
      <c r="B110" s="1" t="n">
        <v>9</v>
      </c>
      <c r="C110" s="2" t="s">
        <v>239</v>
      </c>
      <c r="D110" s="2" t="s">
        <v>240</v>
      </c>
      <c r="E110" s="2"/>
      <c r="G110" s="1" t="s">
        <v>362</v>
      </c>
      <c r="H110" s="2" t="b">
        <f aca="false">TRUE()</f>
        <v>1</v>
      </c>
      <c r="I110" s="2" t="s">
        <v>265</v>
      </c>
      <c r="J110" s="2" t="s">
        <v>52</v>
      </c>
      <c r="K110" s="1" t="n">
        <v>55.1</v>
      </c>
      <c r="L110" s="1" t="n">
        <v>1</v>
      </c>
      <c r="M110" s="1" t="n">
        <f aca="false">60.2-K110</f>
        <v>5.1</v>
      </c>
      <c r="N110" s="2" t="s">
        <v>265</v>
      </c>
      <c r="O110" s="2" t="s">
        <v>52</v>
      </c>
      <c r="P110" s="1" t="n">
        <v>59.7</v>
      </c>
      <c r="Q110" s="1" t="n">
        <v>1</v>
      </c>
      <c r="R110" s="1" t="n">
        <f aca="false">65.2-P110</f>
        <v>5.5</v>
      </c>
      <c r="S110" s="2" t="s">
        <v>265</v>
      </c>
      <c r="T110" s="2" t="s">
        <v>49</v>
      </c>
      <c r="U110" s="1" t="n">
        <v>124.8</v>
      </c>
      <c r="V110" s="1" t="n">
        <v>1</v>
      </c>
      <c r="W110" s="1" t="n">
        <f aca="false">136.2-U110</f>
        <v>11.4</v>
      </c>
      <c r="X110" s="2" t="s">
        <v>265</v>
      </c>
      <c r="Y110" s="2" t="s">
        <v>49</v>
      </c>
      <c r="Z110" s="1" t="n">
        <v>186.3</v>
      </c>
      <c r="AA110" s="1" t="n">
        <v>1</v>
      </c>
      <c r="AB110" s="1" t="n">
        <f aca="false">203.3-Z110</f>
        <v>17</v>
      </c>
    </row>
    <row r="111" customFormat="false" ht="12.8" hidden="false" customHeight="false" outlineLevel="0" collapsed="false">
      <c r="A111" s="1" t="n">
        <f aca="false">ROW(A111)-3</f>
        <v>108</v>
      </c>
      <c r="B111" s="1" t="n">
        <v>9</v>
      </c>
      <c r="C111" s="2" t="s">
        <v>239</v>
      </c>
      <c r="D111" s="2" t="s">
        <v>243</v>
      </c>
      <c r="E111" s="2"/>
      <c r="G111" s="1" t="s">
        <v>363</v>
      </c>
      <c r="H111" s="2" t="b">
        <f aca="false">FALSE()</f>
        <v>0</v>
      </c>
      <c r="I111" s="2" t="s">
        <v>265</v>
      </c>
      <c r="J111" s="2" t="s">
        <v>49</v>
      </c>
      <c r="K111" s="1" t="n">
        <v>40.3</v>
      </c>
      <c r="L111" s="1" t="n">
        <v>1</v>
      </c>
      <c r="M111" s="1" t="n">
        <f aca="false">44-K111</f>
        <v>3.7</v>
      </c>
    </row>
    <row r="112" customFormat="false" ht="12.8" hidden="false" customHeight="false" outlineLevel="0" collapsed="false">
      <c r="A112" s="1" t="n">
        <f aca="false">ROW(A112)-3</f>
        <v>109</v>
      </c>
      <c r="B112" s="1" t="n">
        <v>9</v>
      </c>
      <c r="C112" s="2" t="s">
        <v>246</v>
      </c>
      <c r="D112" s="2" t="s">
        <v>247</v>
      </c>
      <c r="E112" s="2"/>
      <c r="G112" s="1" t="s">
        <v>364</v>
      </c>
      <c r="H112" s="2" t="b">
        <f aca="false">FALSE()</f>
        <v>0</v>
      </c>
      <c r="I112" s="2" t="s">
        <v>265</v>
      </c>
      <c r="J112" s="2" t="s">
        <v>52</v>
      </c>
      <c r="K112" s="1" t="n">
        <v>33.3</v>
      </c>
      <c r="L112" s="1" t="n">
        <v>1</v>
      </c>
      <c r="M112" s="1" t="n">
        <f aca="false">36.4-K112</f>
        <v>3.1</v>
      </c>
    </row>
    <row r="113" customFormat="false" ht="12.8" hidden="false" customHeight="false" outlineLevel="0" collapsed="false">
      <c r="A113" s="1" t="n">
        <f aca="false">ROW(A113)-3</f>
        <v>110</v>
      </c>
      <c r="B113" s="1" t="n">
        <v>9</v>
      </c>
      <c r="C113" s="2" t="s">
        <v>246</v>
      </c>
      <c r="D113" s="2" t="s">
        <v>249</v>
      </c>
      <c r="E113" s="2"/>
      <c r="G113" s="1" t="s">
        <v>365</v>
      </c>
      <c r="H113" s="2" t="b">
        <f aca="false">FALSE()</f>
        <v>0</v>
      </c>
      <c r="I113" s="2" t="s">
        <v>265</v>
      </c>
      <c r="J113" s="2" t="s">
        <v>49</v>
      </c>
      <c r="K113" s="1" t="n">
        <v>164.2</v>
      </c>
      <c r="L113" s="1" t="n">
        <v>1</v>
      </c>
      <c r="M113" s="1" t="n">
        <f aca="false">179.2-K113</f>
        <v>15</v>
      </c>
    </row>
    <row r="114" customFormat="false" ht="12.8" hidden="false" customHeight="false" outlineLevel="0" collapsed="false">
      <c r="A114" s="1" t="n">
        <f aca="false">ROW(A114)-3</f>
        <v>111</v>
      </c>
      <c r="B114" s="1" t="n">
        <v>9</v>
      </c>
      <c r="C114" s="2" t="s">
        <v>251</v>
      </c>
      <c r="D114" s="2" t="s">
        <v>252</v>
      </c>
      <c r="E114" s="2"/>
      <c r="G114" s="1" t="s">
        <v>366</v>
      </c>
      <c r="H114" s="2" t="b">
        <f aca="false">FALSE()</f>
        <v>0</v>
      </c>
      <c r="I114" s="2" t="s">
        <v>245</v>
      </c>
      <c r="J114" s="2" t="s">
        <v>49</v>
      </c>
      <c r="K114" s="1" t="n">
        <v>45.5</v>
      </c>
      <c r="L114" s="1" t="n">
        <v>1</v>
      </c>
      <c r="M114" s="1" t="n">
        <f aca="false">49.7-K114</f>
        <v>4.2</v>
      </c>
    </row>
    <row r="115" customFormat="false" ht="12.8" hidden="false" customHeight="false" outlineLevel="0" collapsed="false">
      <c r="A115" s="1" t="n">
        <f aca="false">ROW(A115)-3</f>
        <v>112</v>
      </c>
      <c r="B115" s="1" t="n">
        <v>9</v>
      </c>
      <c r="C115" s="2" t="s">
        <v>251</v>
      </c>
      <c r="D115" s="2" t="s">
        <v>254</v>
      </c>
      <c r="E115" s="2"/>
      <c r="G115" s="1" t="s">
        <v>367</v>
      </c>
      <c r="H115" s="2" t="b">
        <f aca="false">FALSE()</f>
        <v>0</v>
      </c>
      <c r="I115" s="2" t="s">
        <v>265</v>
      </c>
      <c r="J115" s="2" t="s">
        <v>49</v>
      </c>
      <c r="K115" s="1" t="n">
        <v>359.3</v>
      </c>
      <c r="L115" s="1" t="n">
        <v>1</v>
      </c>
      <c r="M115" s="1" t="n">
        <f aca="false">392-K115</f>
        <v>32.7</v>
      </c>
    </row>
    <row r="116" customFormat="false" ht="12.8" hidden="false" customHeight="false" outlineLevel="0" collapsed="false">
      <c r="A116" s="1" t="n">
        <f aca="false">ROW(A116)-3</f>
        <v>113</v>
      </c>
      <c r="B116" s="1" t="n">
        <v>9</v>
      </c>
      <c r="C116" s="2" t="s">
        <v>256</v>
      </c>
      <c r="D116" s="2" t="s">
        <v>240</v>
      </c>
      <c r="E116" s="2"/>
      <c r="G116" s="1" t="s">
        <v>368</v>
      </c>
      <c r="H116" s="2" t="b">
        <f aca="false">FALSE()</f>
        <v>0</v>
      </c>
      <c r="I116" s="2" t="s">
        <v>245</v>
      </c>
      <c r="J116" s="2" t="s">
        <v>49</v>
      </c>
      <c r="K116" s="1" t="n">
        <v>42.1</v>
      </c>
      <c r="L116" s="1" t="n">
        <v>1</v>
      </c>
      <c r="M116" s="1" t="n">
        <f aca="false">46-K116</f>
        <v>3.9</v>
      </c>
    </row>
    <row r="117" customFormat="false" ht="12.8" hidden="false" customHeight="false" outlineLevel="0" collapsed="false">
      <c r="A117" s="1" t="n">
        <f aca="false">ROW(A117)-3</f>
        <v>114</v>
      </c>
      <c r="B117" s="1" t="n">
        <v>9</v>
      </c>
      <c r="C117" s="2" t="s">
        <v>256</v>
      </c>
      <c r="D117" s="2" t="s">
        <v>258</v>
      </c>
      <c r="E117" s="2"/>
      <c r="G117" s="1" t="s">
        <v>369</v>
      </c>
      <c r="H117" s="2" t="b">
        <f aca="false">FALSE()</f>
        <v>0</v>
      </c>
      <c r="I117" s="2" t="s">
        <v>245</v>
      </c>
      <c r="J117" s="2" t="s">
        <v>49</v>
      </c>
      <c r="K117" s="1" t="n">
        <v>166.9</v>
      </c>
      <c r="L117" s="1" t="n">
        <v>2</v>
      </c>
      <c r="M117" s="1" t="n">
        <f aca="false">182.1-K117</f>
        <v>15.2</v>
      </c>
    </row>
    <row r="118" customFormat="false" ht="12.8" hidden="false" customHeight="false" outlineLevel="0" collapsed="false">
      <c r="A118" s="1" t="n">
        <f aca="false">ROW(A118)-3</f>
        <v>115</v>
      </c>
      <c r="B118" s="1" t="n">
        <v>9</v>
      </c>
      <c r="C118" s="2" t="s">
        <v>260</v>
      </c>
      <c r="D118" s="2" t="s">
        <v>260</v>
      </c>
      <c r="E118" s="2"/>
      <c r="G118" s="1" t="s">
        <v>370</v>
      </c>
      <c r="H118" s="2" t="b">
        <f aca="false">FALSE()</f>
        <v>0</v>
      </c>
      <c r="I118" s="2" t="s">
        <v>245</v>
      </c>
      <c r="J118" s="2" t="s">
        <v>49</v>
      </c>
      <c r="K118" s="1" t="n">
        <v>571.3</v>
      </c>
      <c r="L118" s="1" t="n">
        <v>1</v>
      </c>
      <c r="M118" s="1" t="n">
        <f aca="false">623.3-K118</f>
        <v>52</v>
      </c>
    </row>
    <row r="119" customFormat="false" ht="12.8" hidden="false" customHeight="false" outlineLevel="0" collapsed="false">
      <c r="A119" s="1" t="n">
        <f aca="false">ROW(A119)-3</f>
        <v>116</v>
      </c>
      <c r="B119" s="1" t="n">
        <v>9</v>
      </c>
      <c r="C119" s="2" t="s">
        <v>260</v>
      </c>
      <c r="D119" s="2" t="s">
        <v>262</v>
      </c>
      <c r="E119" s="2"/>
      <c r="G119" s="1" t="s">
        <v>371</v>
      </c>
      <c r="H119" s="2" t="b">
        <f aca="false">FALSE()</f>
        <v>0</v>
      </c>
      <c r="I119" s="2" t="s">
        <v>245</v>
      </c>
      <c r="J119" s="2" t="s">
        <v>49</v>
      </c>
      <c r="K119" s="1" t="n">
        <v>1478.8</v>
      </c>
      <c r="L119" s="1" t="n">
        <v>1</v>
      </c>
      <c r="M119" s="1" t="n">
        <f aca="false">1613.3-K119</f>
        <v>134.5</v>
      </c>
    </row>
    <row r="120" customFormat="false" ht="12.8" hidden="false" customHeight="false" outlineLevel="0" collapsed="false">
      <c r="A120" s="1" t="n">
        <f aca="false">ROW(A120)-3</f>
        <v>117</v>
      </c>
      <c r="B120" s="1" t="n">
        <v>10</v>
      </c>
      <c r="C120" s="2" t="s">
        <v>239</v>
      </c>
      <c r="D120" s="2" t="s">
        <v>240</v>
      </c>
      <c r="E120" s="2"/>
      <c r="G120" s="1" t="s">
        <v>372</v>
      </c>
      <c r="H120" s="2" t="b">
        <f aca="false">TRUE()</f>
        <v>1</v>
      </c>
      <c r="I120" s="2" t="s">
        <v>245</v>
      </c>
      <c r="J120" s="2" t="s">
        <v>52</v>
      </c>
      <c r="K120" s="1" t="n">
        <v>29.2</v>
      </c>
      <c r="L120" s="1" t="n">
        <v>1</v>
      </c>
      <c r="M120" s="1" t="n">
        <f aca="false">31.9-K120</f>
        <v>2.7</v>
      </c>
      <c r="N120" s="2" t="s">
        <v>245</v>
      </c>
      <c r="O120" s="2" t="s">
        <v>52</v>
      </c>
      <c r="P120" s="1" t="n">
        <v>37.1</v>
      </c>
      <c r="Q120" s="1" t="n">
        <v>1</v>
      </c>
      <c r="R120" s="1" t="n">
        <f aca="false">40.5-P120</f>
        <v>3.4</v>
      </c>
      <c r="S120" s="2" t="s">
        <v>245</v>
      </c>
      <c r="T120" s="2" t="s">
        <v>52</v>
      </c>
      <c r="U120" s="1" t="n">
        <v>58.4</v>
      </c>
      <c r="V120" s="1" t="n">
        <v>1</v>
      </c>
      <c r="W120" s="1" t="n">
        <f aca="false">63.8-U120</f>
        <v>5.4</v>
      </c>
      <c r="X120" s="2" t="s">
        <v>245</v>
      </c>
      <c r="Y120" s="2" t="s">
        <v>52</v>
      </c>
      <c r="Z120" s="1" t="n">
        <v>152</v>
      </c>
      <c r="AA120" s="1" t="n">
        <v>1</v>
      </c>
      <c r="AB120" s="1" t="n">
        <f aca="false">165.9-Z120</f>
        <v>13.9</v>
      </c>
      <c r="AC120" s="2" t="s">
        <v>245</v>
      </c>
      <c r="AD120" s="2" t="s">
        <v>52</v>
      </c>
      <c r="AE120" s="1" t="n">
        <v>180.7</v>
      </c>
      <c r="AF120" s="1" t="n">
        <v>1</v>
      </c>
      <c r="AG120" s="1" t="n">
        <f aca="false">197.2-AE120</f>
        <v>16.5</v>
      </c>
    </row>
    <row r="121" customFormat="false" ht="12.8" hidden="false" customHeight="false" outlineLevel="0" collapsed="false">
      <c r="A121" s="1" t="n">
        <f aca="false">ROW(A121)-3</f>
        <v>118</v>
      </c>
      <c r="B121" s="1" t="n">
        <v>10</v>
      </c>
      <c r="C121" s="2" t="s">
        <v>239</v>
      </c>
      <c r="D121" s="2" t="s">
        <v>243</v>
      </c>
      <c r="E121" s="2"/>
      <c r="G121" s="1" t="s">
        <v>373</v>
      </c>
      <c r="H121" s="2" t="b">
        <f aca="false">TRUE()</f>
        <v>1</v>
      </c>
      <c r="I121" s="2" t="s">
        <v>245</v>
      </c>
      <c r="J121" s="2" t="s">
        <v>67</v>
      </c>
      <c r="K121" s="1" t="n">
        <v>37.1</v>
      </c>
      <c r="L121" s="1" t="n">
        <v>1</v>
      </c>
      <c r="M121" s="1" t="n">
        <f aca="false">40.5-K121</f>
        <v>3.4</v>
      </c>
      <c r="N121" s="2" t="s">
        <v>245</v>
      </c>
      <c r="O121" s="2" t="s">
        <v>67</v>
      </c>
      <c r="P121" s="1" t="n">
        <v>56.4</v>
      </c>
      <c r="Q121" s="1" t="n">
        <v>1</v>
      </c>
      <c r="R121" s="1" t="n">
        <f aca="false">61.6-P121</f>
        <v>5.2</v>
      </c>
      <c r="S121" s="2" t="s">
        <v>245</v>
      </c>
      <c r="T121" s="2" t="s">
        <v>67</v>
      </c>
      <c r="U121" s="1" t="n">
        <v>99.5</v>
      </c>
      <c r="V121" s="1" t="n">
        <v>1</v>
      </c>
      <c r="W121" s="1" t="n">
        <f aca="false">108.6-U121</f>
        <v>9.09999999999999</v>
      </c>
      <c r="X121" s="2" t="s">
        <v>245</v>
      </c>
      <c r="Y121" s="2" t="s">
        <v>67</v>
      </c>
      <c r="Z121" s="1" t="n">
        <v>210.9</v>
      </c>
      <c r="AA121" s="1" t="n">
        <v>1</v>
      </c>
      <c r="AB121" s="1" t="n">
        <f aca="false">230.1-Z121</f>
        <v>19.2</v>
      </c>
      <c r="AC121" s="2" t="s">
        <v>245</v>
      </c>
      <c r="AD121" s="2" t="s">
        <v>67</v>
      </c>
      <c r="AE121" s="1" t="n">
        <v>277.6</v>
      </c>
      <c r="AF121" s="1" t="n">
        <v>1</v>
      </c>
      <c r="AG121" s="1" t="n">
        <f aca="false">302.9-AE121</f>
        <v>25.3</v>
      </c>
      <c r="AH121" s="2" t="s">
        <v>245</v>
      </c>
      <c r="AI121" s="2" t="s">
        <v>67</v>
      </c>
      <c r="AJ121" s="1" t="n">
        <v>355.7</v>
      </c>
      <c r="AK121" s="1" t="n">
        <v>1</v>
      </c>
      <c r="AL121" s="1" t="n">
        <f aca="false">388.1-AJ121</f>
        <v>32.4</v>
      </c>
    </row>
    <row r="122" customFormat="false" ht="12.8" hidden="false" customHeight="false" outlineLevel="0" collapsed="false">
      <c r="A122" s="1" t="n">
        <f aca="false">ROW(A122)-3</f>
        <v>119</v>
      </c>
      <c r="B122" s="1" t="n">
        <v>10</v>
      </c>
      <c r="C122" s="2" t="s">
        <v>246</v>
      </c>
      <c r="D122" s="2" t="s">
        <v>247</v>
      </c>
      <c r="E122" s="2"/>
      <c r="G122" s="1" t="s">
        <v>374</v>
      </c>
      <c r="H122" s="2" t="b">
        <f aca="false">FALSE()</f>
        <v>0</v>
      </c>
      <c r="I122" s="2" t="s">
        <v>245</v>
      </c>
      <c r="J122" s="2" t="s">
        <v>52</v>
      </c>
      <c r="K122" s="1" t="n">
        <v>47.3</v>
      </c>
      <c r="L122" s="1" t="n">
        <v>1</v>
      </c>
      <c r="M122" s="1" t="n">
        <f aca="false">51.6-K122</f>
        <v>4.3</v>
      </c>
    </row>
    <row r="123" customFormat="false" ht="12.8" hidden="false" customHeight="false" outlineLevel="0" collapsed="false">
      <c r="A123" s="1" t="n">
        <f aca="false">ROW(A123)-3</f>
        <v>120</v>
      </c>
      <c r="B123" s="1" t="n">
        <v>10</v>
      </c>
      <c r="C123" s="2" t="s">
        <v>246</v>
      </c>
      <c r="D123" s="2" t="s">
        <v>249</v>
      </c>
      <c r="E123" s="2"/>
      <c r="G123" s="1" t="s">
        <v>375</v>
      </c>
      <c r="H123" s="2" t="b">
        <f aca="false">FALSE()</f>
        <v>0</v>
      </c>
      <c r="I123" s="2" t="s">
        <v>245</v>
      </c>
      <c r="J123" s="2" t="s">
        <v>67</v>
      </c>
      <c r="K123" s="1" t="n">
        <v>187</v>
      </c>
      <c r="L123" s="1" t="n">
        <v>1</v>
      </c>
      <c r="M123" s="1" t="n">
        <f aca="false">204-K123</f>
        <v>17</v>
      </c>
    </row>
    <row r="124" customFormat="false" ht="12.8" hidden="false" customHeight="false" outlineLevel="0" collapsed="false">
      <c r="A124" s="1" t="n">
        <f aca="false">ROW(A124)-3</f>
        <v>121</v>
      </c>
      <c r="B124" s="1" t="n">
        <v>10</v>
      </c>
      <c r="C124" s="2" t="s">
        <v>251</v>
      </c>
      <c r="D124" s="2" t="s">
        <v>252</v>
      </c>
      <c r="E124" s="2"/>
      <c r="G124" s="1" t="s">
        <v>376</v>
      </c>
      <c r="H124" s="2" t="b">
        <f aca="false">FALSE()</f>
        <v>0</v>
      </c>
      <c r="I124" s="2" t="s">
        <v>245</v>
      </c>
      <c r="J124" s="2" t="s">
        <v>67</v>
      </c>
      <c r="K124" s="1" t="n">
        <v>63.1</v>
      </c>
      <c r="L124" s="1" t="n">
        <v>1</v>
      </c>
      <c r="M124" s="1" t="n">
        <f aca="false">68.9-K124</f>
        <v>5.8</v>
      </c>
    </row>
    <row r="125" customFormat="false" ht="12.8" hidden="false" customHeight="false" outlineLevel="0" collapsed="false">
      <c r="A125" s="1" t="n">
        <f aca="false">ROW(A125)-3</f>
        <v>122</v>
      </c>
      <c r="B125" s="1" t="n">
        <v>10</v>
      </c>
      <c r="C125" s="2" t="s">
        <v>251</v>
      </c>
      <c r="D125" s="2" t="s">
        <v>254</v>
      </c>
      <c r="E125" s="2"/>
      <c r="G125" s="1" t="s">
        <v>377</v>
      </c>
      <c r="H125" s="2" t="b">
        <f aca="false">FALSE()</f>
        <v>0</v>
      </c>
      <c r="I125" s="2" t="s">
        <v>245</v>
      </c>
      <c r="J125" s="2" t="s">
        <v>67</v>
      </c>
      <c r="K125" s="1" t="n">
        <v>288.3</v>
      </c>
      <c r="L125" s="1" t="n">
        <v>1</v>
      </c>
      <c r="M125" s="1" t="n">
        <f aca="false">314.6-K125</f>
        <v>26.3</v>
      </c>
    </row>
    <row r="126" customFormat="false" ht="12.8" hidden="false" customHeight="false" outlineLevel="0" collapsed="false">
      <c r="A126" s="1" t="n">
        <f aca="false">ROW(A126)-3</f>
        <v>123</v>
      </c>
      <c r="B126" s="1" t="n">
        <v>10</v>
      </c>
      <c r="C126" s="2" t="s">
        <v>256</v>
      </c>
      <c r="D126" s="2" t="s">
        <v>240</v>
      </c>
      <c r="E126" s="2"/>
      <c r="G126" s="1" t="s">
        <v>378</v>
      </c>
      <c r="H126" s="2" t="b">
        <f aca="false">FALSE()</f>
        <v>0</v>
      </c>
      <c r="I126" s="2" t="s">
        <v>245</v>
      </c>
      <c r="J126" s="2" t="s">
        <v>67</v>
      </c>
      <c r="K126" s="1" t="n">
        <v>77.1</v>
      </c>
      <c r="L126" s="1" t="n">
        <v>1</v>
      </c>
      <c r="M126" s="1" t="n">
        <f aca="false">84.2-K126</f>
        <v>7.10000000000001</v>
      </c>
    </row>
    <row r="127" customFormat="false" ht="12.8" hidden="false" customHeight="false" outlineLevel="0" collapsed="false">
      <c r="A127" s="1" t="n">
        <f aca="false">ROW(A127)-3</f>
        <v>124</v>
      </c>
      <c r="B127" s="1" t="n">
        <v>10</v>
      </c>
      <c r="C127" s="2" t="s">
        <v>256</v>
      </c>
      <c r="D127" s="2" t="s">
        <v>240</v>
      </c>
      <c r="E127" s="2"/>
      <c r="G127" s="1" t="s">
        <v>379</v>
      </c>
      <c r="H127" s="2" t="b">
        <f aca="false">FALSE()</f>
        <v>0</v>
      </c>
      <c r="I127" s="2" t="s">
        <v>245</v>
      </c>
      <c r="J127" s="2" t="s">
        <v>67</v>
      </c>
      <c r="K127" s="1" t="n">
        <v>133.1</v>
      </c>
      <c r="L127" s="1" t="n">
        <v>1</v>
      </c>
      <c r="M127" s="1" t="n">
        <f aca="false">145.3-K127</f>
        <v>12.2</v>
      </c>
    </row>
    <row r="128" customFormat="false" ht="12.8" hidden="false" customHeight="false" outlineLevel="0" collapsed="false">
      <c r="A128" s="1" t="n">
        <f aca="false">ROW(A128)-3</f>
        <v>125</v>
      </c>
      <c r="B128" s="1" t="n">
        <v>10</v>
      </c>
      <c r="C128" s="2" t="s">
        <v>256</v>
      </c>
      <c r="D128" s="2" t="s">
        <v>258</v>
      </c>
      <c r="E128" s="2"/>
      <c r="G128" s="1" t="s">
        <v>380</v>
      </c>
      <c r="H128" s="2" t="b">
        <f aca="false">FALSE()</f>
        <v>0</v>
      </c>
      <c r="I128" s="2" t="s">
        <v>245</v>
      </c>
      <c r="J128" s="2" t="s">
        <v>67</v>
      </c>
      <c r="K128" s="1" t="n">
        <v>534.3</v>
      </c>
      <c r="L128" s="1" t="n">
        <v>1</v>
      </c>
      <c r="M128" s="1" t="n">
        <f aca="false">583-K128</f>
        <v>48.7</v>
      </c>
    </row>
    <row r="129" customFormat="false" ht="12.8" hidden="false" customHeight="false" outlineLevel="0" collapsed="false">
      <c r="A129" s="1" t="n">
        <f aca="false">ROW(A129)-3</f>
        <v>126</v>
      </c>
      <c r="B129" s="1" t="n">
        <v>10</v>
      </c>
      <c r="C129" s="2" t="s">
        <v>256</v>
      </c>
      <c r="D129" s="2" t="s">
        <v>258</v>
      </c>
      <c r="E129" s="2"/>
      <c r="G129" s="1" t="s">
        <v>381</v>
      </c>
      <c r="H129" s="2" t="b">
        <f aca="false">FALSE()</f>
        <v>0</v>
      </c>
      <c r="I129" s="2" t="s">
        <v>245</v>
      </c>
      <c r="J129" s="2" t="s">
        <v>67</v>
      </c>
      <c r="K129" s="1" t="n">
        <v>789.5</v>
      </c>
      <c r="L129" s="1" t="n">
        <v>1</v>
      </c>
      <c r="M129" s="1" t="n">
        <f aca="false">861.4-K129</f>
        <v>71.9</v>
      </c>
    </row>
    <row r="130" customFormat="false" ht="12.8" hidden="false" customHeight="false" outlineLevel="0" collapsed="false">
      <c r="A130" s="1" t="n">
        <f aca="false">ROW(A130)-3</f>
        <v>127</v>
      </c>
      <c r="B130" s="1" t="n">
        <v>10</v>
      </c>
      <c r="C130" s="2" t="s">
        <v>260</v>
      </c>
      <c r="D130" s="2" t="s">
        <v>260</v>
      </c>
      <c r="E130" s="2"/>
      <c r="G130" s="1" t="s">
        <v>382</v>
      </c>
      <c r="H130" s="2" t="b">
        <f aca="false">FALSE()</f>
        <v>0</v>
      </c>
      <c r="I130" s="2" t="s">
        <v>245</v>
      </c>
      <c r="J130" s="2" t="s">
        <v>67</v>
      </c>
      <c r="K130" s="1" t="n">
        <v>637.8</v>
      </c>
      <c r="L130" s="1" t="n">
        <v>1</v>
      </c>
      <c r="M130" s="1" t="n">
        <f aca="false">695.8-K130</f>
        <v>58</v>
      </c>
    </row>
    <row r="131" customFormat="false" ht="12.8" hidden="false" customHeight="false" outlineLevel="0" collapsed="false">
      <c r="A131" s="1" t="n">
        <f aca="false">ROW(A131)-3</f>
        <v>128</v>
      </c>
      <c r="B131" s="1" t="n">
        <v>10</v>
      </c>
      <c r="C131" s="2" t="s">
        <v>260</v>
      </c>
      <c r="D131" s="2" t="s">
        <v>262</v>
      </c>
      <c r="E131" s="2"/>
      <c r="G131" s="1" t="s">
        <v>383</v>
      </c>
      <c r="H131" s="2" t="b">
        <f aca="false">FALSE()</f>
        <v>0</v>
      </c>
      <c r="I131" s="2" t="s">
        <v>245</v>
      </c>
      <c r="J131" s="2" t="s">
        <v>67</v>
      </c>
      <c r="K131" s="1" t="n">
        <v>1694.1</v>
      </c>
      <c r="L131" s="1" t="n">
        <v>1</v>
      </c>
      <c r="M131" s="1" t="n">
        <f aca="false">1848.2-K131</f>
        <v>154.1</v>
      </c>
    </row>
    <row r="132" customFormat="false" ht="12.8" hidden="false" customHeight="false" outlineLevel="0" collapsed="false">
      <c r="A132" s="1" t="n">
        <f aca="false">ROW(A132)-3</f>
        <v>129</v>
      </c>
      <c r="B132" s="1" t="n">
        <v>11</v>
      </c>
      <c r="C132" s="2" t="s">
        <v>239</v>
      </c>
      <c r="D132" s="2" t="s">
        <v>240</v>
      </c>
      <c r="E132" s="2"/>
      <c r="G132" s="1" t="s">
        <v>384</v>
      </c>
      <c r="H132" s="2" t="b">
        <f aca="false">TRUE()</f>
        <v>1</v>
      </c>
      <c r="I132" s="2" t="s">
        <v>242</v>
      </c>
      <c r="J132" s="2" t="s">
        <v>52</v>
      </c>
      <c r="K132" s="1" t="n">
        <v>48.8</v>
      </c>
      <c r="L132" s="1" t="n">
        <v>1</v>
      </c>
      <c r="M132" s="1" t="n">
        <f aca="false">53.3-K132</f>
        <v>4.5</v>
      </c>
      <c r="N132" s="2" t="s">
        <v>242</v>
      </c>
      <c r="O132" s="2" t="s">
        <v>52</v>
      </c>
      <c r="P132" s="1" t="n">
        <v>111.1</v>
      </c>
      <c r="Q132" s="1" t="n">
        <v>1</v>
      </c>
      <c r="R132" s="1" t="n">
        <f aca="false">121.2-P132</f>
        <v>10.1</v>
      </c>
      <c r="S132" s="2" t="s">
        <v>242</v>
      </c>
      <c r="T132" s="2" t="s">
        <v>52</v>
      </c>
      <c r="U132" s="1" t="n">
        <v>297.3</v>
      </c>
      <c r="V132" s="1" t="n">
        <v>1</v>
      </c>
      <c r="W132" s="1" t="n">
        <f aca="false">324.4-U132</f>
        <v>27.1</v>
      </c>
    </row>
    <row r="133" customFormat="false" ht="12.8" hidden="false" customHeight="false" outlineLevel="0" collapsed="false">
      <c r="A133" s="1" t="n">
        <f aca="false">ROW(A133)-3</f>
        <v>130</v>
      </c>
      <c r="B133" s="1" t="n">
        <v>11</v>
      </c>
      <c r="C133" s="2" t="s">
        <v>239</v>
      </c>
      <c r="D133" s="2" t="s">
        <v>258</v>
      </c>
      <c r="E133" s="2"/>
      <c r="G133" s="1" t="s">
        <v>385</v>
      </c>
      <c r="H133" s="2" t="b">
        <f aca="false">TRUE()</f>
        <v>1</v>
      </c>
      <c r="I133" s="2" t="s">
        <v>242</v>
      </c>
      <c r="J133" s="2" t="s">
        <v>67</v>
      </c>
      <c r="K133" s="1" t="n">
        <v>99.6</v>
      </c>
      <c r="L133" s="1" t="n">
        <v>1</v>
      </c>
      <c r="M133" s="1" t="n">
        <f aca="false">108.7-K133</f>
        <v>9.10000000000001</v>
      </c>
      <c r="N133" s="2" t="s">
        <v>242</v>
      </c>
      <c r="O133" s="2" t="s">
        <v>67</v>
      </c>
      <c r="P133" s="1" t="n">
        <v>184</v>
      </c>
      <c r="Q133" s="1" t="n">
        <v>1</v>
      </c>
      <c r="R133" s="1" t="n">
        <f aca="false">200.7-P133</f>
        <v>16.7</v>
      </c>
      <c r="S133" s="2" t="s">
        <v>242</v>
      </c>
      <c r="T133" s="2" t="s">
        <v>67</v>
      </c>
      <c r="U133" s="1" t="n">
        <v>496.2</v>
      </c>
      <c r="V133" s="1" t="n">
        <v>1</v>
      </c>
      <c r="W133" s="1" t="n">
        <f aca="false">541.4-U133</f>
        <v>45.2</v>
      </c>
    </row>
    <row r="134" customFormat="false" ht="12.8" hidden="false" customHeight="false" outlineLevel="0" collapsed="false">
      <c r="A134" s="1" t="n">
        <f aca="false">ROW(A134)-3</f>
        <v>131</v>
      </c>
      <c r="B134" s="1" t="n">
        <v>11</v>
      </c>
      <c r="C134" s="2" t="s">
        <v>246</v>
      </c>
      <c r="D134" s="2" t="s">
        <v>247</v>
      </c>
      <c r="E134" s="2"/>
      <c r="G134" s="1" t="s">
        <v>386</v>
      </c>
      <c r="H134" s="2" t="b">
        <f aca="false">FALSE()</f>
        <v>0</v>
      </c>
      <c r="I134" s="2" t="s">
        <v>242</v>
      </c>
      <c r="J134" s="2" t="s">
        <v>52</v>
      </c>
      <c r="K134" s="1" t="n">
        <v>77</v>
      </c>
      <c r="L134" s="1" t="n">
        <v>1</v>
      </c>
      <c r="M134" s="1" t="n">
        <f aca="false">84-K134</f>
        <v>7</v>
      </c>
    </row>
    <row r="135" customFormat="false" ht="12.8" hidden="false" customHeight="false" outlineLevel="0" collapsed="false">
      <c r="A135" s="1" t="n">
        <f aca="false">ROW(A135)-3</f>
        <v>132</v>
      </c>
      <c r="B135" s="1" t="n">
        <v>11</v>
      </c>
      <c r="C135" s="2" t="s">
        <v>246</v>
      </c>
      <c r="D135" s="2" t="s">
        <v>247</v>
      </c>
      <c r="E135" s="2"/>
      <c r="G135" s="1" t="s">
        <v>387</v>
      </c>
      <c r="H135" s="2" t="b">
        <f aca="false">FALSE()</f>
        <v>0</v>
      </c>
      <c r="I135" s="2" t="s">
        <v>242</v>
      </c>
      <c r="J135" s="2" t="s">
        <v>67</v>
      </c>
      <c r="K135" s="1" t="n">
        <v>145.7</v>
      </c>
      <c r="L135" s="1" t="n">
        <v>1</v>
      </c>
      <c r="M135" s="1" t="n">
        <f aca="false">159-K135</f>
        <v>13.3</v>
      </c>
    </row>
    <row r="136" customFormat="false" ht="12.8" hidden="false" customHeight="false" outlineLevel="0" collapsed="false">
      <c r="A136" s="1" t="n">
        <f aca="false">ROW(A136)-3</f>
        <v>133</v>
      </c>
      <c r="B136" s="1" t="n">
        <v>11</v>
      </c>
      <c r="C136" s="2" t="s">
        <v>246</v>
      </c>
      <c r="D136" s="2" t="s">
        <v>247</v>
      </c>
      <c r="E136" s="2"/>
      <c r="G136" s="1" t="s">
        <v>388</v>
      </c>
      <c r="H136" s="2" t="b">
        <f aca="false">FALSE()</f>
        <v>0</v>
      </c>
      <c r="I136" s="2" t="s">
        <v>242</v>
      </c>
      <c r="J136" s="2" t="s">
        <v>67</v>
      </c>
      <c r="K136" s="1" t="n">
        <v>62.3</v>
      </c>
      <c r="L136" s="1" t="n">
        <v>1</v>
      </c>
      <c r="M136" s="1" t="n">
        <f aca="false">68-K136</f>
        <v>5.7</v>
      </c>
      <c r="N136" s="2" t="s">
        <v>242</v>
      </c>
      <c r="O136" s="2" t="s">
        <v>67</v>
      </c>
      <c r="P136" s="1" t="n">
        <v>127.6</v>
      </c>
      <c r="Q136" s="1" t="n">
        <v>1</v>
      </c>
      <c r="R136" s="1" t="n">
        <f aca="false">139.2-P136</f>
        <v>11.6</v>
      </c>
    </row>
    <row r="137" customFormat="false" ht="12.8" hidden="false" customHeight="false" outlineLevel="0" collapsed="false">
      <c r="A137" s="1" t="n">
        <f aca="false">ROW(A137)-3</f>
        <v>134</v>
      </c>
      <c r="B137" s="1" t="n">
        <v>11</v>
      </c>
      <c r="C137" s="2" t="s">
        <v>246</v>
      </c>
      <c r="D137" s="2" t="s">
        <v>247</v>
      </c>
      <c r="E137" s="2"/>
      <c r="G137" s="1" t="s">
        <v>389</v>
      </c>
      <c r="H137" s="2" t="b">
        <f aca="false">FALSE()</f>
        <v>0</v>
      </c>
      <c r="I137" s="2" t="s">
        <v>242</v>
      </c>
      <c r="J137" s="2" t="s">
        <v>67</v>
      </c>
      <c r="K137" s="1" t="n">
        <v>62.3</v>
      </c>
      <c r="L137" s="1" t="n">
        <v>1</v>
      </c>
      <c r="M137" s="1" t="n">
        <f aca="false">68-K137</f>
        <v>5.7</v>
      </c>
      <c r="N137" s="2" t="s">
        <v>242</v>
      </c>
      <c r="O137" s="2" t="s">
        <v>67</v>
      </c>
      <c r="P137" s="1" t="n">
        <v>158.2</v>
      </c>
      <c r="Q137" s="1" t="n">
        <v>1</v>
      </c>
      <c r="R137" s="1" t="n">
        <f aca="false">172.6-P137</f>
        <v>14.4</v>
      </c>
    </row>
    <row r="138" customFormat="false" ht="12.8" hidden="false" customHeight="false" outlineLevel="0" collapsed="false">
      <c r="A138" s="1" t="n">
        <f aca="false">ROW(A138)-3</f>
        <v>135</v>
      </c>
      <c r="B138" s="1" t="n">
        <v>11</v>
      </c>
      <c r="C138" s="2" t="s">
        <v>246</v>
      </c>
      <c r="D138" s="2" t="s">
        <v>249</v>
      </c>
      <c r="E138" s="2"/>
      <c r="G138" s="1" t="s">
        <v>390</v>
      </c>
      <c r="H138" s="2" t="b">
        <f aca="false">FALSE()</f>
        <v>0</v>
      </c>
      <c r="I138" s="2" t="s">
        <v>242</v>
      </c>
      <c r="J138" s="2" t="s">
        <v>67</v>
      </c>
      <c r="K138" s="1" t="n">
        <v>152.6</v>
      </c>
      <c r="L138" s="1" t="n">
        <v>1</v>
      </c>
      <c r="M138" s="1" t="n">
        <f aca="false">166.5-K138</f>
        <v>13.9</v>
      </c>
    </row>
    <row r="139" customFormat="false" ht="12.8" hidden="false" customHeight="false" outlineLevel="0" collapsed="false">
      <c r="A139" s="1" t="n">
        <f aca="false">ROW(A139)-3</f>
        <v>136</v>
      </c>
      <c r="B139" s="1" t="n">
        <v>11</v>
      </c>
      <c r="C139" s="2" t="s">
        <v>251</v>
      </c>
      <c r="D139" s="2" t="s">
        <v>252</v>
      </c>
      <c r="E139" s="2"/>
      <c r="G139" s="1" t="s">
        <v>391</v>
      </c>
      <c r="H139" s="2" t="b">
        <f aca="false">FALSE()</f>
        <v>0</v>
      </c>
      <c r="I139" s="2" t="s">
        <v>242</v>
      </c>
      <c r="J139" s="2" t="s">
        <v>67</v>
      </c>
      <c r="K139" s="1" t="n">
        <v>121.1</v>
      </c>
      <c r="L139" s="1" t="n">
        <v>1</v>
      </c>
      <c r="M139" s="1" t="n">
        <f aca="false">132.2-K139</f>
        <v>11.1</v>
      </c>
    </row>
    <row r="140" customFormat="false" ht="12.8" hidden="false" customHeight="false" outlineLevel="0" collapsed="false">
      <c r="A140" s="1" t="n">
        <f aca="false">ROW(A140)-3</f>
        <v>137</v>
      </c>
      <c r="B140" s="1" t="n">
        <v>11</v>
      </c>
      <c r="C140" s="2" t="s">
        <v>251</v>
      </c>
      <c r="D140" s="2" t="s">
        <v>254</v>
      </c>
      <c r="E140" s="2"/>
      <c r="G140" s="1" t="s">
        <v>392</v>
      </c>
      <c r="H140" s="2" t="b">
        <f aca="false">FALSE()</f>
        <v>0</v>
      </c>
      <c r="I140" s="2" t="s">
        <v>242</v>
      </c>
      <c r="J140" s="2" t="s">
        <v>67</v>
      </c>
      <c r="K140" s="1" t="n">
        <v>437.9</v>
      </c>
      <c r="L140" s="1" t="n">
        <v>1</v>
      </c>
      <c r="M140" s="1" t="n">
        <f aca="false">477.8-K140</f>
        <v>39.9</v>
      </c>
    </row>
    <row r="141" customFormat="false" ht="12.8" hidden="false" customHeight="false" outlineLevel="0" collapsed="false">
      <c r="A141" s="1" t="n">
        <f aca="false">ROW(A141)-3</f>
        <v>138</v>
      </c>
      <c r="B141" s="1" t="n">
        <v>11</v>
      </c>
      <c r="C141" s="2" t="s">
        <v>256</v>
      </c>
      <c r="D141" s="2" t="s">
        <v>240</v>
      </c>
      <c r="E141" s="2"/>
      <c r="G141" s="1" t="s">
        <v>393</v>
      </c>
      <c r="H141" s="2" t="b">
        <f aca="false">FALSE()</f>
        <v>0</v>
      </c>
      <c r="I141" s="2" t="s">
        <v>245</v>
      </c>
      <c r="J141" s="2" t="s">
        <v>67</v>
      </c>
      <c r="K141" s="1" t="n">
        <v>50.5</v>
      </c>
      <c r="L141" s="1" t="n">
        <v>1</v>
      </c>
      <c r="M141" s="1" t="n">
        <f aca="false">55.1-K141</f>
        <v>4.6</v>
      </c>
    </row>
    <row r="142" customFormat="false" ht="12.8" hidden="false" customHeight="false" outlineLevel="0" collapsed="false">
      <c r="A142" s="1" t="n">
        <f aca="false">ROW(A142)-3</f>
        <v>139</v>
      </c>
      <c r="B142" s="1" t="n">
        <v>11</v>
      </c>
      <c r="C142" s="2" t="s">
        <v>256</v>
      </c>
      <c r="D142" s="2" t="s">
        <v>258</v>
      </c>
      <c r="E142" s="2"/>
      <c r="G142" s="1" t="s">
        <v>394</v>
      </c>
      <c r="H142" s="2" t="b">
        <f aca="false">FALSE()</f>
        <v>0</v>
      </c>
      <c r="I142" s="2" t="s">
        <v>245</v>
      </c>
      <c r="J142" s="2" t="s">
        <v>67</v>
      </c>
      <c r="K142" s="1" t="n">
        <v>377.2</v>
      </c>
      <c r="L142" s="1" t="n">
        <v>1</v>
      </c>
      <c r="M142" s="1" t="n">
        <f aca="false">411.5-K142</f>
        <v>34.3</v>
      </c>
    </row>
    <row r="143" customFormat="false" ht="12.8" hidden="false" customHeight="false" outlineLevel="0" collapsed="false">
      <c r="A143" s="1" t="n">
        <f aca="false">ROW(A143)-3</f>
        <v>140</v>
      </c>
      <c r="B143" s="1" t="n">
        <v>11</v>
      </c>
      <c r="C143" s="2" t="s">
        <v>256</v>
      </c>
      <c r="D143" s="2" t="s">
        <v>258</v>
      </c>
      <c r="E143" s="2"/>
      <c r="G143" s="1" t="s">
        <v>395</v>
      </c>
      <c r="H143" s="2" t="b">
        <f aca="false">FALSE()</f>
        <v>0</v>
      </c>
      <c r="I143" s="2" t="s">
        <v>242</v>
      </c>
      <c r="J143" s="2" t="s">
        <v>67</v>
      </c>
      <c r="K143" s="1" t="n">
        <v>553.3</v>
      </c>
      <c r="L143" s="1" t="n">
        <v>1</v>
      </c>
      <c r="M143" s="1" t="n">
        <f aca="false">603.6-K143</f>
        <v>50.3000000000001</v>
      </c>
    </row>
    <row r="144" customFormat="false" ht="12.8" hidden="false" customHeight="false" outlineLevel="0" collapsed="false">
      <c r="A144" s="1" t="n">
        <f aca="false">ROW(A144)-3</f>
        <v>141</v>
      </c>
      <c r="B144" s="1" t="n">
        <v>11</v>
      </c>
      <c r="C144" s="2" t="s">
        <v>260</v>
      </c>
      <c r="D144" s="2" t="s">
        <v>260</v>
      </c>
      <c r="E144" s="2"/>
      <c r="G144" s="1" t="s">
        <v>396</v>
      </c>
      <c r="H144" s="2" t="b">
        <f aca="false">FALSE()</f>
        <v>0</v>
      </c>
      <c r="I144" s="2" t="s">
        <v>242</v>
      </c>
      <c r="J144" s="2" t="s">
        <v>67</v>
      </c>
      <c r="K144" s="1" t="n">
        <v>794.6</v>
      </c>
      <c r="L144" s="1" t="n">
        <v>1</v>
      </c>
      <c r="M144" s="1" t="n">
        <f aca="false">866.9-K144</f>
        <v>72.3</v>
      </c>
    </row>
    <row r="145" customFormat="false" ht="12.8" hidden="false" customHeight="false" outlineLevel="0" collapsed="false">
      <c r="A145" s="1" t="n">
        <f aca="false">ROW(A145)-3</f>
        <v>142</v>
      </c>
      <c r="B145" s="1" t="n">
        <v>11</v>
      </c>
      <c r="C145" s="2" t="s">
        <v>260</v>
      </c>
      <c r="D145" s="2" t="s">
        <v>262</v>
      </c>
      <c r="E145" s="2"/>
      <c r="G145" s="1" t="s">
        <v>397</v>
      </c>
      <c r="H145" s="2" t="b">
        <f aca="false">FALSE()</f>
        <v>0</v>
      </c>
      <c r="I145" s="2" t="s">
        <v>242</v>
      </c>
      <c r="J145" s="2" t="s">
        <v>67</v>
      </c>
      <c r="K145" s="1" t="n">
        <v>1890.8</v>
      </c>
      <c r="L145" s="1" t="n">
        <v>1</v>
      </c>
      <c r="M145" s="1" t="n">
        <f aca="false">2062.7-K145</f>
        <v>171.9</v>
      </c>
    </row>
    <row r="146" customFormat="false" ht="12.8" hidden="false" customHeight="false" outlineLevel="0" collapsed="false">
      <c r="A146" s="1" t="n">
        <f aca="false">ROW(A146)-3</f>
        <v>143</v>
      </c>
      <c r="B146" s="1" t="n">
        <v>12</v>
      </c>
      <c r="C146" s="2" t="s">
        <v>239</v>
      </c>
      <c r="D146" s="2" t="s">
        <v>240</v>
      </c>
      <c r="E146" s="2"/>
      <c r="G146" s="1" t="s">
        <v>398</v>
      </c>
      <c r="H146" s="2" t="b">
        <f aca="false">TRUE()</f>
        <v>1</v>
      </c>
      <c r="I146" s="2" t="s">
        <v>245</v>
      </c>
      <c r="J146" s="2" t="s">
        <v>52</v>
      </c>
      <c r="K146" s="1" t="n">
        <v>44</v>
      </c>
      <c r="L146" s="1" t="n">
        <v>1</v>
      </c>
      <c r="M146" s="1" t="n">
        <f aca="false">48-K146</f>
        <v>4</v>
      </c>
      <c r="N146" s="2" t="s">
        <v>245</v>
      </c>
      <c r="O146" s="2" t="s">
        <v>52</v>
      </c>
      <c r="P146" s="1" t="n">
        <v>111.4</v>
      </c>
      <c r="Q146" s="1" t="n">
        <v>1</v>
      </c>
      <c r="R146" s="1" t="n">
        <f aca="false">121.6-P146</f>
        <v>10.2</v>
      </c>
      <c r="S146" s="2" t="s">
        <v>245</v>
      </c>
      <c r="T146" s="2" t="s">
        <v>49</v>
      </c>
      <c r="U146" s="1" t="n">
        <v>117.1</v>
      </c>
      <c r="V146" s="1" t="n">
        <v>1</v>
      </c>
      <c r="W146" s="1" t="n">
        <f aca="false">127.8-U146</f>
        <v>10.7</v>
      </c>
      <c r="X146" s="2" t="s">
        <v>245</v>
      </c>
      <c r="Y146" s="2" t="s">
        <v>49</v>
      </c>
      <c r="Z146" s="1" t="n">
        <v>183.9</v>
      </c>
      <c r="AA146" s="1" t="n">
        <v>1</v>
      </c>
      <c r="AB146" s="1" t="n">
        <f aca="false">200.7-Z146</f>
        <v>16.8</v>
      </c>
    </row>
    <row r="147" customFormat="false" ht="12.8" hidden="false" customHeight="false" outlineLevel="0" collapsed="false">
      <c r="A147" s="1" t="n">
        <f aca="false">ROW(A147)-3</f>
        <v>144</v>
      </c>
      <c r="B147" s="1" t="n">
        <v>12</v>
      </c>
      <c r="C147" s="2" t="s">
        <v>239</v>
      </c>
      <c r="D147" s="2" t="s">
        <v>243</v>
      </c>
      <c r="E147" s="2"/>
      <c r="G147" s="1" t="s">
        <v>399</v>
      </c>
      <c r="H147" s="2" t="b">
        <f aca="false">FALSE()</f>
        <v>0</v>
      </c>
      <c r="I147" s="2" t="s">
        <v>245</v>
      </c>
      <c r="J147" s="2" t="s">
        <v>49</v>
      </c>
      <c r="K147" s="1" t="n">
        <v>315.1</v>
      </c>
      <c r="L147" s="1" t="n">
        <v>1</v>
      </c>
      <c r="M147" s="1" t="n">
        <f aca="false">343.8-K147</f>
        <v>28.7</v>
      </c>
    </row>
    <row r="148" customFormat="false" ht="12.8" hidden="false" customHeight="false" outlineLevel="0" collapsed="false">
      <c r="A148" s="1" t="n">
        <f aca="false">ROW(A148)-3</f>
        <v>145</v>
      </c>
      <c r="B148" s="1" t="n">
        <v>12</v>
      </c>
      <c r="C148" s="2" t="s">
        <v>246</v>
      </c>
      <c r="D148" s="2" t="s">
        <v>247</v>
      </c>
      <c r="E148" s="2"/>
      <c r="G148" s="1" t="s">
        <v>400</v>
      </c>
      <c r="H148" s="2" t="b">
        <f aca="false">FALSE()</f>
        <v>0</v>
      </c>
      <c r="I148" s="2" t="s">
        <v>265</v>
      </c>
      <c r="J148" s="2" t="s">
        <v>52</v>
      </c>
      <c r="K148" s="1" t="n">
        <v>105</v>
      </c>
      <c r="L148" s="1" t="n">
        <v>1</v>
      </c>
      <c r="M148" s="1" t="n">
        <f aca="false">114.6-K148</f>
        <v>9.59999999999999</v>
      </c>
    </row>
    <row r="149" customFormat="false" ht="12.8" hidden="false" customHeight="false" outlineLevel="0" collapsed="false">
      <c r="A149" s="1" t="n">
        <f aca="false">ROW(A149)-3</f>
        <v>146</v>
      </c>
      <c r="B149" s="1" t="n">
        <v>12</v>
      </c>
      <c r="C149" s="2" t="s">
        <v>246</v>
      </c>
      <c r="D149" s="2" t="s">
        <v>249</v>
      </c>
      <c r="E149" s="2"/>
      <c r="G149" s="1" t="s">
        <v>401</v>
      </c>
      <c r="H149" s="2" t="b">
        <f aca="false">FALSE()</f>
        <v>0</v>
      </c>
      <c r="I149" s="2" t="s">
        <v>245</v>
      </c>
      <c r="J149" s="2" t="s">
        <v>49</v>
      </c>
      <c r="K149" s="1" t="n">
        <v>227.6</v>
      </c>
      <c r="L149" s="1" t="n">
        <v>1</v>
      </c>
      <c r="M149" s="1" t="n">
        <f aca="false">248.3-K149</f>
        <v>20.7</v>
      </c>
    </row>
    <row r="150" customFormat="false" ht="12.8" hidden="false" customHeight="false" outlineLevel="0" collapsed="false">
      <c r="A150" s="1" t="n">
        <f aca="false">ROW(A150)-3</f>
        <v>147</v>
      </c>
      <c r="B150" s="1" t="n">
        <v>12</v>
      </c>
      <c r="C150" s="2" t="s">
        <v>251</v>
      </c>
      <c r="D150" s="2" t="s">
        <v>252</v>
      </c>
      <c r="E150" s="2"/>
      <c r="G150" s="1" t="s">
        <v>402</v>
      </c>
      <c r="H150" s="2" t="b">
        <f aca="false">FALSE()</f>
        <v>0</v>
      </c>
      <c r="I150" s="2" t="s">
        <v>245</v>
      </c>
      <c r="J150" s="2" t="s">
        <v>49</v>
      </c>
      <c r="K150" s="1" t="n">
        <v>122.6</v>
      </c>
      <c r="L150" s="1" t="n">
        <v>1</v>
      </c>
      <c r="M150" s="1" t="n">
        <f aca="false">133.8-K150</f>
        <v>11.2</v>
      </c>
    </row>
    <row r="151" customFormat="false" ht="12.8" hidden="false" customHeight="false" outlineLevel="0" collapsed="false">
      <c r="A151" s="1" t="n">
        <f aca="false">ROW(A151)-3</f>
        <v>148</v>
      </c>
      <c r="B151" s="1" t="n">
        <v>12</v>
      </c>
      <c r="C151" s="2" t="s">
        <v>251</v>
      </c>
      <c r="D151" s="2" t="s">
        <v>254</v>
      </c>
      <c r="E151" s="2"/>
      <c r="G151" s="1" t="s">
        <v>403</v>
      </c>
      <c r="H151" s="2" t="b">
        <f aca="false">FALSE()</f>
        <v>0</v>
      </c>
      <c r="I151" s="2" t="s">
        <v>245</v>
      </c>
      <c r="J151" s="2" t="s">
        <v>49</v>
      </c>
      <c r="K151" s="1" t="n">
        <v>349.4</v>
      </c>
      <c r="L151" s="1" t="n">
        <v>1</v>
      </c>
      <c r="M151" s="1" t="n">
        <f aca="false">381.2-K151</f>
        <v>31.8</v>
      </c>
    </row>
    <row r="152" customFormat="false" ht="12.8" hidden="false" customHeight="false" outlineLevel="0" collapsed="false">
      <c r="A152" s="1" t="n">
        <f aca="false">ROW(A152)-3</f>
        <v>149</v>
      </c>
      <c r="B152" s="1" t="n">
        <v>12</v>
      </c>
      <c r="C152" s="2" t="s">
        <v>256</v>
      </c>
      <c r="D152" s="2" t="s">
        <v>240</v>
      </c>
      <c r="E152" s="2"/>
      <c r="G152" s="1" t="s">
        <v>404</v>
      </c>
      <c r="H152" s="2" t="b">
        <f aca="false">FALSE()</f>
        <v>0</v>
      </c>
      <c r="I152" s="2" t="s">
        <v>245</v>
      </c>
      <c r="J152" s="2" t="s">
        <v>49</v>
      </c>
      <c r="K152" s="1" t="n">
        <v>61.3</v>
      </c>
      <c r="L152" s="1" t="n">
        <v>1</v>
      </c>
      <c r="M152" s="1" t="n">
        <f aca="false">66.9-K152</f>
        <v>5.60000000000001</v>
      </c>
    </row>
    <row r="153" customFormat="false" ht="12.8" hidden="false" customHeight="false" outlineLevel="0" collapsed="false">
      <c r="A153" s="1" t="n">
        <f aca="false">ROW(A153)-3</f>
        <v>150</v>
      </c>
      <c r="B153" s="1" t="n">
        <v>12</v>
      </c>
      <c r="C153" s="2" t="s">
        <v>256</v>
      </c>
      <c r="D153" s="2" t="s">
        <v>258</v>
      </c>
      <c r="E153" s="2"/>
      <c r="G153" s="1" t="s">
        <v>405</v>
      </c>
      <c r="H153" s="2" t="b">
        <f aca="false">FALSE()</f>
        <v>0</v>
      </c>
      <c r="I153" s="2" t="s">
        <v>245</v>
      </c>
      <c r="J153" s="2" t="s">
        <v>49</v>
      </c>
      <c r="K153" s="1" t="n">
        <v>546</v>
      </c>
      <c r="L153" s="1" t="n">
        <v>1</v>
      </c>
      <c r="M153" s="1" t="n">
        <f aca="false">595.7-K153</f>
        <v>49.7</v>
      </c>
    </row>
    <row r="154" customFormat="false" ht="12.8" hidden="false" customHeight="false" outlineLevel="0" collapsed="false">
      <c r="A154" s="1" t="n">
        <f aca="false">ROW(A154)-3</f>
        <v>151</v>
      </c>
      <c r="B154" s="1" t="n">
        <v>12</v>
      </c>
      <c r="C154" s="2" t="s">
        <v>260</v>
      </c>
      <c r="D154" s="2" t="s">
        <v>260</v>
      </c>
      <c r="E154" s="2"/>
      <c r="G154" s="1" t="s">
        <v>406</v>
      </c>
      <c r="H154" s="2" t="b">
        <f aca="false">FALSE()</f>
        <v>0</v>
      </c>
      <c r="I154" s="2" t="s">
        <v>245</v>
      </c>
      <c r="J154" s="2" t="s">
        <v>49</v>
      </c>
      <c r="K154" s="1" t="n">
        <v>1013</v>
      </c>
      <c r="L154" s="1" t="n">
        <v>1</v>
      </c>
      <c r="M154" s="1" t="n">
        <f aca="false">1105.1-K154</f>
        <v>92.0999999999999</v>
      </c>
    </row>
    <row r="155" customFormat="false" ht="12.8" hidden="false" customHeight="false" outlineLevel="0" collapsed="false">
      <c r="A155" s="1" t="n">
        <f aca="false">ROW(A155)-3</f>
        <v>152</v>
      </c>
      <c r="B155" s="1" t="n">
        <v>12</v>
      </c>
      <c r="C155" s="2" t="s">
        <v>260</v>
      </c>
      <c r="D155" s="2" t="s">
        <v>262</v>
      </c>
      <c r="E155" s="2"/>
      <c r="G155" s="1" t="s">
        <v>407</v>
      </c>
      <c r="H155" s="2" t="b">
        <f aca="false">FALSE()</f>
        <v>0</v>
      </c>
      <c r="I155" s="2" t="s">
        <v>245</v>
      </c>
      <c r="J155" s="2" t="s">
        <v>49</v>
      </c>
      <c r="K155" s="1" t="n">
        <v>2116.7</v>
      </c>
      <c r="L155" s="1" t="n">
        <v>1</v>
      </c>
      <c r="M155" s="1" t="n">
        <f aca="false">2309.2-K155</f>
        <v>192.5</v>
      </c>
    </row>
  </sheetData>
  <mergeCells count="7">
    <mergeCell ref="F1:G1"/>
    <mergeCell ref="I1:M1"/>
    <mergeCell ref="N1:R1"/>
    <mergeCell ref="S1:W1"/>
    <mergeCell ref="X1:AB1"/>
    <mergeCell ref="AC1:AG1"/>
    <mergeCell ref="AH1:AL1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&amp;C&amp;"Arial,標準"&amp;A</oddHeader>
    <oddFooter>&amp;C&amp;"Arial,標準"ページ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Y106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E20" activeCellId="0" sqref="E20"/>
    </sheetView>
  </sheetViews>
  <sheetFormatPr defaultColWidth="12.8046875" defaultRowHeight="12.8" customHeight="true" zeroHeight="false" outlineLevelRow="0" outlineLevelCol="0"/>
  <cols>
    <col collapsed="false" customWidth="true" hidden="false" outlineLevel="0" max="1" min="1" style="19" width="3.87"/>
    <col collapsed="false" customWidth="true" hidden="false" outlineLevel="0" max="2" min="2" style="19" width="9.62"/>
    <col collapsed="false" customWidth="true" hidden="false" outlineLevel="0" max="3" min="3" style="19" width="5.6"/>
    <col collapsed="false" customWidth="true" hidden="false" outlineLevel="0" max="4" min="4" style="19" width="25.15"/>
    <col collapsed="false" customWidth="true" hidden="false" outlineLevel="0" max="5" min="5" style="19" width="19.9"/>
    <col collapsed="false" customWidth="true" hidden="false" outlineLevel="0" max="6" min="6" style="19" width="4.56"/>
    <col collapsed="false" customWidth="true" hidden="false" outlineLevel="0" max="7" min="7" style="19" width="8.16"/>
    <col collapsed="false" customWidth="true" hidden="false" outlineLevel="0" max="8" min="8" style="19" width="7.3"/>
    <col collapsed="false" customWidth="true" hidden="false" outlineLevel="0" max="9" min="9" style="19" width="8.16"/>
    <col collapsed="false" customWidth="true" hidden="false" outlineLevel="0" max="10" min="10" style="19" width="15.78"/>
    <col collapsed="false" customWidth="true" hidden="false" outlineLevel="0" max="11" min="11" style="19" width="6.27"/>
    <col collapsed="false" customWidth="true" hidden="false" outlineLevel="0" max="12" min="12" style="19" width="8.68"/>
    <col collapsed="false" customWidth="true" hidden="false" outlineLevel="0" max="13" min="13" style="19" width="7.3"/>
    <col collapsed="false" customWidth="true" hidden="false" outlineLevel="0" max="15" min="14" style="19" width="6.62"/>
    <col collapsed="false" customWidth="true" hidden="false" outlineLevel="0" max="16" min="16" style="19" width="13.14"/>
    <col collapsed="false" customWidth="true" hidden="false" outlineLevel="0" max="17" min="17" style="19" width="9.02"/>
    <col collapsed="false" customWidth="true" hidden="false" outlineLevel="0" max="18" min="18" style="19" width="17.43"/>
    <col collapsed="false" customWidth="true" hidden="false" outlineLevel="0" max="19" min="19" style="19" width="11.76"/>
    <col collapsed="false" customWidth="true" hidden="false" outlineLevel="0" max="20" min="20" style="19" width="15.02"/>
    <col collapsed="false" customWidth="true" hidden="false" outlineLevel="0" max="25" min="21" style="19" width="7.65"/>
    <col collapsed="false" customWidth="false" hidden="false" outlineLevel="0" max="16384" min="26" style="19" width="12.8"/>
  </cols>
  <sheetData>
    <row r="1" customFormat="false" ht="12.8" hidden="false" customHeight="false" outlineLevel="0" collapsed="false">
      <c r="A1" s="19" t="s">
        <v>230</v>
      </c>
      <c r="B1" s="19" t="s">
        <v>408</v>
      </c>
      <c r="C1" s="19" t="s">
        <v>409</v>
      </c>
      <c r="D1" s="19" t="s">
        <v>410</v>
      </c>
      <c r="E1" s="19" t="s">
        <v>411</v>
      </c>
      <c r="F1" s="19" t="s">
        <v>72</v>
      </c>
      <c r="G1" s="19" t="s">
        <v>412</v>
      </c>
      <c r="H1" s="19" t="s">
        <v>413</v>
      </c>
      <c r="I1" s="19" t="s">
        <v>414</v>
      </c>
      <c r="J1" s="19" t="s">
        <v>415</v>
      </c>
      <c r="K1" s="19" t="s">
        <v>416</v>
      </c>
      <c r="L1" s="19" t="s">
        <v>417</v>
      </c>
      <c r="M1" s="19" t="s">
        <v>418</v>
      </c>
      <c r="N1" s="19" t="s">
        <v>419</v>
      </c>
      <c r="O1" s="19" t="s">
        <v>420</v>
      </c>
      <c r="P1" s="20" t="s">
        <v>421</v>
      </c>
      <c r="Q1" s="19" t="s">
        <v>422</v>
      </c>
      <c r="S1" s="19" t="s">
        <v>423</v>
      </c>
      <c r="T1" s="19" t="s">
        <v>424</v>
      </c>
      <c r="U1" s="19" t="s">
        <v>425</v>
      </c>
      <c r="V1" s="19" t="s">
        <v>426</v>
      </c>
      <c r="W1" s="19" t="s">
        <v>427</v>
      </c>
      <c r="X1" s="19" t="s">
        <v>428</v>
      </c>
      <c r="Y1" s="19" t="s">
        <v>429</v>
      </c>
      <c r="Z1" s="19" t="s">
        <v>418</v>
      </c>
      <c r="AA1" s="19" t="s">
        <v>419</v>
      </c>
      <c r="AB1" s="19" t="s">
        <v>420</v>
      </c>
      <c r="AC1" s="20" t="s">
        <v>421</v>
      </c>
      <c r="AD1" s="19" t="s">
        <v>422</v>
      </c>
      <c r="AF1" s="19" t="s">
        <v>423</v>
      </c>
      <c r="AG1" s="19" t="s">
        <v>424</v>
      </c>
      <c r="AH1" s="19" t="s">
        <v>425</v>
      </c>
      <c r="AI1" s="19" t="s">
        <v>426</v>
      </c>
      <c r="AJ1" s="19" t="s">
        <v>427</v>
      </c>
      <c r="AK1" s="19" t="s">
        <v>428</v>
      </c>
      <c r="AL1" s="19" t="s">
        <v>429</v>
      </c>
      <c r="AM1" s="19" t="s">
        <v>418</v>
      </c>
      <c r="AN1" s="19" t="s">
        <v>419</v>
      </c>
      <c r="AO1" s="19" t="s">
        <v>420</v>
      </c>
      <c r="AP1" s="20" t="s">
        <v>421</v>
      </c>
      <c r="AQ1" s="19" t="s">
        <v>422</v>
      </c>
      <c r="AS1" s="19" t="s">
        <v>423</v>
      </c>
      <c r="AT1" s="19" t="s">
        <v>424</v>
      </c>
      <c r="AU1" s="19" t="s">
        <v>425</v>
      </c>
      <c r="AV1" s="19" t="s">
        <v>426</v>
      </c>
      <c r="AW1" s="19" t="s">
        <v>427</v>
      </c>
      <c r="AX1" s="19" t="s">
        <v>428</v>
      </c>
      <c r="AY1" s="19" t="s">
        <v>429</v>
      </c>
    </row>
    <row r="2" customFormat="false" ht="13.25" hidden="false" customHeight="false" outlineLevel="0" collapsed="false">
      <c r="A2" s="19" t="n">
        <f aca="false">ROW(A2)-2</f>
        <v>0</v>
      </c>
      <c r="B2" s="19" t="s">
        <v>47</v>
      </c>
      <c r="C2" s="19" t="s">
        <v>48</v>
      </c>
      <c r="D2" s="19" t="s">
        <v>430</v>
      </c>
      <c r="E2" s="19" t="s">
        <v>431</v>
      </c>
      <c r="F2" s="19" t="n">
        <v>42</v>
      </c>
      <c r="G2" s="19" t="n">
        <v>624</v>
      </c>
      <c r="H2" s="19" t="s">
        <v>432</v>
      </c>
      <c r="I2" s="19" t="n">
        <v>15</v>
      </c>
      <c r="J2" s="19" t="s">
        <v>433</v>
      </c>
      <c r="K2" s="16" t="s">
        <v>434</v>
      </c>
      <c r="L2" s="19" t="b">
        <f aca="false">TRUE()</f>
        <v>1</v>
      </c>
      <c r="M2" s="19" t="s">
        <v>435</v>
      </c>
      <c r="N2" s="19" t="s">
        <v>436</v>
      </c>
      <c r="O2" s="16"/>
      <c r="P2" s="16"/>
      <c r="Q2" s="16"/>
      <c r="R2" s="16"/>
      <c r="S2" s="19" t="s">
        <v>437</v>
      </c>
      <c r="T2" s="19" t="s">
        <v>438</v>
      </c>
      <c r="U2" s="19" t="n">
        <v>15</v>
      </c>
      <c r="V2" s="19" t="n">
        <v>17.5</v>
      </c>
      <c r="W2" s="19" t="n">
        <v>20</v>
      </c>
      <c r="X2" s="19" t="n">
        <v>22</v>
      </c>
      <c r="Y2" s="16" t="n">
        <v>24</v>
      </c>
    </row>
    <row r="3" customFormat="false" ht="13.25" hidden="false" customHeight="false" outlineLevel="0" collapsed="false">
      <c r="A3" s="16" t="n">
        <f aca="false">ROW(A3)-2</f>
        <v>1</v>
      </c>
      <c r="B3" s="19" t="s">
        <v>51</v>
      </c>
      <c r="C3" s="19" t="s">
        <v>439</v>
      </c>
      <c r="D3" s="19" t="s">
        <v>440</v>
      </c>
      <c r="E3" s="19" t="s">
        <v>441</v>
      </c>
      <c r="F3" s="16" t="n">
        <v>32</v>
      </c>
      <c r="G3" s="16" t="n">
        <v>475</v>
      </c>
      <c r="H3" s="19" t="s">
        <v>442</v>
      </c>
      <c r="I3" s="16" t="n">
        <v>20</v>
      </c>
      <c r="J3" s="19" t="s">
        <v>443</v>
      </c>
      <c r="K3" s="16" t="s">
        <v>444</v>
      </c>
      <c r="L3" s="19" t="b">
        <f aca="false">TRUE()</f>
        <v>1</v>
      </c>
      <c r="M3" s="19" t="s">
        <v>435</v>
      </c>
      <c r="N3" s="19" t="s">
        <v>436</v>
      </c>
      <c r="O3" s="16"/>
      <c r="P3" s="19" t="s">
        <v>445</v>
      </c>
      <c r="Q3" s="19" t="s">
        <v>446</v>
      </c>
      <c r="R3" s="19" t="s">
        <v>447</v>
      </c>
      <c r="S3" s="19" t="s">
        <v>437</v>
      </c>
      <c r="T3" s="19" t="s">
        <v>448</v>
      </c>
      <c r="U3" s="19" t="n">
        <v>12</v>
      </c>
      <c r="V3" s="19" t="n">
        <v>14</v>
      </c>
      <c r="W3" s="19" t="n">
        <v>16</v>
      </c>
      <c r="X3" s="19" t="n">
        <v>18</v>
      </c>
      <c r="Y3" s="16" t="n">
        <v>20</v>
      </c>
    </row>
    <row r="4" customFormat="false" ht="13.25" hidden="false" customHeight="false" outlineLevel="0" collapsed="false">
      <c r="A4" s="16" t="n">
        <f aca="false">ROW(A4)-2</f>
        <v>2</v>
      </c>
      <c r="B4" s="19" t="s">
        <v>51</v>
      </c>
      <c r="C4" s="19" t="s">
        <v>439</v>
      </c>
      <c r="D4" s="19" t="s">
        <v>449</v>
      </c>
      <c r="E4" s="19" t="s">
        <v>450</v>
      </c>
      <c r="F4" s="16" t="n">
        <v>32</v>
      </c>
      <c r="G4" s="16" t="n">
        <v>475</v>
      </c>
      <c r="H4" s="19" t="s">
        <v>442</v>
      </c>
      <c r="I4" s="16" t="n">
        <v>20</v>
      </c>
      <c r="J4" s="19" t="s">
        <v>451</v>
      </c>
      <c r="K4" s="16" t="s">
        <v>452</v>
      </c>
      <c r="L4" s="19" t="b">
        <f aca="false">TRUE()</f>
        <v>1</v>
      </c>
      <c r="M4" s="19" t="s">
        <v>453</v>
      </c>
      <c r="N4" s="19" t="s">
        <v>436</v>
      </c>
      <c r="O4" s="16"/>
      <c r="P4" s="16"/>
      <c r="Q4" s="16"/>
      <c r="R4" s="16"/>
      <c r="S4" s="19" t="s">
        <v>437</v>
      </c>
      <c r="T4" s="19" t="s">
        <v>448</v>
      </c>
      <c r="U4" s="19" t="n">
        <v>15</v>
      </c>
      <c r="V4" s="19" t="n">
        <v>17.5</v>
      </c>
      <c r="W4" s="19" t="n">
        <v>20</v>
      </c>
      <c r="X4" s="19" t="n">
        <v>22.5</v>
      </c>
      <c r="Y4" s="16" t="n">
        <v>25</v>
      </c>
    </row>
    <row r="5" customFormat="false" ht="13.25" hidden="false" customHeight="false" outlineLevel="0" collapsed="false">
      <c r="A5" s="16" t="n">
        <f aca="false">ROW(A5)-2</f>
        <v>3</v>
      </c>
      <c r="B5" s="19" t="s">
        <v>51</v>
      </c>
      <c r="C5" s="19" t="s">
        <v>439</v>
      </c>
      <c r="D5" s="19" t="s">
        <v>454</v>
      </c>
      <c r="E5" s="19" t="s">
        <v>455</v>
      </c>
      <c r="F5" s="16" t="n">
        <v>32</v>
      </c>
      <c r="G5" s="16" t="n">
        <v>475</v>
      </c>
      <c r="H5" s="19" t="s">
        <v>456</v>
      </c>
      <c r="I5" s="16" t="n">
        <v>16</v>
      </c>
      <c r="J5" s="19" t="s">
        <v>457</v>
      </c>
      <c r="K5" s="16" t="s">
        <v>458</v>
      </c>
      <c r="L5" s="19" t="b">
        <f aca="false">FALSE()</f>
        <v>0</v>
      </c>
      <c r="M5" s="16"/>
      <c r="N5" s="16"/>
      <c r="O5" s="16"/>
      <c r="P5" s="16"/>
      <c r="Q5" s="16"/>
      <c r="R5" s="16"/>
      <c r="S5" s="16"/>
      <c r="Y5" s="16"/>
    </row>
    <row r="6" customFormat="false" ht="13.25" hidden="false" customHeight="false" outlineLevel="0" collapsed="false">
      <c r="A6" s="16" t="n">
        <f aca="false">ROW(A6)-2</f>
        <v>4</v>
      </c>
      <c r="B6" s="19" t="s">
        <v>54</v>
      </c>
      <c r="C6" s="19" t="s">
        <v>439</v>
      </c>
      <c r="D6" s="19" t="s">
        <v>459</v>
      </c>
      <c r="E6" s="19" t="s">
        <v>460</v>
      </c>
      <c r="F6" s="16" t="n">
        <v>32</v>
      </c>
      <c r="G6" s="16" t="n">
        <v>475</v>
      </c>
      <c r="H6" s="19" t="s">
        <v>442</v>
      </c>
      <c r="I6" s="16" t="n">
        <v>20</v>
      </c>
      <c r="J6" s="19" t="s">
        <v>461</v>
      </c>
      <c r="K6" s="16" t="s">
        <v>462</v>
      </c>
      <c r="L6" s="19" t="b">
        <f aca="false">FALSE()</f>
        <v>0</v>
      </c>
      <c r="M6" s="16"/>
      <c r="N6" s="16"/>
      <c r="O6" s="16"/>
      <c r="P6" s="16"/>
      <c r="Q6" s="16"/>
      <c r="R6" s="16"/>
      <c r="S6" s="16"/>
      <c r="Y6" s="16"/>
    </row>
    <row r="7" customFormat="false" ht="13.25" hidden="false" customHeight="false" outlineLevel="0" collapsed="false">
      <c r="A7" s="16" t="n">
        <f aca="false">ROW(A7)-2</f>
        <v>5</v>
      </c>
      <c r="B7" s="19" t="s">
        <v>54</v>
      </c>
      <c r="C7" s="19" t="s">
        <v>439</v>
      </c>
      <c r="D7" s="19" t="s">
        <v>463</v>
      </c>
      <c r="E7" s="19" t="s">
        <v>464</v>
      </c>
      <c r="F7" s="16" t="n">
        <v>32</v>
      </c>
      <c r="G7" s="16" t="n">
        <v>475</v>
      </c>
      <c r="H7" s="19" t="s">
        <v>465</v>
      </c>
      <c r="I7" s="16" t="n">
        <v>40</v>
      </c>
      <c r="J7" s="19" t="s">
        <v>466</v>
      </c>
      <c r="K7" s="16" t="s">
        <v>467</v>
      </c>
      <c r="L7" s="19" t="b">
        <f aca="false">TRUE()</f>
        <v>1</v>
      </c>
      <c r="M7" s="19" t="s">
        <v>453</v>
      </c>
      <c r="N7" s="19" t="s">
        <v>468</v>
      </c>
      <c r="O7" s="16"/>
      <c r="P7" s="16"/>
      <c r="Q7" s="16"/>
      <c r="R7" s="16"/>
      <c r="S7" s="19" t="s">
        <v>437</v>
      </c>
      <c r="T7" s="19" t="s">
        <v>469</v>
      </c>
      <c r="U7" s="19" t="n">
        <v>10</v>
      </c>
      <c r="V7" s="19" t="n">
        <v>12</v>
      </c>
      <c r="W7" s="19" t="n">
        <v>13</v>
      </c>
      <c r="X7" s="19" t="n">
        <v>15</v>
      </c>
      <c r="Y7" s="16" t="n">
        <v>16</v>
      </c>
      <c r="Z7" s="19" t="s">
        <v>470</v>
      </c>
      <c r="AA7" s="19" t="s">
        <v>468</v>
      </c>
      <c r="AB7" s="16"/>
      <c r="AC7" s="16"/>
      <c r="AD7" s="16"/>
      <c r="AE7" s="16"/>
      <c r="AF7" s="19" t="s">
        <v>437</v>
      </c>
      <c r="AG7" s="19" t="s">
        <v>471</v>
      </c>
      <c r="AH7" s="19" t="n">
        <v>10</v>
      </c>
      <c r="AI7" s="19" t="n">
        <v>12</v>
      </c>
      <c r="AJ7" s="19" t="n">
        <v>13</v>
      </c>
      <c r="AK7" s="19" t="n">
        <v>15</v>
      </c>
      <c r="AL7" s="16" t="n">
        <v>16</v>
      </c>
    </row>
    <row r="8" customFormat="false" ht="13.25" hidden="false" customHeight="false" outlineLevel="0" collapsed="false">
      <c r="A8" s="16" t="n">
        <f aca="false">ROW(A8)-2</f>
        <v>6</v>
      </c>
      <c r="B8" s="19" t="s">
        <v>54</v>
      </c>
      <c r="C8" s="19" t="s">
        <v>439</v>
      </c>
      <c r="D8" s="19" t="s">
        <v>472</v>
      </c>
      <c r="E8" s="19" t="s">
        <v>473</v>
      </c>
      <c r="F8" s="16" t="n">
        <v>32</v>
      </c>
      <c r="G8" s="16" t="n">
        <v>475</v>
      </c>
      <c r="H8" s="19" t="s">
        <v>474</v>
      </c>
      <c r="I8" s="16" t="n">
        <v>20</v>
      </c>
      <c r="J8" s="19" t="s">
        <v>475</v>
      </c>
      <c r="K8" s="16" t="s">
        <v>476</v>
      </c>
      <c r="L8" s="19" t="b">
        <f aca="false">TRUE()</f>
        <v>1</v>
      </c>
      <c r="M8" s="19" t="s">
        <v>453</v>
      </c>
      <c r="N8" s="19" t="s">
        <v>468</v>
      </c>
      <c r="O8" s="16"/>
      <c r="P8" s="16"/>
      <c r="Q8" s="16"/>
      <c r="R8" s="16"/>
      <c r="S8" s="19" t="s">
        <v>437</v>
      </c>
      <c r="T8" s="19" t="s">
        <v>442</v>
      </c>
      <c r="U8" s="19" t="n">
        <v>8</v>
      </c>
      <c r="V8" s="19" t="n">
        <v>9</v>
      </c>
      <c r="W8" s="19" t="n">
        <v>10</v>
      </c>
      <c r="X8" s="19" t="n">
        <v>11</v>
      </c>
      <c r="Y8" s="16" t="n">
        <v>12</v>
      </c>
    </row>
    <row r="9" customFormat="false" ht="13.25" hidden="false" customHeight="false" outlineLevel="0" collapsed="false">
      <c r="A9" s="16" t="n">
        <f aca="false">ROW(A9)-2</f>
        <v>7</v>
      </c>
      <c r="B9" s="19" t="s">
        <v>47</v>
      </c>
      <c r="C9" s="19" t="s">
        <v>439</v>
      </c>
      <c r="D9" s="19" t="s">
        <v>477</v>
      </c>
      <c r="E9" s="19" t="s">
        <v>478</v>
      </c>
      <c r="F9" s="16" t="n">
        <v>32</v>
      </c>
      <c r="G9" s="16" t="n">
        <v>475</v>
      </c>
      <c r="H9" s="19" t="s">
        <v>442</v>
      </c>
      <c r="I9" s="16" t="n">
        <v>20</v>
      </c>
      <c r="J9" s="19" t="s">
        <v>479</v>
      </c>
      <c r="K9" s="16" t="s">
        <v>480</v>
      </c>
      <c r="L9" s="19" t="b">
        <f aca="false">FALSE()</f>
        <v>0</v>
      </c>
      <c r="M9" s="16"/>
      <c r="N9" s="16"/>
      <c r="O9" s="16"/>
      <c r="P9" s="16"/>
      <c r="Q9" s="16"/>
      <c r="R9" s="16"/>
      <c r="S9" s="16"/>
      <c r="Y9" s="16"/>
    </row>
    <row r="10" customFormat="false" ht="13.25" hidden="false" customHeight="false" outlineLevel="0" collapsed="false">
      <c r="A10" s="16" t="n">
        <f aca="false">ROW(A10)-2</f>
        <v>8</v>
      </c>
      <c r="B10" s="19" t="s">
        <v>47</v>
      </c>
      <c r="C10" s="19" t="s">
        <v>439</v>
      </c>
      <c r="D10" s="19" t="s">
        <v>481</v>
      </c>
      <c r="E10" s="19" t="s">
        <v>482</v>
      </c>
      <c r="F10" s="16" t="n">
        <v>32</v>
      </c>
      <c r="G10" s="16" t="n">
        <v>475</v>
      </c>
      <c r="H10" s="19" t="s">
        <v>432</v>
      </c>
      <c r="I10" s="16" t="n">
        <v>12</v>
      </c>
      <c r="J10" s="19" t="s">
        <v>483</v>
      </c>
      <c r="K10" s="16" t="s">
        <v>484</v>
      </c>
      <c r="L10" s="19" t="b">
        <f aca="false">FALSE()</f>
        <v>0</v>
      </c>
      <c r="M10" s="16"/>
      <c r="N10" s="16"/>
      <c r="O10" s="16"/>
      <c r="P10" s="16"/>
      <c r="Q10" s="16"/>
      <c r="R10" s="16"/>
      <c r="S10" s="16"/>
      <c r="Y10" s="16"/>
    </row>
    <row r="11" customFormat="false" ht="13.25" hidden="false" customHeight="false" outlineLevel="0" collapsed="false">
      <c r="A11" s="16" t="n">
        <f aca="false">ROW(A11)-2</f>
        <v>9</v>
      </c>
      <c r="B11" s="19" t="s">
        <v>47</v>
      </c>
      <c r="C11" s="19" t="s">
        <v>439</v>
      </c>
      <c r="D11" s="19" t="s">
        <v>485</v>
      </c>
      <c r="E11" s="19" t="s">
        <v>486</v>
      </c>
      <c r="F11" s="16" t="n">
        <v>32</v>
      </c>
      <c r="G11" s="16" t="n">
        <v>475</v>
      </c>
      <c r="H11" s="19" t="s">
        <v>465</v>
      </c>
      <c r="I11" s="16" t="n">
        <v>40</v>
      </c>
      <c r="J11" s="19" t="s">
        <v>487</v>
      </c>
      <c r="K11" s="16" t="s">
        <v>488</v>
      </c>
      <c r="L11" s="19" t="b">
        <f aca="false">FALSE()</f>
        <v>0</v>
      </c>
      <c r="M11" s="16"/>
      <c r="N11" s="16"/>
      <c r="O11" s="16"/>
      <c r="P11" s="16"/>
      <c r="Q11" s="16"/>
      <c r="R11" s="16"/>
      <c r="S11" s="16"/>
      <c r="Y11" s="16"/>
    </row>
    <row r="12" customFormat="false" ht="13.25" hidden="false" customHeight="false" outlineLevel="0" collapsed="false">
      <c r="A12" s="16" t="n">
        <f aca="false">ROW(A12)-2</f>
        <v>10</v>
      </c>
      <c r="B12" s="19" t="s">
        <v>38</v>
      </c>
      <c r="C12" s="19" t="s">
        <v>439</v>
      </c>
      <c r="D12" s="19" t="s">
        <v>489</v>
      </c>
      <c r="E12" s="19" t="s">
        <v>490</v>
      </c>
      <c r="F12" s="16" t="n">
        <v>32</v>
      </c>
      <c r="G12" s="16" t="n">
        <v>475</v>
      </c>
      <c r="H12" s="19" t="s">
        <v>442</v>
      </c>
      <c r="I12" s="16" t="n">
        <v>20</v>
      </c>
      <c r="J12" s="19" t="s">
        <v>491</v>
      </c>
      <c r="K12" s="16" t="s">
        <v>492</v>
      </c>
      <c r="L12" s="19" t="b">
        <f aca="false">TRUE()</f>
        <v>1</v>
      </c>
      <c r="M12" s="19" t="s">
        <v>453</v>
      </c>
      <c r="N12" s="19" t="s">
        <v>436</v>
      </c>
      <c r="O12" s="16"/>
      <c r="P12" s="16"/>
      <c r="Q12" s="16"/>
      <c r="R12" s="16"/>
      <c r="S12" s="19" t="s">
        <v>437</v>
      </c>
      <c r="T12" s="19" t="s">
        <v>469</v>
      </c>
      <c r="U12" s="19" t="n">
        <v>25</v>
      </c>
      <c r="V12" s="19" t="n">
        <v>28</v>
      </c>
      <c r="W12" s="19" t="n">
        <v>32</v>
      </c>
      <c r="X12" s="19" t="n">
        <v>36</v>
      </c>
      <c r="Y12" s="16" t="n">
        <v>40</v>
      </c>
    </row>
    <row r="13" customFormat="false" ht="13.25" hidden="false" customHeight="false" outlineLevel="0" collapsed="false">
      <c r="A13" s="16" t="n">
        <f aca="false">ROW(A13)-2</f>
        <v>11</v>
      </c>
      <c r="B13" s="19" t="s">
        <v>38</v>
      </c>
      <c r="C13" s="19" t="s">
        <v>439</v>
      </c>
      <c r="D13" s="19" t="s">
        <v>493</v>
      </c>
      <c r="E13" s="19" t="s">
        <v>494</v>
      </c>
      <c r="F13" s="16" t="n">
        <v>32</v>
      </c>
      <c r="G13" s="16" t="n">
        <v>475</v>
      </c>
      <c r="H13" s="19" t="s">
        <v>471</v>
      </c>
      <c r="I13" s="16" t="n">
        <v>68</v>
      </c>
      <c r="J13" s="19" t="s">
        <v>495</v>
      </c>
      <c r="K13" s="16" t="s">
        <v>496</v>
      </c>
      <c r="L13" s="19" t="b">
        <f aca="false">TRUE()</f>
        <v>1</v>
      </c>
      <c r="M13" s="19" t="s">
        <v>453</v>
      </c>
      <c r="N13" s="19" t="s">
        <v>436</v>
      </c>
      <c r="O13" s="16"/>
      <c r="P13" s="16"/>
      <c r="Q13" s="16"/>
      <c r="R13" s="16"/>
      <c r="S13" s="19" t="s">
        <v>437</v>
      </c>
      <c r="T13" s="19" t="s">
        <v>471</v>
      </c>
      <c r="U13" s="19" t="n">
        <v>25</v>
      </c>
      <c r="V13" s="19" t="n">
        <v>28</v>
      </c>
      <c r="W13" s="19" t="n">
        <v>32</v>
      </c>
      <c r="X13" s="19" t="n">
        <v>36</v>
      </c>
      <c r="Y13" s="16" t="n">
        <v>40</v>
      </c>
    </row>
    <row r="14" customFormat="false" ht="13.25" hidden="false" customHeight="false" outlineLevel="0" collapsed="false">
      <c r="A14" s="16" t="n">
        <f aca="false">ROW(A14)-2</f>
        <v>12</v>
      </c>
      <c r="B14" s="19" t="s">
        <v>38</v>
      </c>
      <c r="C14" s="19" t="s">
        <v>439</v>
      </c>
      <c r="D14" s="19" t="s">
        <v>497</v>
      </c>
      <c r="E14" s="19" t="s">
        <v>498</v>
      </c>
      <c r="F14" s="16" t="n">
        <v>32</v>
      </c>
      <c r="G14" s="16" t="n">
        <v>475</v>
      </c>
      <c r="H14" s="19" t="s">
        <v>71</v>
      </c>
      <c r="I14" s="16" t="n">
        <v>16</v>
      </c>
      <c r="J14" s="19" t="s">
        <v>499</v>
      </c>
      <c r="K14" s="16" t="s">
        <v>500</v>
      </c>
      <c r="L14" s="19" t="b">
        <f aca="false">FALSE()</f>
        <v>0</v>
      </c>
      <c r="M14" s="16"/>
      <c r="N14" s="16"/>
      <c r="O14" s="16"/>
      <c r="P14" s="16"/>
      <c r="Q14" s="16"/>
      <c r="R14" s="16"/>
      <c r="S14" s="16"/>
      <c r="Y14" s="16"/>
    </row>
    <row r="15" customFormat="false" ht="13.25" hidden="false" customHeight="false" outlineLevel="0" collapsed="false">
      <c r="A15" s="16" t="n">
        <f aca="false">ROW(A15)-2</f>
        <v>13</v>
      </c>
      <c r="B15" s="19" t="s">
        <v>63</v>
      </c>
      <c r="C15" s="19" t="s">
        <v>439</v>
      </c>
      <c r="D15" s="19" t="s">
        <v>501</v>
      </c>
      <c r="E15" s="19" t="s">
        <v>502</v>
      </c>
      <c r="F15" s="16" t="n">
        <v>32</v>
      </c>
      <c r="G15" s="16" t="n">
        <v>475</v>
      </c>
      <c r="H15" s="19" t="s">
        <v>503</v>
      </c>
      <c r="I15" s="16" t="n">
        <v>32</v>
      </c>
      <c r="J15" s="19" t="s">
        <v>504</v>
      </c>
      <c r="K15" s="16" t="s">
        <v>505</v>
      </c>
      <c r="L15" s="19" t="b">
        <f aca="false">FALSE()</f>
        <v>0</v>
      </c>
      <c r="M15" s="16"/>
      <c r="N15" s="16"/>
      <c r="O15" s="16"/>
      <c r="P15" s="16"/>
      <c r="Q15" s="16"/>
      <c r="R15" s="16"/>
      <c r="S15" s="16"/>
      <c r="Y15" s="16"/>
    </row>
    <row r="16" customFormat="false" ht="13.25" hidden="false" customHeight="false" outlineLevel="0" collapsed="false">
      <c r="A16" s="16" t="n">
        <f aca="false">ROW(A16)-2</f>
        <v>14</v>
      </c>
      <c r="B16" s="19" t="s">
        <v>63</v>
      </c>
      <c r="C16" s="19" t="s">
        <v>439</v>
      </c>
      <c r="D16" s="19" t="s">
        <v>506</v>
      </c>
      <c r="E16" s="19" t="s">
        <v>507</v>
      </c>
      <c r="F16" s="16" t="n">
        <v>32</v>
      </c>
      <c r="G16" s="16" t="n">
        <v>475</v>
      </c>
      <c r="H16" s="19" t="s">
        <v>503</v>
      </c>
      <c r="I16" s="16" t="n">
        <v>32</v>
      </c>
      <c r="J16" s="19" t="s">
        <v>508</v>
      </c>
      <c r="K16" s="16" t="s">
        <v>509</v>
      </c>
      <c r="L16" s="19" t="b">
        <f aca="false">FALSE()</f>
        <v>0</v>
      </c>
      <c r="M16" s="16"/>
      <c r="N16" s="16"/>
      <c r="O16" s="16"/>
      <c r="P16" s="16"/>
      <c r="Q16" s="16"/>
      <c r="R16" s="16"/>
      <c r="S16" s="16"/>
      <c r="Y16" s="16"/>
    </row>
    <row r="17" customFormat="false" ht="13.25" hidden="false" customHeight="false" outlineLevel="0" collapsed="false">
      <c r="A17" s="16" t="n">
        <f aca="false">ROW(A17)-2</f>
        <v>15</v>
      </c>
      <c r="B17" s="19" t="s">
        <v>51</v>
      </c>
      <c r="C17" s="19" t="s">
        <v>48</v>
      </c>
      <c r="D17" s="19" t="s">
        <v>510</v>
      </c>
      <c r="E17" s="19" t="s">
        <v>511</v>
      </c>
      <c r="F17" s="16" t="n">
        <v>40</v>
      </c>
      <c r="G17" s="16" t="n">
        <v>594</v>
      </c>
      <c r="H17" s="19" t="s">
        <v>442</v>
      </c>
      <c r="I17" s="16" t="n">
        <v>25</v>
      </c>
      <c r="J17" s="19" t="s">
        <v>512</v>
      </c>
      <c r="K17" s="16" t="s">
        <v>513</v>
      </c>
      <c r="L17" s="19" t="b">
        <f aca="false">TRUE()</f>
        <v>1</v>
      </c>
      <c r="M17" s="19" t="s">
        <v>420</v>
      </c>
      <c r="N17" s="19" t="s">
        <v>436</v>
      </c>
      <c r="O17" s="16" t="n">
        <v>3</v>
      </c>
      <c r="P17" s="16" t="s">
        <v>445</v>
      </c>
      <c r="Q17" s="16" t="s">
        <v>446</v>
      </c>
      <c r="R17" s="16" t="s">
        <v>514</v>
      </c>
      <c r="S17" s="19" t="s">
        <v>437</v>
      </c>
      <c r="T17" s="19" t="s">
        <v>448</v>
      </c>
      <c r="U17" s="19" t="n">
        <v>15</v>
      </c>
      <c r="V17" s="19" t="n">
        <v>17.2</v>
      </c>
      <c r="W17" s="19" t="n">
        <v>19.5</v>
      </c>
      <c r="X17" s="19" t="n">
        <v>21.7</v>
      </c>
      <c r="Y17" s="16" t="n">
        <v>24</v>
      </c>
    </row>
    <row r="18" customFormat="false" ht="13.25" hidden="false" customHeight="false" outlineLevel="0" collapsed="false">
      <c r="A18" s="16" t="n">
        <f aca="false">ROW(A18)-2</f>
        <v>16</v>
      </c>
      <c r="B18" s="19" t="s">
        <v>54</v>
      </c>
      <c r="C18" s="19" t="s">
        <v>48</v>
      </c>
      <c r="D18" s="19" t="s">
        <v>515</v>
      </c>
      <c r="E18" s="19" t="s">
        <v>516</v>
      </c>
      <c r="F18" s="16" t="n">
        <v>40</v>
      </c>
      <c r="G18" s="16" t="n">
        <v>594</v>
      </c>
      <c r="H18" s="19" t="s">
        <v>71</v>
      </c>
      <c r="I18" s="16" t="n">
        <v>20</v>
      </c>
      <c r="J18" s="19" t="s">
        <v>517</v>
      </c>
      <c r="K18" s="16" t="s">
        <v>518</v>
      </c>
      <c r="L18" s="19" t="b">
        <f aca="false">FALSE()</f>
        <v>0</v>
      </c>
      <c r="M18" s="16"/>
      <c r="N18" s="16"/>
      <c r="O18" s="16"/>
      <c r="P18" s="16"/>
      <c r="Q18" s="16"/>
      <c r="R18" s="16"/>
      <c r="S18" s="16"/>
      <c r="Y18" s="16"/>
    </row>
    <row r="19" customFormat="false" ht="13.25" hidden="false" customHeight="false" outlineLevel="0" collapsed="false">
      <c r="A19" s="16" t="n">
        <f aca="false">ROW(A19)-2</f>
        <v>17</v>
      </c>
      <c r="B19" s="19" t="s">
        <v>38</v>
      </c>
      <c r="C19" s="19" t="s">
        <v>48</v>
      </c>
      <c r="D19" s="19" t="s">
        <v>519</v>
      </c>
      <c r="E19" s="19" t="s">
        <v>520</v>
      </c>
      <c r="F19" s="16" t="n">
        <v>40</v>
      </c>
      <c r="G19" s="16" t="n">
        <v>594</v>
      </c>
      <c r="H19" s="19" t="s">
        <v>471</v>
      </c>
      <c r="I19" s="16" t="n">
        <v>75</v>
      </c>
      <c r="J19" s="19" t="s">
        <v>521</v>
      </c>
      <c r="K19" s="16" t="s">
        <v>522</v>
      </c>
      <c r="L19" s="19" t="b">
        <f aca="false">TRUE()</f>
        <v>1</v>
      </c>
      <c r="M19" s="19" t="s">
        <v>420</v>
      </c>
      <c r="N19" s="19" t="s">
        <v>436</v>
      </c>
      <c r="O19" s="16" t="n">
        <v>10</v>
      </c>
      <c r="P19" s="16"/>
      <c r="Q19" s="16"/>
      <c r="R19" s="16"/>
      <c r="S19" s="19" t="s">
        <v>437</v>
      </c>
      <c r="T19" s="19" t="s">
        <v>442</v>
      </c>
      <c r="U19" s="19" t="n">
        <v>2.5</v>
      </c>
      <c r="V19" s="19" t="n">
        <v>2.8</v>
      </c>
      <c r="W19" s="19" t="n">
        <v>3.2</v>
      </c>
      <c r="X19" s="19" t="n">
        <v>3.6</v>
      </c>
      <c r="Y19" s="16" t="n">
        <v>4</v>
      </c>
    </row>
    <row r="20" customFormat="false" ht="13.25" hidden="false" customHeight="false" outlineLevel="0" collapsed="false">
      <c r="A20" s="16" t="n">
        <f aca="false">ROW(A20)-2</f>
        <v>18</v>
      </c>
      <c r="B20" s="19" t="s">
        <v>51</v>
      </c>
      <c r="C20" s="19" t="s">
        <v>48</v>
      </c>
      <c r="D20" s="19" t="s">
        <v>523</v>
      </c>
      <c r="E20" s="19" t="s">
        <v>524</v>
      </c>
      <c r="F20" s="16" t="n">
        <v>40</v>
      </c>
      <c r="G20" s="16" t="n">
        <v>594</v>
      </c>
      <c r="H20" s="19" t="s">
        <v>442</v>
      </c>
      <c r="I20" s="16" t="n">
        <v>25</v>
      </c>
      <c r="J20" s="19" t="s">
        <v>525</v>
      </c>
      <c r="K20" s="16" t="s">
        <v>526</v>
      </c>
      <c r="L20" s="19" t="b">
        <f aca="false">TRUE()</f>
        <v>1</v>
      </c>
      <c r="M20" s="19" t="s">
        <v>453</v>
      </c>
      <c r="N20" s="19" t="s">
        <v>436</v>
      </c>
      <c r="O20" s="16"/>
      <c r="P20" s="16"/>
      <c r="Q20" s="16"/>
      <c r="R20" s="16"/>
      <c r="S20" s="19" t="s">
        <v>437</v>
      </c>
      <c r="T20" s="19" t="s">
        <v>442</v>
      </c>
      <c r="U20" s="19" t="n">
        <v>12</v>
      </c>
      <c r="V20" s="19" t="n">
        <v>13.8</v>
      </c>
      <c r="W20" s="19" t="n">
        <v>15.6</v>
      </c>
      <c r="X20" s="19" t="n">
        <v>17.4</v>
      </c>
      <c r="Y20" s="16" t="n">
        <v>19.2</v>
      </c>
    </row>
    <row r="21" customFormat="false" ht="13.25" hidden="false" customHeight="false" outlineLevel="0" collapsed="false">
      <c r="A21" s="16" t="n">
        <f aca="false">ROW(A21)-2</f>
        <v>19</v>
      </c>
      <c r="B21" s="19" t="s">
        <v>47</v>
      </c>
      <c r="C21" s="19" t="s">
        <v>48</v>
      </c>
      <c r="D21" s="19" t="s">
        <v>527</v>
      </c>
      <c r="E21" s="19" t="s">
        <v>528</v>
      </c>
      <c r="F21" s="16" t="n">
        <v>40</v>
      </c>
      <c r="G21" s="16" t="n">
        <v>594</v>
      </c>
      <c r="H21" s="19" t="s">
        <v>465</v>
      </c>
      <c r="I21" s="16" t="n">
        <v>50</v>
      </c>
      <c r="J21" s="19" t="s">
        <v>529</v>
      </c>
      <c r="K21" s="16" t="s">
        <v>530</v>
      </c>
      <c r="L21" s="19" t="b">
        <f aca="false">FALSE()</f>
        <v>0</v>
      </c>
      <c r="M21" s="16"/>
      <c r="N21" s="16"/>
      <c r="O21" s="16"/>
      <c r="P21" s="16"/>
      <c r="Q21" s="16"/>
      <c r="R21" s="16"/>
      <c r="S21" s="16"/>
      <c r="Y21" s="16"/>
    </row>
    <row r="22" customFormat="false" ht="13.25" hidden="false" customHeight="false" outlineLevel="0" collapsed="false">
      <c r="A22" s="16" t="n">
        <f aca="false">ROW(A22)-2</f>
        <v>20</v>
      </c>
      <c r="B22" s="19" t="s">
        <v>47</v>
      </c>
      <c r="C22" s="19" t="s">
        <v>48</v>
      </c>
      <c r="D22" s="19" t="s">
        <v>531</v>
      </c>
      <c r="E22" s="19" t="s">
        <v>532</v>
      </c>
      <c r="F22" s="16" t="n">
        <v>40</v>
      </c>
      <c r="G22" s="16" t="n">
        <v>594</v>
      </c>
      <c r="H22" s="19" t="s">
        <v>432</v>
      </c>
      <c r="I22" s="16" t="n">
        <v>15</v>
      </c>
      <c r="J22" s="19" t="s">
        <v>533</v>
      </c>
      <c r="K22" s="16" t="s">
        <v>534</v>
      </c>
      <c r="L22" s="19" t="b">
        <f aca="false">FALSE()</f>
        <v>0</v>
      </c>
      <c r="M22" s="16"/>
      <c r="N22" s="16"/>
      <c r="O22" s="16"/>
      <c r="P22" s="16"/>
      <c r="Q22" s="16"/>
      <c r="R22" s="16"/>
      <c r="S22" s="16"/>
      <c r="Y22" s="16"/>
    </row>
    <row r="23" customFormat="false" ht="13.25" hidden="false" customHeight="false" outlineLevel="0" collapsed="false">
      <c r="A23" s="16" t="n">
        <f aca="false">ROW(A23)-2</f>
        <v>21</v>
      </c>
      <c r="B23" s="19" t="s">
        <v>63</v>
      </c>
      <c r="C23" s="19" t="s">
        <v>48</v>
      </c>
      <c r="D23" s="19" t="s">
        <v>535</v>
      </c>
      <c r="E23" s="19" t="s">
        <v>536</v>
      </c>
      <c r="F23" s="16" t="n">
        <v>40</v>
      </c>
      <c r="G23" s="16" t="n">
        <v>594</v>
      </c>
      <c r="H23" s="19" t="s">
        <v>474</v>
      </c>
      <c r="I23" s="16" t="n">
        <v>25</v>
      </c>
      <c r="J23" s="19" t="s">
        <v>537</v>
      </c>
      <c r="K23" s="2" t="s">
        <v>538</v>
      </c>
      <c r="L23" s="19" t="b">
        <f aca="false">FALSE()</f>
        <v>0</v>
      </c>
      <c r="M23" s="16"/>
      <c r="N23" s="16"/>
      <c r="O23" s="16"/>
      <c r="P23" s="16"/>
      <c r="Q23" s="16"/>
      <c r="R23" s="16"/>
      <c r="S23" s="16"/>
      <c r="T23" s="19" t="s">
        <v>474</v>
      </c>
      <c r="U23" s="19" t="n">
        <v>8</v>
      </c>
      <c r="V23" s="19" t="n">
        <v>9</v>
      </c>
      <c r="W23" s="19" t="n">
        <v>10</v>
      </c>
      <c r="X23" s="19" t="n">
        <v>11</v>
      </c>
      <c r="Y23" s="16" t="n">
        <v>12.5</v>
      </c>
    </row>
    <row r="24" customFormat="false" ht="13.25" hidden="false" customHeight="false" outlineLevel="0" collapsed="false">
      <c r="A24" s="16" t="n">
        <f aca="false">ROW(A24)-2</f>
        <v>22</v>
      </c>
      <c r="B24" s="19" t="s">
        <v>38</v>
      </c>
      <c r="C24" s="19" t="s">
        <v>48</v>
      </c>
      <c r="D24" s="19" t="s">
        <v>539</v>
      </c>
      <c r="E24" s="19" t="s">
        <v>540</v>
      </c>
      <c r="F24" s="16" t="n">
        <v>40</v>
      </c>
      <c r="G24" s="16" t="n">
        <v>594</v>
      </c>
      <c r="H24" s="19" t="s">
        <v>442</v>
      </c>
      <c r="I24" s="16" t="n">
        <v>25</v>
      </c>
      <c r="J24" s="19" t="s">
        <v>541</v>
      </c>
      <c r="K24" s="16" t="s">
        <v>542</v>
      </c>
      <c r="L24" s="19" t="b">
        <f aca="false">TRUE()</f>
        <v>1</v>
      </c>
      <c r="M24" s="19" t="s">
        <v>420</v>
      </c>
      <c r="N24" s="19" t="s">
        <v>436</v>
      </c>
      <c r="O24" s="16" t="n">
        <v>4</v>
      </c>
      <c r="P24" s="16"/>
      <c r="Q24" s="16"/>
      <c r="R24" s="16"/>
      <c r="S24" s="19" t="s">
        <v>437</v>
      </c>
      <c r="T24" s="19" t="s">
        <v>471</v>
      </c>
      <c r="U24" s="19" t="n">
        <v>30</v>
      </c>
      <c r="V24" s="19" t="n">
        <v>34</v>
      </c>
      <c r="W24" s="19" t="n">
        <v>38</v>
      </c>
      <c r="X24" s="19" t="n">
        <v>42</v>
      </c>
      <c r="Y24" s="16" t="n">
        <v>48</v>
      </c>
    </row>
    <row r="25" customFormat="false" ht="13.25" hidden="false" customHeight="false" outlineLevel="0" collapsed="false">
      <c r="A25" s="16" t="n">
        <f aca="false">ROW(A25)-2</f>
        <v>23</v>
      </c>
      <c r="B25" s="19" t="s">
        <v>38</v>
      </c>
      <c r="C25" s="19" t="s">
        <v>48</v>
      </c>
      <c r="D25" s="19" t="s">
        <v>543</v>
      </c>
      <c r="E25" s="19" t="s">
        <v>544</v>
      </c>
      <c r="F25" s="16" t="n">
        <v>40</v>
      </c>
      <c r="G25" s="16" t="n">
        <v>594</v>
      </c>
      <c r="H25" s="19" t="s">
        <v>471</v>
      </c>
      <c r="I25" s="16" t="n">
        <v>75</v>
      </c>
      <c r="J25" s="19" t="s">
        <v>545</v>
      </c>
      <c r="K25" s="16" t="s">
        <v>546</v>
      </c>
      <c r="L25" s="19" t="b">
        <f aca="false">TRUE()</f>
        <v>1</v>
      </c>
      <c r="M25" s="19" t="s">
        <v>453</v>
      </c>
      <c r="N25" s="19" t="s">
        <v>436</v>
      </c>
      <c r="O25" s="16"/>
      <c r="P25" s="16"/>
      <c r="Q25" s="16"/>
      <c r="R25" s="16"/>
      <c r="S25" s="19" t="s">
        <v>437</v>
      </c>
      <c r="T25" s="19" t="s">
        <v>442</v>
      </c>
      <c r="U25" s="19" t="n">
        <v>10</v>
      </c>
      <c r="V25" s="19" t="n">
        <v>11.5</v>
      </c>
      <c r="W25" s="19" t="n">
        <v>13</v>
      </c>
      <c r="X25" s="19" t="n">
        <v>14.5</v>
      </c>
      <c r="Y25" s="16" t="n">
        <v>16</v>
      </c>
      <c r="Z25" s="19" t="s">
        <v>470</v>
      </c>
      <c r="AA25" s="19" t="s">
        <v>436</v>
      </c>
      <c r="AB25" s="16"/>
      <c r="AC25" s="16"/>
      <c r="AD25" s="16"/>
      <c r="AE25" s="16"/>
      <c r="AF25" s="19" t="s">
        <v>437</v>
      </c>
      <c r="AG25" s="19" t="s">
        <v>448</v>
      </c>
      <c r="AH25" s="19" t="n">
        <v>15</v>
      </c>
      <c r="AI25" s="19" t="n">
        <v>17.5</v>
      </c>
      <c r="AJ25" s="19" t="n">
        <v>20</v>
      </c>
      <c r="AK25" s="19" t="n">
        <v>22.5</v>
      </c>
      <c r="AL25" s="16" t="n">
        <v>25</v>
      </c>
    </row>
    <row r="26" customFormat="false" ht="13.25" hidden="false" customHeight="false" outlineLevel="0" collapsed="false">
      <c r="A26" s="16" t="n">
        <f aca="false">ROW(A26)-2</f>
        <v>24</v>
      </c>
      <c r="B26" s="19" t="s">
        <v>63</v>
      </c>
      <c r="C26" s="19" t="s">
        <v>48</v>
      </c>
      <c r="D26" s="19" t="s">
        <v>547</v>
      </c>
      <c r="E26" s="19" t="s">
        <v>548</v>
      </c>
      <c r="F26" s="16" t="n">
        <v>40</v>
      </c>
      <c r="G26" s="16" t="n">
        <v>594</v>
      </c>
      <c r="H26" s="19" t="s">
        <v>503</v>
      </c>
      <c r="I26" s="16" t="n">
        <v>40</v>
      </c>
      <c r="J26" s="19" t="s">
        <v>549</v>
      </c>
      <c r="K26" s="2" t="s">
        <v>550</v>
      </c>
      <c r="L26" s="19" t="b">
        <f aca="false">TRUE()</f>
        <v>1</v>
      </c>
      <c r="M26" s="19" t="s">
        <v>453</v>
      </c>
      <c r="N26" s="19" t="s">
        <v>436</v>
      </c>
      <c r="O26" s="16"/>
      <c r="P26" s="16"/>
      <c r="Q26" s="16"/>
      <c r="R26" s="16"/>
      <c r="S26" s="19" t="s">
        <v>437</v>
      </c>
      <c r="T26" s="19" t="s">
        <v>442</v>
      </c>
      <c r="U26" s="19" t="n">
        <v>10</v>
      </c>
      <c r="V26" s="19" t="n">
        <v>11.5</v>
      </c>
      <c r="W26" s="19" t="n">
        <v>13</v>
      </c>
      <c r="X26" s="19" t="n">
        <v>14.5</v>
      </c>
      <c r="Y26" s="16" t="n">
        <v>16</v>
      </c>
    </row>
    <row r="27" customFormat="false" ht="13.25" hidden="false" customHeight="false" outlineLevel="0" collapsed="false">
      <c r="A27" s="16" t="n">
        <f aca="false">ROW(A27)-2</f>
        <v>25</v>
      </c>
      <c r="B27" s="19" t="s">
        <v>63</v>
      </c>
      <c r="C27" s="19" t="s">
        <v>48</v>
      </c>
      <c r="D27" s="19" t="s">
        <v>551</v>
      </c>
      <c r="E27" s="19" t="s">
        <v>552</v>
      </c>
      <c r="F27" s="16" t="n">
        <v>40</v>
      </c>
      <c r="G27" s="16" t="n">
        <v>594</v>
      </c>
      <c r="H27" s="19" t="s">
        <v>442</v>
      </c>
      <c r="I27" s="16" t="n">
        <v>25</v>
      </c>
      <c r="J27" s="19" t="s">
        <v>553</v>
      </c>
      <c r="K27" s="16" t="s">
        <v>554</v>
      </c>
      <c r="L27" s="19" t="b">
        <f aca="false">FALSE()</f>
        <v>0</v>
      </c>
      <c r="M27" s="16"/>
      <c r="N27" s="16"/>
      <c r="O27" s="16"/>
      <c r="P27" s="16"/>
      <c r="Q27" s="16"/>
      <c r="R27" s="16"/>
      <c r="S27" s="16"/>
      <c r="Y27" s="16"/>
    </row>
    <row r="28" customFormat="false" ht="13.25" hidden="false" customHeight="false" outlineLevel="0" collapsed="false">
      <c r="A28" s="16" t="n">
        <f aca="false">ROW(A28)-2</f>
        <v>26</v>
      </c>
      <c r="B28" s="19" t="s">
        <v>54</v>
      </c>
      <c r="C28" s="19" t="s">
        <v>48</v>
      </c>
      <c r="D28" s="19" t="s">
        <v>555</v>
      </c>
      <c r="E28" s="19" t="s">
        <v>556</v>
      </c>
      <c r="F28" s="16" t="n">
        <v>42</v>
      </c>
      <c r="G28" s="16" t="n">
        <v>624</v>
      </c>
      <c r="H28" s="19" t="s">
        <v>465</v>
      </c>
      <c r="I28" s="16" t="n">
        <v>50</v>
      </c>
      <c r="J28" s="19" t="s">
        <v>557</v>
      </c>
      <c r="K28" s="16" t="s">
        <v>558</v>
      </c>
      <c r="L28" s="19" t="b">
        <f aca="false">TRUE()</f>
        <v>1</v>
      </c>
      <c r="M28" s="19" t="s">
        <v>453</v>
      </c>
      <c r="N28" s="19" t="s">
        <v>468</v>
      </c>
      <c r="O28" s="16"/>
      <c r="P28" s="16"/>
      <c r="Q28" s="16"/>
      <c r="R28" s="16"/>
      <c r="S28" s="19" t="s">
        <v>437</v>
      </c>
      <c r="T28" s="19" t="s">
        <v>448</v>
      </c>
      <c r="U28" s="19" t="n">
        <v>15</v>
      </c>
      <c r="V28" s="19" t="n">
        <v>17.5</v>
      </c>
      <c r="W28" s="19" t="n">
        <v>20</v>
      </c>
      <c r="X28" s="19" t="n">
        <v>22</v>
      </c>
      <c r="Y28" s="16" t="n">
        <v>24</v>
      </c>
    </row>
    <row r="29" customFormat="false" ht="13.25" hidden="false" customHeight="false" outlineLevel="0" collapsed="false">
      <c r="A29" s="16" t="n">
        <f aca="false">ROW(A29)-2</f>
        <v>27</v>
      </c>
      <c r="B29" s="19" t="s">
        <v>51</v>
      </c>
      <c r="C29" s="19" t="s">
        <v>48</v>
      </c>
      <c r="D29" s="19" t="s">
        <v>559</v>
      </c>
      <c r="E29" s="19" t="s">
        <v>560</v>
      </c>
      <c r="F29" s="16" t="n">
        <v>42</v>
      </c>
      <c r="G29" s="16" t="n">
        <v>624</v>
      </c>
      <c r="H29" s="19" t="s">
        <v>442</v>
      </c>
      <c r="I29" s="16" t="n">
        <v>25</v>
      </c>
      <c r="J29" s="19" t="s">
        <v>561</v>
      </c>
      <c r="K29" s="16" t="s">
        <v>562</v>
      </c>
      <c r="L29" s="19" t="b">
        <f aca="false">TRUE()</f>
        <v>1</v>
      </c>
      <c r="M29" s="19" t="s">
        <v>435</v>
      </c>
      <c r="N29" s="19" t="s">
        <v>436</v>
      </c>
      <c r="O29" s="16" t="n">
        <v>15</v>
      </c>
      <c r="P29" s="19" t="s">
        <v>445</v>
      </c>
      <c r="Q29" s="19" t="s">
        <v>446</v>
      </c>
      <c r="R29" s="19" t="s">
        <v>563</v>
      </c>
      <c r="S29" s="19" t="s">
        <v>437</v>
      </c>
      <c r="T29" s="19" t="s">
        <v>564</v>
      </c>
      <c r="U29" s="19" t="n">
        <v>3</v>
      </c>
      <c r="V29" s="19" t="n">
        <v>3.5</v>
      </c>
      <c r="W29" s="19" t="n">
        <v>4</v>
      </c>
      <c r="X29" s="19" t="n">
        <v>4.4</v>
      </c>
      <c r="Y29" s="16" t="n">
        <v>4.8</v>
      </c>
    </row>
    <row r="30" customFormat="false" ht="13.25" hidden="false" customHeight="false" outlineLevel="0" collapsed="false">
      <c r="A30" s="16" t="n">
        <f aca="false">ROW(A30)-2</f>
        <v>28</v>
      </c>
      <c r="B30" s="19" t="s">
        <v>51</v>
      </c>
      <c r="C30" s="19" t="s">
        <v>48</v>
      </c>
      <c r="D30" s="19" t="s">
        <v>565</v>
      </c>
      <c r="E30" s="19" t="s">
        <v>566</v>
      </c>
      <c r="F30" s="16" t="n">
        <v>42</v>
      </c>
      <c r="G30" s="16" t="n">
        <v>624</v>
      </c>
      <c r="H30" s="19" t="s">
        <v>442</v>
      </c>
      <c r="I30" s="16" t="n">
        <v>25</v>
      </c>
      <c r="J30" s="19" t="s">
        <v>567</v>
      </c>
      <c r="K30" s="16" t="s">
        <v>568</v>
      </c>
      <c r="L30" s="19" t="b">
        <f aca="false">TRUE()</f>
        <v>1</v>
      </c>
      <c r="M30" s="19" t="s">
        <v>453</v>
      </c>
      <c r="N30" s="19" t="s">
        <v>436</v>
      </c>
      <c r="O30" s="16"/>
      <c r="P30" s="16"/>
      <c r="Q30" s="16"/>
      <c r="R30" s="16"/>
      <c r="S30" s="19" t="s">
        <v>437</v>
      </c>
      <c r="T30" s="19" t="s">
        <v>564</v>
      </c>
      <c r="U30" s="19" t="n">
        <v>36</v>
      </c>
      <c r="V30" s="19" t="n">
        <v>41</v>
      </c>
      <c r="W30" s="19" t="n">
        <v>46.5</v>
      </c>
      <c r="X30" s="19" t="n">
        <v>52</v>
      </c>
      <c r="Y30" s="16" t="n">
        <v>57.5</v>
      </c>
    </row>
    <row r="31" customFormat="false" ht="13.25" hidden="false" customHeight="false" outlineLevel="0" collapsed="false">
      <c r="A31" s="16" t="n">
        <f aca="false">ROW(A31)-2</f>
        <v>29</v>
      </c>
      <c r="B31" s="19" t="s">
        <v>51</v>
      </c>
      <c r="C31" s="19" t="s">
        <v>48</v>
      </c>
      <c r="D31" s="19" t="s">
        <v>569</v>
      </c>
      <c r="E31" s="19" t="s">
        <v>570</v>
      </c>
      <c r="F31" s="16" t="n">
        <v>42</v>
      </c>
      <c r="G31" s="16" t="n">
        <v>624</v>
      </c>
      <c r="H31" s="19" t="s">
        <v>465</v>
      </c>
      <c r="I31" s="16" t="n">
        <v>50</v>
      </c>
      <c r="J31" s="19" t="s">
        <v>571</v>
      </c>
      <c r="K31" s="16" t="s">
        <v>572</v>
      </c>
      <c r="L31" s="19" t="b">
        <f aca="false">TRUE()</f>
        <v>1</v>
      </c>
      <c r="M31" s="19" t="s">
        <v>453</v>
      </c>
      <c r="N31" s="19" t="s">
        <v>436</v>
      </c>
      <c r="O31" s="16"/>
      <c r="P31" s="19" t="s">
        <v>445</v>
      </c>
      <c r="Q31" s="19" t="s">
        <v>446</v>
      </c>
      <c r="R31" s="19" t="s">
        <v>573</v>
      </c>
      <c r="S31" s="19" t="s">
        <v>437</v>
      </c>
      <c r="T31" s="19" t="s">
        <v>438</v>
      </c>
      <c r="U31" s="19" t="n">
        <v>50</v>
      </c>
      <c r="V31" s="19" t="n">
        <v>57.5</v>
      </c>
      <c r="W31" s="19" t="n">
        <v>65</v>
      </c>
      <c r="X31" s="19" t="n">
        <v>72.5</v>
      </c>
      <c r="Y31" s="16" t="n">
        <v>80</v>
      </c>
    </row>
    <row r="32" customFormat="false" ht="13.25" hidden="false" customHeight="false" outlineLevel="0" collapsed="false">
      <c r="A32" s="16" t="n">
        <f aca="false">ROW(A32)-2</f>
        <v>30</v>
      </c>
      <c r="B32" s="19" t="s">
        <v>63</v>
      </c>
      <c r="C32" s="19" t="s">
        <v>48</v>
      </c>
      <c r="D32" s="19" t="s">
        <v>574</v>
      </c>
      <c r="E32" s="19" t="s">
        <v>575</v>
      </c>
      <c r="F32" s="16" t="n">
        <v>42</v>
      </c>
      <c r="G32" s="16" t="n">
        <v>624</v>
      </c>
      <c r="H32" s="19" t="s">
        <v>503</v>
      </c>
      <c r="I32" s="16" t="n">
        <v>40</v>
      </c>
      <c r="J32" s="19" t="s">
        <v>576</v>
      </c>
      <c r="K32" s="16" t="s">
        <v>577</v>
      </c>
      <c r="L32" s="19" t="b">
        <f aca="false">FALSE()</f>
        <v>0</v>
      </c>
      <c r="M32" s="16"/>
      <c r="N32" s="16"/>
      <c r="O32" s="16"/>
      <c r="P32" s="16"/>
      <c r="Q32" s="16"/>
      <c r="R32" s="16"/>
      <c r="S32" s="16"/>
      <c r="Y32" s="16"/>
    </row>
    <row r="33" customFormat="false" ht="13.25" hidden="false" customHeight="false" outlineLevel="0" collapsed="false">
      <c r="A33" s="16" t="n">
        <f aca="false">ROW(A33)-2</f>
        <v>31</v>
      </c>
      <c r="B33" s="19" t="s">
        <v>54</v>
      </c>
      <c r="C33" s="19" t="s">
        <v>48</v>
      </c>
      <c r="D33" s="19" t="s">
        <v>578</v>
      </c>
      <c r="E33" s="19" t="s">
        <v>579</v>
      </c>
      <c r="F33" s="16" t="n">
        <v>42</v>
      </c>
      <c r="G33" s="16" t="n">
        <v>624</v>
      </c>
      <c r="H33" s="19" t="s">
        <v>442</v>
      </c>
      <c r="I33" s="16" t="n">
        <v>25</v>
      </c>
      <c r="J33" s="19" t="s">
        <v>580</v>
      </c>
      <c r="K33" s="16" t="s">
        <v>581</v>
      </c>
      <c r="L33" s="19" t="b">
        <f aca="false">TRUE()</f>
        <v>1</v>
      </c>
      <c r="M33" s="19" t="s">
        <v>435</v>
      </c>
      <c r="N33" s="19" t="s">
        <v>436</v>
      </c>
      <c r="O33" s="16"/>
      <c r="P33" s="16"/>
      <c r="Q33" s="16"/>
      <c r="R33" s="16"/>
      <c r="S33" s="19" t="s">
        <v>437</v>
      </c>
      <c r="T33" s="19" t="s">
        <v>582</v>
      </c>
      <c r="U33" s="19" t="n">
        <v>15</v>
      </c>
      <c r="V33" s="19" t="n">
        <v>17.5</v>
      </c>
      <c r="W33" s="19" t="n">
        <v>20</v>
      </c>
      <c r="X33" s="19" t="n">
        <v>22</v>
      </c>
      <c r="Y33" s="16" t="n">
        <v>24</v>
      </c>
      <c r="Z33" s="19" t="s">
        <v>420</v>
      </c>
      <c r="AA33" s="19" t="s">
        <v>468</v>
      </c>
      <c r="AB33" s="16" t="n">
        <v>4</v>
      </c>
      <c r="AC33" s="16"/>
      <c r="AD33" s="16"/>
      <c r="AE33" s="16"/>
      <c r="AF33" s="19" t="s">
        <v>437</v>
      </c>
      <c r="AG33" s="19" t="s">
        <v>442</v>
      </c>
      <c r="AH33" s="19" t="n">
        <v>2</v>
      </c>
      <c r="AI33" s="19" t="n">
        <v>2.3</v>
      </c>
      <c r="AJ33" s="19" t="n">
        <v>2.6</v>
      </c>
      <c r="AK33" s="19" t="n">
        <v>2.9</v>
      </c>
      <c r="AL33" s="16" t="n">
        <v>3.2</v>
      </c>
    </row>
    <row r="34" customFormat="false" ht="13.25" hidden="false" customHeight="false" outlineLevel="0" collapsed="false">
      <c r="A34" s="16" t="n">
        <f aca="false">ROW(A34)-2</f>
        <v>32</v>
      </c>
      <c r="B34" s="19" t="s">
        <v>51</v>
      </c>
      <c r="C34" s="19" t="s">
        <v>48</v>
      </c>
      <c r="D34" s="19" t="s">
        <v>583</v>
      </c>
      <c r="E34" s="19" t="s">
        <v>584</v>
      </c>
      <c r="F34" s="16" t="n">
        <v>40</v>
      </c>
      <c r="G34" s="16" t="n">
        <v>594</v>
      </c>
      <c r="H34" s="19" t="s">
        <v>456</v>
      </c>
      <c r="I34" s="16" t="n">
        <v>20</v>
      </c>
      <c r="J34" s="19" t="s">
        <v>585</v>
      </c>
      <c r="K34" s="16" t="s">
        <v>586</v>
      </c>
      <c r="L34" s="19" t="b">
        <f aca="false">TRUE()</f>
        <v>1</v>
      </c>
      <c r="M34" s="19" t="s">
        <v>435</v>
      </c>
      <c r="N34" s="19" t="s">
        <v>436</v>
      </c>
      <c r="O34" s="16"/>
      <c r="P34" s="16"/>
      <c r="Q34" s="16"/>
      <c r="R34" s="16"/>
      <c r="S34" s="19" t="s">
        <v>437</v>
      </c>
      <c r="T34" s="19" t="s">
        <v>442</v>
      </c>
      <c r="U34" s="19" t="n">
        <v>7.5</v>
      </c>
      <c r="V34" s="19" t="n">
        <v>8.6</v>
      </c>
      <c r="W34" s="19" t="n">
        <v>9.7</v>
      </c>
      <c r="X34" s="19" t="n">
        <v>10.8</v>
      </c>
      <c r="Y34" s="16" t="n">
        <v>12</v>
      </c>
    </row>
    <row r="35" customFormat="false" ht="13.25" hidden="false" customHeight="false" outlineLevel="0" collapsed="false">
      <c r="A35" s="16" t="n">
        <f aca="false">ROW(A35)-2</f>
        <v>33</v>
      </c>
      <c r="B35" s="19" t="s">
        <v>54</v>
      </c>
      <c r="C35" s="19" t="s">
        <v>48</v>
      </c>
      <c r="D35" s="19" t="s">
        <v>587</v>
      </c>
      <c r="E35" s="19" t="s">
        <v>588</v>
      </c>
      <c r="F35" s="16" t="n">
        <v>40</v>
      </c>
      <c r="G35" s="16" t="n">
        <v>594</v>
      </c>
      <c r="H35" s="19" t="s">
        <v>465</v>
      </c>
      <c r="I35" s="16" t="n">
        <v>50</v>
      </c>
      <c r="J35" s="19" t="s">
        <v>589</v>
      </c>
      <c r="K35" s="16" t="s">
        <v>590</v>
      </c>
      <c r="L35" s="19" t="b">
        <f aca="false">TRUE()</f>
        <v>1</v>
      </c>
      <c r="M35" s="19" t="s">
        <v>453</v>
      </c>
      <c r="N35" s="19" t="s">
        <v>468</v>
      </c>
      <c r="O35" s="16"/>
      <c r="P35" s="16"/>
      <c r="Q35" s="16"/>
      <c r="R35" s="16"/>
      <c r="S35" s="19" t="s">
        <v>437</v>
      </c>
      <c r="T35" s="19" t="s">
        <v>456</v>
      </c>
      <c r="U35" s="19" t="n">
        <v>12</v>
      </c>
      <c r="V35" s="19" t="n">
        <v>13.5</v>
      </c>
      <c r="W35" s="19" t="n">
        <v>15.5</v>
      </c>
      <c r="X35" s="19" t="n">
        <v>17.5</v>
      </c>
      <c r="Y35" s="16" t="n">
        <v>20</v>
      </c>
    </row>
    <row r="36" customFormat="false" ht="13.25" hidden="false" customHeight="false" outlineLevel="0" collapsed="false">
      <c r="A36" s="16" t="n">
        <f aca="false">ROW(A36)-2</f>
        <v>34</v>
      </c>
      <c r="B36" s="19" t="s">
        <v>47</v>
      </c>
      <c r="C36" s="19" t="s">
        <v>48</v>
      </c>
      <c r="D36" s="19" t="s">
        <v>591</v>
      </c>
      <c r="E36" s="19" t="s">
        <v>592</v>
      </c>
      <c r="F36" s="16" t="n">
        <v>40</v>
      </c>
      <c r="G36" s="16" t="n">
        <v>594</v>
      </c>
      <c r="H36" s="19" t="s">
        <v>432</v>
      </c>
      <c r="I36" s="16" t="n">
        <v>15</v>
      </c>
      <c r="J36" s="19" t="s">
        <v>593</v>
      </c>
      <c r="K36" s="2" t="s">
        <v>594</v>
      </c>
      <c r="L36" s="19" t="b">
        <f aca="false">FALSE()</f>
        <v>0</v>
      </c>
      <c r="M36" s="16"/>
      <c r="N36" s="16"/>
      <c r="O36" s="16"/>
      <c r="P36" s="16"/>
      <c r="Q36" s="16"/>
      <c r="R36" s="16"/>
      <c r="S36" s="16"/>
      <c r="Y36" s="16"/>
    </row>
    <row r="37" customFormat="false" ht="13.25" hidden="false" customHeight="false" outlineLevel="0" collapsed="false">
      <c r="A37" s="16" t="n">
        <f aca="false">ROW(A37)-2</f>
        <v>35</v>
      </c>
      <c r="B37" s="19" t="s">
        <v>51</v>
      </c>
      <c r="C37" s="19" t="s">
        <v>57</v>
      </c>
      <c r="D37" s="19" t="s">
        <v>595</v>
      </c>
      <c r="E37" s="19" t="s">
        <v>596</v>
      </c>
      <c r="F37" s="16" t="n">
        <v>46</v>
      </c>
      <c r="G37" s="16" t="n">
        <v>684</v>
      </c>
      <c r="H37" s="19" t="s">
        <v>456</v>
      </c>
      <c r="I37" s="16" t="n">
        <v>24</v>
      </c>
      <c r="J37" s="19" t="s">
        <v>597</v>
      </c>
      <c r="K37" s="16" t="s">
        <v>598</v>
      </c>
      <c r="L37" s="19" t="b">
        <f aca="false">TRUE()</f>
        <v>1</v>
      </c>
      <c r="M37" s="19" t="s">
        <v>435</v>
      </c>
      <c r="N37" s="19" t="s">
        <v>436</v>
      </c>
      <c r="O37" s="16"/>
      <c r="P37" s="16"/>
      <c r="Q37" s="16"/>
      <c r="R37" s="16"/>
      <c r="S37" s="19" t="s">
        <v>437</v>
      </c>
      <c r="T37" s="19" t="s">
        <v>564</v>
      </c>
      <c r="U37" s="19" t="n">
        <v>20</v>
      </c>
      <c r="V37" s="19" t="n">
        <v>25</v>
      </c>
      <c r="W37" s="19" t="n">
        <v>30</v>
      </c>
      <c r="X37" s="19" t="n">
        <v>35</v>
      </c>
      <c r="Y37" s="16" t="n">
        <v>40</v>
      </c>
      <c r="Z37" s="19" t="s">
        <v>453</v>
      </c>
      <c r="AA37" s="19" t="s">
        <v>436</v>
      </c>
      <c r="AB37" s="16"/>
      <c r="AC37" s="16"/>
      <c r="AD37" s="16"/>
      <c r="AE37" s="16"/>
      <c r="AF37" s="19" t="s">
        <v>437</v>
      </c>
      <c r="AG37" s="19" t="s">
        <v>448</v>
      </c>
      <c r="AH37" s="19" t="n">
        <v>25</v>
      </c>
      <c r="AI37" s="19" t="n">
        <v>31.5</v>
      </c>
      <c r="AJ37" s="19" t="n">
        <v>38</v>
      </c>
      <c r="AK37" s="19" t="n">
        <v>44</v>
      </c>
      <c r="AL37" s="16" t="n">
        <v>50</v>
      </c>
    </row>
    <row r="38" customFormat="false" ht="13.25" hidden="false" customHeight="false" outlineLevel="0" collapsed="false">
      <c r="A38" s="16" t="n">
        <f aca="false">ROW(A38)-2</f>
        <v>36</v>
      </c>
      <c r="B38" s="19" t="s">
        <v>51</v>
      </c>
      <c r="C38" s="19" t="s">
        <v>57</v>
      </c>
      <c r="D38" s="19" t="s">
        <v>599</v>
      </c>
      <c r="E38" s="19" t="s">
        <v>600</v>
      </c>
      <c r="F38" s="16" t="n">
        <v>46</v>
      </c>
      <c r="G38" s="16" t="n">
        <v>684</v>
      </c>
      <c r="H38" s="19" t="s">
        <v>442</v>
      </c>
      <c r="I38" s="16" t="n">
        <v>30</v>
      </c>
      <c r="J38" s="19" t="s">
        <v>601</v>
      </c>
      <c r="K38" s="16" t="s">
        <v>602</v>
      </c>
      <c r="L38" s="19" t="b">
        <f aca="false">TRUE()</f>
        <v>1</v>
      </c>
      <c r="M38" s="19" t="s">
        <v>420</v>
      </c>
      <c r="N38" s="19" t="s">
        <v>436</v>
      </c>
      <c r="O38" s="16" t="n">
        <v>8</v>
      </c>
      <c r="P38" s="16"/>
      <c r="Q38" s="16"/>
      <c r="R38" s="16"/>
      <c r="S38" s="19" t="s">
        <v>437</v>
      </c>
      <c r="T38" s="19" t="s">
        <v>442</v>
      </c>
      <c r="U38" s="19" t="n">
        <v>3.5</v>
      </c>
      <c r="V38" s="19" t="n">
        <v>4.4</v>
      </c>
      <c r="W38" s="19" t="n">
        <v>5.2</v>
      </c>
      <c r="X38" s="19" t="n">
        <v>6</v>
      </c>
      <c r="Y38" s="16" t="n">
        <v>7</v>
      </c>
    </row>
    <row r="39" customFormat="false" ht="13.25" hidden="false" customHeight="false" outlineLevel="0" collapsed="false">
      <c r="A39" s="16" t="n">
        <f aca="false">ROW(A39)-2</f>
        <v>37</v>
      </c>
      <c r="B39" s="19" t="s">
        <v>47</v>
      </c>
      <c r="C39" s="19" t="s">
        <v>57</v>
      </c>
      <c r="D39" s="19" t="s">
        <v>603</v>
      </c>
      <c r="E39" s="19" t="s">
        <v>604</v>
      </c>
      <c r="F39" s="16" t="n">
        <v>46</v>
      </c>
      <c r="G39" s="16" t="n">
        <v>684</v>
      </c>
      <c r="H39" s="19" t="s">
        <v>432</v>
      </c>
      <c r="I39" s="16" t="n">
        <v>18</v>
      </c>
      <c r="J39" s="19" t="s">
        <v>605</v>
      </c>
      <c r="K39" s="16" t="s">
        <v>606</v>
      </c>
      <c r="L39" s="19" t="b">
        <f aca="false">FALSE()</f>
        <v>0</v>
      </c>
      <c r="M39" s="16"/>
      <c r="N39" s="16"/>
      <c r="O39" s="16"/>
      <c r="P39" s="16"/>
      <c r="Q39" s="16"/>
      <c r="R39" s="16"/>
      <c r="S39" s="16"/>
      <c r="Y39" s="16"/>
    </row>
    <row r="40" customFormat="false" ht="13.25" hidden="false" customHeight="false" outlineLevel="0" collapsed="false">
      <c r="A40" s="16" t="n">
        <f aca="false">ROW(A40)-2</f>
        <v>38</v>
      </c>
      <c r="B40" s="19" t="s">
        <v>47</v>
      </c>
      <c r="C40" s="19" t="s">
        <v>57</v>
      </c>
      <c r="D40" s="19" t="s">
        <v>607</v>
      </c>
      <c r="E40" s="19" t="s">
        <v>608</v>
      </c>
      <c r="F40" s="16" t="n">
        <v>46</v>
      </c>
      <c r="G40" s="16" t="n">
        <v>684</v>
      </c>
      <c r="H40" s="19" t="s">
        <v>432</v>
      </c>
      <c r="I40" s="16" t="n">
        <v>18</v>
      </c>
      <c r="J40" s="19" t="s">
        <v>609</v>
      </c>
      <c r="K40" s="16" t="s">
        <v>610</v>
      </c>
      <c r="L40" s="19" t="b">
        <f aca="false">TRUE()</f>
        <v>1</v>
      </c>
      <c r="M40" s="19" t="s">
        <v>420</v>
      </c>
      <c r="N40" s="19" t="s">
        <v>436</v>
      </c>
      <c r="O40" s="16" t="n">
        <v>5</v>
      </c>
      <c r="P40" s="19" t="s">
        <v>445</v>
      </c>
      <c r="Q40" s="19" t="s">
        <v>446</v>
      </c>
      <c r="R40" s="19" t="s">
        <v>239</v>
      </c>
      <c r="S40" s="19" t="s">
        <v>437</v>
      </c>
      <c r="T40" s="19" t="s">
        <v>448</v>
      </c>
      <c r="U40" s="19" t="n">
        <v>6</v>
      </c>
      <c r="V40" s="19" t="n">
        <v>7.5</v>
      </c>
      <c r="W40" s="19" t="n">
        <v>9</v>
      </c>
      <c r="X40" s="19" t="n">
        <v>10.5</v>
      </c>
      <c r="Y40" s="16" t="n">
        <v>12</v>
      </c>
    </row>
    <row r="41" customFormat="false" ht="13.25" hidden="false" customHeight="false" outlineLevel="0" collapsed="false">
      <c r="A41" s="16" t="n">
        <f aca="false">ROW(A41)-2</f>
        <v>39</v>
      </c>
      <c r="B41" s="19" t="s">
        <v>38</v>
      </c>
      <c r="C41" s="19" t="s">
        <v>57</v>
      </c>
      <c r="D41" s="19" t="s">
        <v>611</v>
      </c>
      <c r="E41" s="19" t="s">
        <v>612</v>
      </c>
      <c r="F41" s="16" t="n">
        <v>46</v>
      </c>
      <c r="G41" s="16" t="n">
        <v>684</v>
      </c>
      <c r="H41" s="19" t="s">
        <v>71</v>
      </c>
      <c r="I41" s="16" t="n">
        <v>24</v>
      </c>
      <c r="J41" s="19" t="s">
        <v>613</v>
      </c>
      <c r="K41" s="16" t="s">
        <v>614</v>
      </c>
      <c r="L41" s="19" t="b">
        <f aca="false">TRUE()</f>
        <v>1</v>
      </c>
      <c r="M41" s="19" t="s">
        <v>435</v>
      </c>
      <c r="N41" s="19" t="s">
        <v>436</v>
      </c>
      <c r="O41" s="16"/>
      <c r="P41" s="16"/>
      <c r="Q41" s="16"/>
      <c r="R41" s="16"/>
      <c r="S41" s="19" t="s">
        <v>437</v>
      </c>
      <c r="T41" s="19" t="s">
        <v>442</v>
      </c>
      <c r="U41" s="19" t="n">
        <v>12</v>
      </c>
      <c r="V41" s="19" t="n">
        <v>15</v>
      </c>
      <c r="W41" s="19" t="n">
        <v>18</v>
      </c>
      <c r="X41" s="19" t="n">
        <v>21</v>
      </c>
      <c r="Y41" s="16" t="n">
        <v>24</v>
      </c>
      <c r="Z41" s="19" t="s">
        <v>420</v>
      </c>
      <c r="AA41" s="19" t="s">
        <v>436</v>
      </c>
      <c r="AB41" s="16" t="n">
        <v>3</v>
      </c>
      <c r="AC41" s="16"/>
      <c r="AD41" s="16"/>
      <c r="AE41" s="16"/>
      <c r="AF41" s="19" t="s">
        <v>437</v>
      </c>
      <c r="AG41" s="19" t="s">
        <v>471</v>
      </c>
      <c r="AH41" s="19" t="n">
        <v>25</v>
      </c>
      <c r="AI41" s="19" t="n">
        <v>31</v>
      </c>
      <c r="AJ41" s="19" t="n">
        <v>37</v>
      </c>
      <c r="AK41" s="19" t="n">
        <v>43</v>
      </c>
      <c r="AL41" s="16" t="n">
        <v>50</v>
      </c>
    </row>
    <row r="42" customFormat="false" ht="13.25" hidden="false" customHeight="false" outlineLevel="0" collapsed="false">
      <c r="A42" s="16" t="n">
        <f aca="false">ROW(A42)-2</f>
        <v>40</v>
      </c>
      <c r="B42" s="19" t="s">
        <v>51</v>
      </c>
      <c r="C42" s="19" t="s">
        <v>57</v>
      </c>
      <c r="D42" s="19" t="s">
        <v>615</v>
      </c>
      <c r="E42" s="19" t="s">
        <v>616</v>
      </c>
      <c r="F42" s="16" t="n">
        <v>48</v>
      </c>
      <c r="G42" s="16" t="n">
        <v>713</v>
      </c>
      <c r="H42" s="19" t="s">
        <v>456</v>
      </c>
      <c r="I42" s="16" t="n">
        <v>24</v>
      </c>
      <c r="J42" s="19" t="s">
        <v>617</v>
      </c>
      <c r="K42" s="16" t="s">
        <v>618</v>
      </c>
      <c r="L42" s="19" t="b">
        <f aca="false">TRUE()</f>
        <v>1</v>
      </c>
      <c r="M42" s="19" t="s">
        <v>435</v>
      </c>
      <c r="N42" s="19" t="s">
        <v>436</v>
      </c>
      <c r="O42" s="16"/>
      <c r="P42" s="16"/>
      <c r="Q42" s="16"/>
      <c r="R42" s="16"/>
      <c r="S42" s="19" t="s">
        <v>437</v>
      </c>
      <c r="T42" s="19" t="s">
        <v>582</v>
      </c>
      <c r="U42" s="19" t="n">
        <v>25</v>
      </c>
      <c r="V42" s="19" t="n">
        <v>31.5</v>
      </c>
      <c r="W42" s="19" t="n">
        <v>38</v>
      </c>
      <c r="X42" s="19" t="n">
        <v>44.5</v>
      </c>
      <c r="Y42" s="16" t="n">
        <v>50</v>
      </c>
      <c r="Z42" s="19" t="s">
        <v>453</v>
      </c>
      <c r="AA42" s="19" t="s">
        <v>436</v>
      </c>
      <c r="AB42" s="16"/>
      <c r="AC42" s="16"/>
      <c r="AD42" s="16"/>
      <c r="AE42" s="16"/>
      <c r="AF42" s="19" t="s">
        <v>437</v>
      </c>
      <c r="AG42" s="19" t="s">
        <v>456</v>
      </c>
      <c r="AH42" s="19" t="n">
        <v>10</v>
      </c>
      <c r="AI42" s="19" t="n">
        <v>12.5</v>
      </c>
      <c r="AJ42" s="19" t="n">
        <v>15</v>
      </c>
      <c r="AK42" s="19" t="n">
        <v>17.5</v>
      </c>
      <c r="AL42" s="16" t="n">
        <v>20</v>
      </c>
      <c r="AM42" s="19" t="s">
        <v>453</v>
      </c>
      <c r="AN42" s="19" t="s">
        <v>436</v>
      </c>
      <c r="AO42" s="16"/>
      <c r="AP42" s="16"/>
      <c r="AQ42" s="16"/>
      <c r="AR42" s="16"/>
      <c r="AS42" s="19" t="s">
        <v>437</v>
      </c>
      <c r="AT42" s="19" t="s">
        <v>456</v>
      </c>
      <c r="AU42" s="19" t="n">
        <v>10</v>
      </c>
      <c r="AV42" s="19" t="n">
        <v>12.5</v>
      </c>
      <c r="AW42" s="19" t="n">
        <v>15</v>
      </c>
      <c r="AX42" s="19" t="n">
        <v>17.5</v>
      </c>
      <c r="AY42" s="16" t="n">
        <v>20</v>
      </c>
    </row>
    <row r="43" customFormat="false" ht="13.25" hidden="false" customHeight="false" outlineLevel="0" collapsed="false">
      <c r="A43" s="16" t="n">
        <f aca="false">ROW(A43)-2</f>
        <v>41</v>
      </c>
      <c r="B43" s="19" t="s">
        <v>54</v>
      </c>
      <c r="C43" s="19" t="s">
        <v>57</v>
      </c>
      <c r="D43" s="19" t="s">
        <v>619</v>
      </c>
      <c r="E43" s="19" t="s">
        <v>620</v>
      </c>
      <c r="F43" s="16" t="n">
        <v>46</v>
      </c>
      <c r="G43" s="16" t="n">
        <v>684</v>
      </c>
      <c r="H43" s="19" t="s">
        <v>71</v>
      </c>
      <c r="I43" s="16" t="n">
        <v>24</v>
      </c>
      <c r="J43" s="19" t="s">
        <v>621</v>
      </c>
      <c r="K43" s="16" t="s">
        <v>622</v>
      </c>
      <c r="L43" s="19" t="b">
        <f aca="false">TRUE()</f>
        <v>1</v>
      </c>
      <c r="M43" s="19" t="s">
        <v>453</v>
      </c>
      <c r="N43" s="19" t="s">
        <v>468</v>
      </c>
      <c r="O43" s="16"/>
      <c r="P43" s="16"/>
      <c r="Q43" s="16"/>
      <c r="R43" s="16"/>
      <c r="S43" s="19" t="s">
        <v>437</v>
      </c>
      <c r="T43" s="19" t="s">
        <v>448</v>
      </c>
      <c r="U43" s="19" t="n">
        <v>10</v>
      </c>
      <c r="V43" s="19" t="n">
        <v>12.5</v>
      </c>
      <c r="W43" s="19" t="n">
        <v>15</v>
      </c>
      <c r="X43" s="19" t="n">
        <v>17.5</v>
      </c>
      <c r="Y43" s="16" t="n">
        <v>20</v>
      </c>
      <c r="Z43" s="19" t="s">
        <v>420</v>
      </c>
      <c r="AA43" s="19" t="s">
        <v>468</v>
      </c>
      <c r="AB43" s="16" t="n">
        <v>6</v>
      </c>
      <c r="AC43" s="16"/>
      <c r="AD43" s="16"/>
      <c r="AE43" s="16"/>
      <c r="AF43" s="19" t="s">
        <v>437</v>
      </c>
      <c r="AG43" s="19" t="s">
        <v>448</v>
      </c>
      <c r="AH43" s="19" t="n">
        <v>1.7</v>
      </c>
      <c r="AI43" s="19" t="n">
        <v>2</v>
      </c>
      <c r="AJ43" s="19" t="n">
        <v>2.5</v>
      </c>
      <c r="AK43" s="19" t="n">
        <v>3</v>
      </c>
      <c r="AL43" s="16" t="n">
        <v>3.3</v>
      </c>
    </row>
    <row r="44" customFormat="false" ht="13.25" hidden="false" customHeight="false" outlineLevel="0" collapsed="false">
      <c r="A44" s="16" t="n">
        <f aca="false">ROW(A44)-2</f>
        <v>42</v>
      </c>
      <c r="B44" s="19" t="s">
        <v>51</v>
      </c>
      <c r="C44" s="19" t="s">
        <v>57</v>
      </c>
      <c r="D44" s="19" t="s">
        <v>623</v>
      </c>
      <c r="E44" s="19" t="s">
        <v>624</v>
      </c>
      <c r="F44" s="16" t="n">
        <v>48</v>
      </c>
      <c r="G44" s="16" t="n">
        <v>713</v>
      </c>
      <c r="H44" s="19" t="s">
        <v>625</v>
      </c>
      <c r="I44" s="16" t="n">
        <v>48</v>
      </c>
      <c r="J44" s="19" t="s">
        <v>626</v>
      </c>
      <c r="K44" s="16" t="s">
        <v>627</v>
      </c>
      <c r="L44" s="19" t="b">
        <f aca="false">TRUE()</f>
        <v>1</v>
      </c>
      <c r="M44" s="19" t="s">
        <v>435</v>
      </c>
      <c r="N44" s="19" t="s">
        <v>436</v>
      </c>
      <c r="O44" s="16"/>
      <c r="P44" s="16"/>
      <c r="Q44" s="16"/>
      <c r="R44" s="16"/>
      <c r="S44" s="19" t="s">
        <v>437</v>
      </c>
      <c r="T44" s="19" t="s">
        <v>456</v>
      </c>
      <c r="U44" s="19" t="n">
        <v>15</v>
      </c>
      <c r="V44" s="19" t="n">
        <v>18.8</v>
      </c>
      <c r="W44" s="19" t="n">
        <v>22.6</v>
      </c>
      <c r="X44" s="19" t="n">
        <v>26.4</v>
      </c>
      <c r="Y44" s="16" t="n">
        <v>30</v>
      </c>
      <c r="Z44" s="19" t="s">
        <v>453</v>
      </c>
      <c r="AA44" s="19" t="s">
        <v>436</v>
      </c>
      <c r="AB44" s="16"/>
      <c r="AC44" s="19" t="s">
        <v>445</v>
      </c>
      <c r="AD44" s="19" t="s">
        <v>446</v>
      </c>
      <c r="AE44" s="19" t="s">
        <v>239</v>
      </c>
      <c r="AF44" s="19" t="s">
        <v>437</v>
      </c>
      <c r="AG44" s="19" t="s">
        <v>628</v>
      </c>
      <c r="AH44" s="19" t="n">
        <v>35</v>
      </c>
      <c r="AI44" s="19" t="n">
        <v>43.5</v>
      </c>
      <c r="AJ44" s="19" t="n">
        <v>52</v>
      </c>
      <c r="AK44" s="19" t="n">
        <v>60.5</v>
      </c>
      <c r="AL44" s="16" t="n">
        <v>70</v>
      </c>
    </row>
    <row r="45" customFormat="false" ht="13.25" hidden="false" customHeight="false" outlineLevel="0" collapsed="false">
      <c r="A45" s="16" t="n">
        <f aca="false">ROW(A45)-2</f>
        <v>43</v>
      </c>
      <c r="B45" s="19" t="s">
        <v>54</v>
      </c>
      <c r="C45" s="19" t="s">
        <v>48</v>
      </c>
      <c r="D45" s="19" t="s">
        <v>629</v>
      </c>
      <c r="E45" s="19" t="s">
        <v>630</v>
      </c>
      <c r="F45" s="16" t="n">
        <v>42</v>
      </c>
      <c r="G45" s="16" t="n">
        <v>624</v>
      </c>
      <c r="H45" s="19" t="s">
        <v>465</v>
      </c>
      <c r="I45" s="16" t="n">
        <v>50</v>
      </c>
      <c r="J45" s="19" t="s">
        <v>631</v>
      </c>
      <c r="K45" s="16" t="s">
        <v>632</v>
      </c>
      <c r="L45" s="19" t="b">
        <f aca="false">TRUE()</f>
        <v>1</v>
      </c>
      <c r="M45" s="19" t="s">
        <v>420</v>
      </c>
      <c r="N45" s="19" t="s">
        <v>468</v>
      </c>
      <c r="O45" s="16" t="n">
        <v>4</v>
      </c>
      <c r="P45" s="16"/>
      <c r="Q45" s="16"/>
      <c r="R45" s="16"/>
      <c r="S45" s="19" t="s">
        <v>437</v>
      </c>
      <c r="T45" s="19" t="s">
        <v>442</v>
      </c>
      <c r="U45" s="19" t="n">
        <v>2.5</v>
      </c>
      <c r="V45" s="19" t="n">
        <v>2.8</v>
      </c>
      <c r="W45" s="19" t="n">
        <v>3.2</v>
      </c>
      <c r="X45" s="19" t="n">
        <v>3.6</v>
      </c>
      <c r="Y45" s="16" t="n">
        <v>4</v>
      </c>
    </row>
    <row r="46" customFormat="false" ht="13.25" hidden="false" customHeight="false" outlineLevel="0" collapsed="false">
      <c r="A46" s="16" t="n">
        <f aca="false">ROW(A46)-2</f>
        <v>44</v>
      </c>
      <c r="B46" s="19" t="s">
        <v>38</v>
      </c>
      <c r="C46" s="19" t="s">
        <v>48</v>
      </c>
      <c r="D46" s="19" t="s">
        <v>633</v>
      </c>
      <c r="E46" s="19" t="s">
        <v>634</v>
      </c>
      <c r="F46" s="16" t="n">
        <v>42</v>
      </c>
      <c r="G46" s="16" t="n">
        <v>624</v>
      </c>
      <c r="H46" s="19" t="s">
        <v>442</v>
      </c>
      <c r="I46" s="16" t="n">
        <v>25</v>
      </c>
      <c r="J46" s="19" t="s">
        <v>635</v>
      </c>
      <c r="K46" s="16" t="s">
        <v>636</v>
      </c>
      <c r="L46" s="19" t="b">
        <f aca="false">TRUE()</f>
        <v>1</v>
      </c>
      <c r="M46" s="19" t="s">
        <v>453</v>
      </c>
      <c r="N46" s="19" t="s">
        <v>436</v>
      </c>
      <c r="O46" s="16"/>
      <c r="P46" s="16"/>
      <c r="Q46" s="16"/>
      <c r="R46" s="16"/>
      <c r="S46" s="19" t="s">
        <v>437</v>
      </c>
      <c r="T46" s="19" t="s">
        <v>442</v>
      </c>
      <c r="U46" s="19" t="n">
        <v>8</v>
      </c>
      <c r="V46" s="19" t="n">
        <v>9.2</v>
      </c>
      <c r="W46" s="19" t="n">
        <v>10.4</v>
      </c>
      <c r="X46" s="19" t="n">
        <v>11.6</v>
      </c>
      <c r="Y46" s="16" t="n">
        <v>12.8</v>
      </c>
      <c r="Z46" s="19" t="s">
        <v>453</v>
      </c>
      <c r="AA46" s="19" t="s">
        <v>436</v>
      </c>
      <c r="AB46" s="16"/>
      <c r="AC46" s="16"/>
      <c r="AD46" s="16"/>
      <c r="AE46" s="16"/>
      <c r="AF46" s="19" t="s">
        <v>437</v>
      </c>
      <c r="AG46" s="19" t="s">
        <v>471</v>
      </c>
      <c r="AH46" s="19" t="n">
        <v>40</v>
      </c>
      <c r="AI46" s="19" t="n">
        <v>46</v>
      </c>
      <c r="AJ46" s="19" t="n">
        <v>52</v>
      </c>
      <c r="AK46" s="19" t="n">
        <v>58</v>
      </c>
      <c r="AL46" s="16" t="n">
        <v>64</v>
      </c>
      <c r="AM46" s="19" t="s">
        <v>453</v>
      </c>
      <c r="AN46" s="19" t="s">
        <v>436</v>
      </c>
      <c r="AO46" s="16"/>
      <c r="AP46" s="16"/>
      <c r="AQ46" s="16"/>
      <c r="AR46" s="16"/>
      <c r="AS46" s="19" t="s">
        <v>437</v>
      </c>
      <c r="AT46" s="19" t="s">
        <v>637</v>
      </c>
      <c r="AU46" s="19" t="n">
        <v>25</v>
      </c>
      <c r="AV46" s="19" t="n">
        <v>28</v>
      </c>
      <c r="AW46" s="19" t="n">
        <v>32</v>
      </c>
      <c r="AX46" s="19" t="n">
        <v>36</v>
      </c>
      <c r="AY46" s="16" t="n">
        <v>40</v>
      </c>
    </row>
    <row r="47" customFormat="false" ht="13.25" hidden="false" customHeight="false" outlineLevel="0" collapsed="false">
      <c r="A47" s="16" t="n">
        <f aca="false">ROW(A47)-2</f>
        <v>45</v>
      </c>
      <c r="B47" s="19" t="s">
        <v>51</v>
      </c>
      <c r="C47" s="19" t="s">
        <v>48</v>
      </c>
      <c r="D47" s="19" t="s">
        <v>638</v>
      </c>
      <c r="E47" s="19" t="s">
        <v>639</v>
      </c>
      <c r="F47" s="16" t="n">
        <v>40</v>
      </c>
      <c r="G47" s="16" t="n">
        <v>594</v>
      </c>
      <c r="H47" s="19" t="s">
        <v>442</v>
      </c>
      <c r="I47" s="16" t="n">
        <v>25</v>
      </c>
      <c r="J47" s="19" t="s">
        <v>640</v>
      </c>
      <c r="K47" s="16" t="s">
        <v>641</v>
      </c>
      <c r="L47" s="19" t="b">
        <f aca="false">TRUE()</f>
        <v>1</v>
      </c>
      <c r="M47" s="19" t="s">
        <v>435</v>
      </c>
      <c r="N47" s="19" t="s">
        <v>436</v>
      </c>
      <c r="O47" s="16"/>
      <c r="P47" s="16"/>
      <c r="Q47" s="16"/>
      <c r="R47" s="16"/>
      <c r="S47" s="19" t="s">
        <v>437</v>
      </c>
      <c r="T47" s="19" t="s">
        <v>442</v>
      </c>
      <c r="U47" s="19" t="n">
        <v>6</v>
      </c>
      <c r="V47" s="19" t="n">
        <v>6.9</v>
      </c>
      <c r="W47" s="19" t="n">
        <v>7.8</v>
      </c>
      <c r="X47" s="19" t="n">
        <v>8.7</v>
      </c>
      <c r="Y47" s="16" t="n">
        <v>9.6</v>
      </c>
      <c r="Z47" s="19" t="s">
        <v>435</v>
      </c>
      <c r="AA47" s="19" t="s">
        <v>436</v>
      </c>
      <c r="AB47" s="16"/>
      <c r="AC47" s="19" t="s">
        <v>445</v>
      </c>
      <c r="AD47" s="19" t="s">
        <v>446</v>
      </c>
      <c r="AE47" s="19" t="s">
        <v>563</v>
      </c>
      <c r="AF47" s="19" t="s">
        <v>437</v>
      </c>
      <c r="AG47" s="19" t="s">
        <v>448</v>
      </c>
      <c r="AH47" s="19" t="n">
        <v>15</v>
      </c>
      <c r="AI47" s="19" t="n">
        <v>17.2</v>
      </c>
      <c r="AJ47" s="19" t="n">
        <v>19.5</v>
      </c>
      <c r="AK47" s="19" t="n">
        <v>21.8</v>
      </c>
      <c r="AL47" s="16" t="n">
        <v>24</v>
      </c>
    </row>
    <row r="48" customFormat="false" ht="13.25" hidden="false" customHeight="false" outlineLevel="0" collapsed="false">
      <c r="A48" s="16" t="n">
        <f aca="false">ROW(A48)-2</f>
        <v>46</v>
      </c>
      <c r="B48" s="19" t="s">
        <v>47</v>
      </c>
      <c r="C48" s="19" t="s">
        <v>57</v>
      </c>
      <c r="D48" s="19" t="s">
        <v>642</v>
      </c>
      <c r="E48" s="19" t="s">
        <v>643</v>
      </c>
      <c r="F48" s="16" t="n">
        <v>48</v>
      </c>
      <c r="G48" s="16" t="n">
        <v>713</v>
      </c>
      <c r="H48" s="19" t="s">
        <v>432</v>
      </c>
      <c r="I48" s="16" t="n">
        <v>18</v>
      </c>
      <c r="J48" s="19" t="s">
        <v>644</v>
      </c>
      <c r="K48" s="16" t="s">
        <v>645</v>
      </c>
      <c r="L48" s="19" t="b">
        <f aca="false">TRUE()</f>
        <v>1</v>
      </c>
      <c r="M48" s="19" t="s">
        <v>420</v>
      </c>
      <c r="N48" s="19" t="s">
        <v>436</v>
      </c>
      <c r="O48" s="16" t="n">
        <v>30</v>
      </c>
      <c r="P48" s="16"/>
      <c r="Q48" s="16"/>
      <c r="R48" s="16"/>
      <c r="S48" s="19" t="s">
        <v>437</v>
      </c>
      <c r="T48" s="19" t="s">
        <v>432</v>
      </c>
      <c r="U48" s="19" t="n">
        <v>0.7</v>
      </c>
      <c r="V48" s="19" t="n">
        <v>0.88</v>
      </c>
      <c r="W48" s="19" t="n">
        <v>1.05</v>
      </c>
      <c r="X48" s="19" t="n">
        <v>1.22</v>
      </c>
      <c r="Y48" s="16" t="n">
        <v>1.4</v>
      </c>
      <c r="Z48" s="19" t="s">
        <v>435</v>
      </c>
      <c r="AA48" s="19" t="s">
        <v>468</v>
      </c>
      <c r="AB48" s="16"/>
      <c r="AC48" s="19" t="s">
        <v>420</v>
      </c>
      <c r="AD48" s="19" t="s">
        <v>646</v>
      </c>
      <c r="AE48" s="16" t="n">
        <v>15</v>
      </c>
      <c r="AF48" s="19" t="s">
        <v>437</v>
      </c>
      <c r="AG48" s="19" t="s">
        <v>448</v>
      </c>
      <c r="AH48" s="19" t="n">
        <v>20</v>
      </c>
      <c r="AI48" s="19" t="n">
        <v>23</v>
      </c>
      <c r="AJ48" s="19" t="n">
        <v>26</v>
      </c>
      <c r="AK48" s="19" t="n">
        <v>29</v>
      </c>
      <c r="AL48" s="16" t="n">
        <v>32</v>
      </c>
    </row>
    <row r="49" customFormat="false" ht="13.25" hidden="false" customHeight="false" outlineLevel="0" collapsed="false">
      <c r="A49" s="16" t="n">
        <f aca="false">ROW(A49)-2</f>
        <v>47</v>
      </c>
      <c r="B49" s="19" t="s">
        <v>38</v>
      </c>
      <c r="C49" s="19" t="s">
        <v>57</v>
      </c>
      <c r="D49" s="19" t="s">
        <v>647</v>
      </c>
      <c r="E49" s="19" t="s">
        <v>648</v>
      </c>
      <c r="F49" s="16" t="n">
        <v>48</v>
      </c>
      <c r="G49" s="16" t="n">
        <v>713</v>
      </c>
      <c r="H49" s="19" t="s">
        <v>471</v>
      </c>
      <c r="I49" s="16" t="n">
        <v>90</v>
      </c>
      <c r="J49" s="19" t="s">
        <v>649</v>
      </c>
      <c r="K49" s="16" t="s">
        <v>650</v>
      </c>
      <c r="L49" s="19" t="b">
        <f aca="false">TRUE()</f>
        <v>1</v>
      </c>
      <c r="M49" s="19" t="s">
        <v>420</v>
      </c>
      <c r="N49" s="19" t="s">
        <v>436</v>
      </c>
      <c r="O49" s="16" t="n">
        <v>3</v>
      </c>
      <c r="P49" s="16"/>
      <c r="Q49" s="16"/>
      <c r="R49" s="16"/>
      <c r="S49" s="19" t="s">
        <v>437</v>
      </c>
      <c r="T49" s="19" t="s">
        <v>564</v>
      </c>
      <c r="U49" s="19" t="n">
        <v>12</v>
      </c>
      <c r="V49" s="19" t="n">
        <v>15</v>
      </c>
      <c r="W49" s="19" t="n">
        <v>18</v>
      </c>
      <c r="X49" s="19" t="n">
        <v>21</v>
      </c>
      <c r="Y49" s="16" t="n">
        <v>24</v>
      </c>
      <c r="Z49" s="19" t="s">
        <v>435</v>
      </c>
      <c r="AA49" s="19" t="s">
        <v>436</v>
      </c>
      <c r="AB49" s="16"/>
      <c r="AC49" s="19" t="s">
        <v>420</v>
      </c>
      <c r="AD49" s="19" t="s">
        <v>646</v>
      </c>
      <c r="AE49" s="16" t="n">
        <v>3</v>
      </c>
      <c r="AF49" s="19" t="s">
        <v>437</v>
      </c>
      <c r="AG49" s="19" t="s">
        <v>637</v>
      </c>
      <c r="AH49" s="19" t="n">
        <v>40</v>
      </c>
      <c r="AI49" s="19" t="n">
        <v>50</v>
      </c>
      <c r="AJ49" s="19" t="n">
        <v>60</v>
      </c>
      <c r="AK49" s="19" t="n">
        <v>70</v>
      </c>
      <c r="AL49" s="16" t="n">
        <v>80</v>
      </c>
    </row>
    <row r="50" customFormat="false" ht="13.25" hidden="false" customHeight="false" outlineLevel="0" collapsed="false">
      <c r="A50" s="16" t="n">
        <f aca="false">ROW(A50)-2</f>
        <v>48</v>
      </c>
      <c r="B50" s="19" t="s">
        <v>63</v>
      </c>
      <c r="C50" s="19" t="s">
        <v>48</v>
      </c>
      <c r="D50" s="19" t="s">
        <v>651</v>
      </c>
      <c r="E50" s="19" t="s">
        <v>652</v>
      </c>
      <c r="F50" s="16" t="n">
        <v>42</v>
      </c>
      <c r="G50" s="16" t="n">
        <v>624</v>
      </c>
      <c r="H50" s="19" t="s">
        <v>442</v>
      </c>
      <c r="I50" s="16" t="n">
        <v>25</v>
      </c>
      <c r="J50" s="19" t="s">
        <v>653</v>
      </c>
      <c r="K50" s="16" t="s">
        <v>654</v>
      </c>
      <c r="L50" s="19" t="b">
        <f aca="false">FALSE()</f>
        <v>0</v>
      </c>
      <c r="M50" s="16"/>
      <c r="N50" s="16"/>
      <c r="O50" s="16"/>
      <c r="P50" s="16"/>
      <c r="Q50" s="16"/>
      <c r="R50" s="16"/>
      <c r="S50" s="16"/>
      <c r="Y50" s="16"/>
    </row>
    <row r="51" customFormat="false" ht="13.25" hidden="false" customHeight="false" outlineLevel="0" collapsed="false">
      <c r="A51" s="16" t="n">
        <f aca="false">ROW(A51)-2</f>
        <v>49</v>
      </c>
      <c r="B51" s="19" t="s">
        <v>63</v>
      </c>
      <c r="C51" s="19" t="s">
        <v>57</v>
      </c>
      <c r="D51" s="19" t="s">
        <v>655</v>
      </c>
      <c r="E51" s="19" t="s">
        <v>656</v>
      </c>
      <c r="F51" s="16" t="n">
        <v>48</v>
      </c>
      <c r="G51" s="16" t="n">
        <v>713</v>
      </c>
      <c r="H51" s="19" t="s">
        <v>432</v>
      </c>
      <c r="I51" s="16" t="n">
        <v>18</v>
      </c>
      <c r="J51" s="19" t="s">
        <v>657</v>
      </c>
      <c r="K51" s="16" t="s">
        <v>658</v>
      </c>
      <c r="L51" s="19" t="b">
        <f aca="false">TRUE()</f>
        <v>1</v>
      </c>
      <c r="M51" s="19" t="s">
        <v>453</v>
      </c>
      <c r="N51" s="19" t="s">
        <v>468</v>
      </c>
      <c r="O51" s="16"/>
      <c r="P51" s="16"/>
      <c r="Q51" s="16"/>
      <c r="R51" s="16"/>
      <c r="S51" s="19" t="s">
        <v>437</v>
      </c>
      <c r="T51" s="19" t="s">
        <v>448</v>
      </c>
      <c r="U51" s="19" t="n">
        <v>18</v>
      </c>
      <c r="V51" s="19" t="n">
        <v>22.5</v>
      </c>
      <c r="W51" s="19" t="n">
        <v>27</v>
      </c>
      <c r="X51" s="19" t="n">
        <v>31.5</v>
      </c>
      <c r="Y51" s="16" t="n">
        <v>36</v>
      </c>
    </row>
    <row r="52" customFormat="false" ht="13.25" hidden="false" customHeight="false" outlineLevel="0" collapsed="false">
      <c r="A52" s="16" t="n">
        <f aca="false">ROW(A52)-2</f>
        <v>50</v>
      </c>
      <c r="B52" s="19" t="s">
        <v>38</v>
      </c>
      <c r="C52" s="19" t="s">
        <v>57</v>
      </c>
      <c r="D52" s="19" t="s">
        <v>659</v>
      </c>
      <c r="E52" s="19" t="s">
        <v>660</v>
      </c>
      <c r="F52" s="16" t="n">
        <v>48</v>
      </c>
      <c r="G52" s="16" t="n">
        <v>713</v>
      </c>
      <c r="H52" s="19" t="s">
        <v>442</v>
      </c>
      <c r="I52" s="16" t="n">
        <v>30</v>
      </c>
      <c r="J52" s="19" t="s">
        <v>661</v>
      </c>
      <c r="K52" s="16" t="s">
        <v>662</v>
      </c>
      <c r="L52" s="19" t="b">
        <f aca="false">TRUE()</f>
        <v>1</v>
      </c>
      <c r="M52" s="19" t="s">
        <v>420</v>
      </c>
      <c r="N52" s="19" t="s">
        <v>436</v>
      </c>
      <c r="O52" s="16" t="n">
        <v>10</v>
      </c>
      <c r="P52" s="16"/>
      <c r="Q52" s="16"/>
      <c r="R52" s="16"/>
      <c r="S52" s="19" t="s">
        <v>437</v>
      </c>
      <c r="T52" s="19" t="s">
        <v>448</v>
      </c>
      <c r="U52" s="19" t="n">
        <v>3.5</v>
      </c>
      <c r="V52" s="19" t="n">
        <v>4.4</v>
      </c>
      <c r="W52" s="19" t="n">
        <v>5.2</v>
      </c>
      <c r="X52" s="19" t="n">
        <v>6.1</v>
      </c>
      <c r="Y52" s="16" t="n">
        <v>7</v>
      </c>
      <c r="Z52" s="19" t="s">
        <v>435</v>
      </c>
      <c r="AA52" s="19" t="s">
        <v>436</v>
      </c>
      <c r="AB52" s="16"/>
      <c r="AC52" s="19" t="s">
        <v>420</v>
      </c>
      <c r="AD52" s="19" t="s">
        <v>646</v>
      </c>
      <c r="AE52" s="16" t="n">
        <v>5</v>
      </c>
      <c r="AF52" s="19" t="s">
        <v>437</v>
      </c>
      <c r="AG52" s="19" t="s">
        <v>471</v>
      </c>
      <c r="AH52" s="19" t="n">
        <v>50</v>
      </c>
      <c r="AI52" s="19" t="n">
        <v>62</v>
      </c>
      <c r="AJ52" s="19" t="n">
        <v>75</v>
      </c>
      <c r="AK52" s="19" t="n">
        <v>87</v>
      </c>
      <c r="AL52" s="16" t="n">
        <v>100</v>
      </c>
    </row>
    <row r="53" customFormat="false" ht="13.25" hidden="false" customHeight="false" outlineLevel="0" collapsed="false">
      <c r="A53" s="16" t="n">
        <f aca="false">ROW(A53)-2</f>
        <v>51</v>
      </c>
      <c r="B53" s="19" t="s">
        <v>38</v>
      </c>
      <c r="C53" s="19" t="s">
        <v>57</v>
      </c>
      <c r="D53" s="19" t="s">
        <v>663</v>
      </c>
      <c r="E53" s="19" t="s">
        <v>664</v>
      </c>
      <c r="F53" s="16" t="n">
        <v>48</v>
      </c>
      <c r="G53" s="16" t="n">
        <v>713</v>
      </c>
      <c r="H53" s="19" t="s">
        <v>442</v>
      </c>
      <c r="I53" s="16" t="n">
        <v>30</v>
      </c>
      <c r="J53" s="19" t="s">
        <v>665</v>
      </c>
      <c r="K53" s="16" t="s">
        <v>666</v>
      </c>
      <c r="L53" s="19" t="b">
        <f aca="false">TRUE()</f>
        <v>1</v>
      </c>
      <c r="M53" s="19" t="s">
        <v>435</v>
      </c>
      <c r="N53" s="19" t="s">
        <v>436</v>
      </c>
      <c r="O53" s="16"/>
      <c r="P53" s="16"/>
      <c r="Q53" s="16"/>
      <c r="R53" s="16"/>
      <c r="S53" s="19" t="s">
        <v>437</v>
      </c>
      <c r="T53" s="19" t="s">
        <v>667</v>
      </c>
      <c r="U53" s="19" t="n">
        <v>30</v>
      </c>
      <c r="V53" s="19" t="n">
        <v>35</v>
      </c>
      <c r="W53" s="19" t="n">
        <v>40</v>
      </c>
      <c r="X53" s="19" t="n">
        <v>45</v>
      </c>
      <c r="Y53" s="16" t="n">
        <v>50</v>
      </c>
      <c r="Z53" s="19" t="s">
        <v>453</v>
      </c>
      <c r="AA53" s="19" t="s">
        <v>436</v>
      </c>
      <c r="AB53" s="16"/>
      <c r="AC53" s="16"/>
      <c r="AD53" s="16"/>
      <c r="AE53" s="16"/>
      <c r="AF53" s="19" t="s">
        <v>437</v>
      </c>
      <c r="AG53" s="19" t="s">
        <v>471</v>
      </c>
      <c r="AH53" s="19" t="n">
        <v>75</v>
      </c>
      <c r="AI53" s="19" t="n">
        <v>85</v>
      </c>
      <c r="AJ53" s="19" t="n">
        <v>95</v>
      </c>
      <c r="AK53" s="19" t="n">
        <v>105</v>
      </c>
      <c r="AL53" s="16" t="n">
        <v>115</v>
      </c>
      <c r="AM53" s="19" t="s">
        <v>435</v>
      </c>
      <c r="AN53" s="19" t="s">
        <v>436</v>
      </c>
      <c r="AO53" s="16"/>
      <c r="AP53" s="19" t="s">
        <v>668</v>
      </c>
      <c r="AQ53" s="19" t="s">
        <v>646</v>
      </c>
      <c r="AR53" s="16" t="n">
        <v>375</v>
      </c>
      <c r="AS53" s="19" t="s">
        <v>437</v>
      </c>
      <c r="AT53" s="19" t="s">
        <v>669</v>
      </c>
      <c r="AU53" s="19" t="n">
        <v>25</v>
      </c>
      <c r="AV53" s="19" t="n">
        <v>27.5</v>
      </c>
      <c r="AW53" s="19" t="n">
        <v>30</v>
      </c>
      <c r="AX53" s="19" t="n">
        <v>32.5</v>
      </c>
      <c r="AY53" s="16" t="n">
        <v>35</v>
      </c>
    </row>
    <row r="54" customFormat="false" ht="13.25" hidden="false" customHeight="false" outlineLevel="0" collapsed="false">
      <c r="A54" s="16" t="n">
        <f aca="false">ROW(A54)-2</f>
        <v>52</v>
      </c>
      <c r="B54" s="19" t="s">
        <v>47</v>
      </c>
      <c r="C54" s="19" t="s">
        <v>57</v>
      </c>
      <c r="D54" s="19" t="s">
        <v>670</v>
      </c>
      <c r="E54" s="19" t="s">
        <v>671</v>
      </c>
      <c r="F54" s="16" t="n">
        <v>48</v>
      </c>
      <c r="G54" s="16" t="n">
        <v>713</v>
      </c>
      <c r="H54" s="19" t="s">
        <v>432</v>
      </c>
      <c r="I54" s="16" t="n">
        <v>18</v>
      </c>
      <c r="J54" s="19" t="s">
        <v>672</v>
      </c>
      <c r="K54" s="16" t="s">
        <v>673</v>
      </c>
      <c r="L54" s="19" t="b">
        <f aca="false">TRUE()</f>
        <v>1</v>
      </c>
      <c r="M54" s="19" t="s">
        <v>453</v>
      </c>
      <c r="N54" s="19" t="s">
        <v>436</v>
      </c>
      <c r="O54" s="16"/>
      <c r="P54" s="16"/>
      <c r="Q54" s="16"/>
      <c r="R54" s="16"/>
      <c r="S54" s="19" t="s">
        <v>437</v>
      </c>
      <c r="T54" s="19" t="s">
        <v>432</v>
      </c>
      <c r="U54" s="19" t="n">
        <v>25</v>
      </c>
      <c r="V54" s="19" t="n">
        <v>28.75</v>
      </c>
      <c r="W54" s="19" t="n">
        <v>32.5</v>
      </c>
      <c r="X54" s="19" t="n">
        <v>36.25</v>
      </c>
      <c r="Y54" s="16" t="n">
        <v>40</v>
      </c>
      <c r="Z54" s="19" t="s">
        <v>420</v>
      </c>
      <c r="AA54" s="19" t="s">
        <v>674</v>
      </c>
      <c r="AB54" s="16" t="n">
        <v>20</v>
      </c>
      <c r="AC54" s="19" t="s">
        <v>675</v>
      </c>
      <c r="AD54" s="19" t="s">
        <v>446</v>
      </c>
      <c r="AE54" s="19" t="s">
        <v>676</v>
      </c>
      <c r="AF54" s="19" t="s">
        <v>437</v>
      </c>
      <c r="AG54" s="19" t="s">
        <v>625</v>
      </c>
      <c r="AH54" s="19" t="n">
        <v>1.5</v>
      </c>
      <c r="AI54" s="19" t="n">
        <v>1.72</v>
      </c>
      <c r="AJ54" s="19" t="n">
        <v>1.95</v>
      </c>
      <c r="AK54" s="19" t="n">
        <v>2.17</v>
      </c>
      <c r="AL54" s="16" t="n">
        <v>2.4</v>
      </c>
    </row>
    <row r="55" customFormat="false" ht="13.25" hidden="false" customHeight="false" outlineLevel="0" collapsed="false">
      <c r="A55" s="16" t="n">
        <f aca="false">ROW(A55)-2</f>
        <v>53</v>
      </c>
      <c r="B55" s="19" t="s">
        <v>51</v>
      </c>
      <c r="C55" s="19" t="s">
        <v>48</v>
      </c>
      <c r="D55" s="19" t="s">
        <v>677</v>
      </c>
      <c r="E55" s="19" t="s">
        <v>678</v>
      </c>
      <c r="F55" s="16" t="n">
        <v>40</v>
      </c>
      <c r="G55" s="16" t="n">
        <v>594</v>
      </c>
      <c r="H55" s="19" t="s">
        <v>456</v>
      </c>
      <c r="I55" s="16" t="n">
        <v>20</v>
      </c>
      <c r="J55" s="19" t="s">
        <v>679</v>
      </c>
      <c r="K55" s="16" t="s">
        <v>680</v>
      </c>
      <c r="L55" s="19" t="b">
        <f aca="false">TRUE()</f>
        <v>1</v>
      </c>
      <c r="M55" s="19" t="s">
        <v>453</v>
      </c>
      <c r="N55" s="19" t="s">
        <v>436</v>
      </c>
      <c r="O55" s="16"/>
      <c r="P55" s="16"/>
      <c r="Q55" s="16"/>
      <c r="R55" s="16"/>
      <c r="S55" s="19" t="s">
        <v>437</v>
      </c>
      <c r="T55" s="19" t="s">
        <v>442</v>
      </c>
      <c r="U55" s="19" t="n">
        <v>6</v>
      </c>
      <c r="V55" s="19" t="n">
        <v>6.9</v>
      </c>
      <c r="W55" s="19" t="n">
        <v>7.8</v>
      </c>
      <c r="X55" s="19" t="n">
        <v>8.7</v>
      </c>
      <c r="Y55" s="16" t="n">
        <v>9.6</v>
      </c>
      <c r="Z55" s="19" t="s">
        <v>453</v>
      </c>
      <c r="AA55" s="19" t="s">
        <v>436</v>
      </c>
      <c r="AB55" s="16"/>
      <c r="AC55" s="16"/>
      <c r="AD55" s="16"/>
      <c r="AE55" s="16"/>
      <c r="AF55" s="19" t="s">
        <v>437</v>
      </c>
      <c r="AG55" s="19" t="s">
        <v>442</v>
      </c>
      <c r="AH55" s="19" t="n">
        <v>6</v>
      </c>
      <c r="AI55" s="19" t="n">
        <v>6.9</v>
      </c>
      <c r="AJ55" s="19" t="n">
        <v>7.8</v>
      </c>
      <c r="AK55" s="19" t="n">
        <v>8.7</v>
      </c>
      <c r="AL55" s="16" t="n">
        <v>9.6</v>
      </c>
    </row>
    <row r="56" customFormat="false" ht="13.25" hidden="false" customHeight="false" outlineLevel="0" collapsed="false">
      <c r="A56" s="16" t="n">
        <f aca="false">ROW(A56)-2</f>
        <v>54</v>
      </c>
      <c r="B56" s="19" t="s">
        <v>38</v>
      </c>
      <c r="C56" s="19" t="s">
        <v>57</v>
      </c>
      <c r="D56" s="19" t="s">
        <v>681</v>
      </c>
      <c r="E56" s="19" t="s">
        <v>682</v>
      </c>
      <c r="F56" s="16" t="n">
        <v>50</v>
      </c>
      <c r="G56" s="16" t="n">
        <v>743</v>
      </c>
      <c r="H56" s="19" t="s">
        <v>456</v>
      </c>
      <c r="I56" s="16" t="n">
        <v>24</v>
      </c>
      <c r="J56" s="19" t="s">
        <v>683</v>
      </c>
      <c r="K56" s="16" t="s">
        <v>684</v>
      </c>
      <c r="L56" s="19" t="b">
        <f aca="false">TRUE()</f>
        <v>1</v>
      </c>
      <c r="M56" s="19" t="s">
        <v>435</v>
      </c>
      <c r="N56" s="19" t="s">
        <v>436</v>
      </c>
      <c r="O56" s="16"/>
      <c r="P56" s="16"/>
      <c r="Q56" s="16"/>
      <c r="R56" s="16"/>
      <c r="S56" s="19" t="s">
        <v>437</v>
      </c>
      <c r="T56" s="19" t="s">
        <v>625</v>
      </c>
      <c r="U56" s="19" t="n">
        <v>50</v>
      </c>
      <c r="V56" s="19" t="n">
        <v>57</v>
      </c>
      <c r="W56" s="19" t="n">
        <v>65</v>
      </c>
      <c r="X56" s="19" t="n">
        <v>72</v>
      </c>
      <c r="Y56" s="16" t="n">
        <v>80</v>
      </c>
      <c r="Z56" s="19" t="s">
        <v>420</v>
      </c>
      <c r="AA56" s="19" t="s">
        <v>436</v>
      </c>
      <c r="AB56" s="16" t="n">
        <v>2</v>
      </c>
      <c r="AC56" s="16"/>
      <c r="AD56" s="16"/>
      <c r="AE56" s="16"/>
      <c r="AF56" s="19" t="s">
        <v>437</v>
      </c>
      <c r="AG56" s="19" t="s">
        <v>582</v>
      </c>
      <c r="AH56" s="19" t="n">
        <v>20</v>
      </c>
      <c r="AI56" s="19" t="n">
        <v>23</v>
      </c>
      <c r="AJ56" s="19" t="n">
        <v>26</v>
      </c>
      <c r="AK56" s="19" t="n">
        <v>29</v>
      </c>
      <c r="AL56" s="16" t="n">
        <v>32</v>
      </c>
    </row>
    <row r="57" customFormat="false" ht="13.25" hidden="false" customHeight="false" outlineLevel="0" collapsed="false">
      <c r="A57" s="16" t="n">
        <f aca="false">ROW(A57)-2</f>
        <v>55</v>
      </c>
      <c r="B57" s="19" t="s">
        <v>51</v>
      </c>
      <c r="C57" s="19" t="s">
        <v>57</v>
      </c>
      <c r="D57" s="19" t="s">
        <v>685</v>
      </c>
      <c r="E57" s="19" t="s">
        <v>686</v>
      </c>
      <c r="F57" s="16" t="n">
        <v>48</v>
      </c>
      <c r="G57" s="16" t="n">
        <v>713</v>
      </c>
      <c r="H57" s="19" t="s">
        <v>625</v>
      </c>
      <c r="I57" s="16" t="n">
        <v>48</v>
      </c>
      <c r="J57" s="19" t="s">
        <v>687</v>
      </c>
      <c r="K57" s="16" t="s">
        <v>688</v>
      </c>
      <c r="L57" s="19" t="b">
        <f aca="false">TRUE()</f>
        <v>1</v>
      </c>
      <c r="M57" s="19" t="s">
        <v>435</v>
      </c>
      <c r="N57" s="19" t="s">
        <v>436</v>
      </c>
      <c r="O57" s="16"/>
      <c r="P57" s="2"/>
      <c r="Q57" s="2"/>
      <c r="R57" s="2"/>
      <c r="S57" s="19" t="s">
        <v>437</v>
      </c>
      <c r="T57" s="19" t="s">
        <v>456</v>
      </c>
      <c r="U57" s="19" t="n">
        <v>10</v>
      </c>
      <c r="V57" s="19" t="n">
        <v>11.5</v>
      </c>
      <c r="W57" s="19" t="n">
        <v>13</v>
      </c>
      <c r="X57" s="19" t="n">
        <v>14.5</v>
      </c>
      <c r="Y57" s="16" t="n">
        <v>16</v>
      </c>
      <c r="Z57" s="19" t="s">
        <v>435</v>
      </c>
      <c r="AA57" s="19" t="s">
        <v>436</v>
      </c>
      <c r="AB57" s="16"/>
      <c r="AC57" s="19" t="s">
        <v>445</v>
      </c>
      <c r="AD57" s="19" t="s">
        <v>446</v>
      </c>
      <c r="AE57" s="19" t="s">
        <v>689</v>
      </c>
      <c r="AF57" s="19" t="s">
        <v>445</v>
      </c>
      <c r="AG57" s="19" t="s">
        <v>438</v>
      </c>
      <c r="AH57" s="19" t="n">
        <v>40</v>
      </c>
      <c r="AI57" s="19" t="n">
        <v>46</v>
      </c>
      <c r="AJ57" s="19" t="n">
        <v>52</v>
      </c>
      <c r="AK57" s="19" t="n">
        <v>58</v>
      </c>
      <c r="AL57" s="16" t="n">
        <v>64</v>
      </c>
      <c r="AM57" s="19" t="s">
        <v>453</v>
      </c>
      <c r="AN57" s="19" t="s">
        <v>436</v>
      </c>
      <c r="AO57" s="16"/>
      <c r="AP57" s="16"/>
      <c r="AQ57" s="16"/>
      <c r="AR57" s="16"/>
      <c r="AS57" s="19" t="s">
        <v>437</v>
      </c>
      <c r="AT57" s="19" t="s">
        <v>456</v>
      </c>
      <c r="AU57" s="19" t="n">
        <v>10</v>
      </c>
      <c r="AV57" s="19" t="n">
        <v>11.5</v>
      </c>
      <c r="AW57" s="19" t="n">
        <v>13</v>
      </c>
      <c r="AX57" s="19" t="n">
        <v>14.5</v>
      </c>
      <c r="AY57" s="16" t="n">
        <v>16</v>
      </c>
    </row>
    <row r="58" customFormat="false" ht="13.25" hidden="false" customHeight="false" outlineLevel="0" collapsed="false">
      <c r="A58" s="16" t="n">
        <f aca="false">ROW(A58)-2</f>
        <v>56</v>
      </c>
      <c r="B58" s="19" t="s">
        <v>54</v>
      </c>
      <c r="C58" s="19" t="s">
        <v>57</v>
      </c>
      <c r="D58" s="19" t="s">
        <v>690</v>
      </c>
      <c r="E58" s="19" t="s">
        <v>691</v>
      </c>
      <c r="F58" s="16" t="n">
        <v>48</v>
      </c>
      <c r="G58" s="16" t="n">
        <v>713</v>
      </c>
      <c r="H58" s="19" t="s">
        <v>442</v>
      </c>
      <c r="I58" s="16" t="n">
        <v>30</v>
      </c>
      <c r="J58" s="19" t="s">
        <v>692</v>
      </c>
      <c r="K58" s="16" t="s">
        <v>693</v>
      </c>
      <c r="L58" s="19" t="b">
        <f aca="false">TRUE()</f>
        <v>1</v>
      </c>
      <c r="M58" s="19" t="s">
        <v>420</v>
      </c>
      <c r="N58" s="19" t="s">
        <v>468</v>
      </c>
      <c r="O58" s="16" t="n">
        <v>2</v>
      </c>
      <c r="P58" s="16"/>
      <c r="Q58" s="16"/>
      <c r="R58" s="16"/>
      <c r="S58" s="19" t="s">
        <v>437</v>
      </c>
      <c r="T58" s="19" t="s">
        <v>448</v>
      </c>
      <c r="U58" s="19" t="n">
        <v>10</v>
      </c>
      <c r="V58" s="19" t="n">
        <v>11.5</v>
      </c>
      <c r="W58" s="19" t="n">
        <v>13</v>
      </c>
      <c r="X58" s="19" t="n">
        <v>14.5</v>
      </c>
      <c r="Y58" s="16" t="n">
        <v>16</v>
      </c>
    </row>
    <row r="59" customFormat="false" ht="13.25" hidden="false" customHeight="false" outlineLevel="0" collapsed="false">
      <c r="A59" s="16" t="n">
        <f aca="false">ROW(A59)-2</f>
        <v>57</v>
      </c>
      <c r="B59" s="19" t="s">
        <v>51</v>
      </c>
      <c r="C59" s="19" t="s">
        <v>57</v>
      </c>
      <c r="D59" s="19" t="s">
        <v>694</v>
      </c>
      <c r="E59" s="19" t="s">
        <v>695</v>
      </c>
      <c r="F59" s="16" t="n">
        <v>48</v>
      </c>
      <c r="G59" s="16" t="n">
        <v>713</v>
      </c>
      <c r="H59" s="19" t="s">
        <v>456</v>
      </c>
      <c r="I59" s="16" t="n">
        <v>24</v>
      </c>
      <c r="J59" s="19" t="s">
        <v>696</v>
      </c>
      <c r="K59" s="16" t="s">
        <v>697</v>
      </c>
      <c r="L59" s="19" t="b">
        <f aca="false">TRUE()</f>
        <v>1</v>
      </c>
      <c r="M59" s="19" t="s">
        <v>435</v>
      </c>
      <c r="N59" s="19" t="s">
        <v>436</v>
      </c>
      <c r="O59" s="16"/>
      <c r="P59" s="2"/>
      <c r="Q59" s="2"/>
      <c r="R59" s="2"/>
      <c r="S59" s="19" t="s">
        <v>437</v>
      </c>
      <c r="T59" s="19" t="s">
        <v>625</v>
      </c>
      <c r="U59" s="19" t="n">
        <v>50</v>
      </c>
      <c r="V59" s="19" t="n">
        <v>57.5</v>
      </c>
      <c r="W59" s="19" t="n">
        <v>65</v>
      </c>
      <c r="X59" s="19" t="n">
        <v>72.5</v>
      </c>
      <c r="Y59" s="16" t="n">
        <v>80</v>
      </c>
      <c r="Z59" s="19" t="s">
        <v>420</v>
      </c>
      <c r="AA59" s="19" t="s">
        <v>436</v>
      </c>
      <c r="AB59" s="16" t="n">
        <v>2</v>
      </c>
      <c r="AC59" s="19" t="s">
        <v>445</v>
      </c>
      <c r="AD59" s="19" t="s">
        <v>446</v>
      </c>
      <c r="AE59" s="19" t="s">
        <v>260</v>
      </c>
      <c r="AF59" s="19" t="s">
        <v>445</v>
      </c>
      <c r="AG59" s="19" t="s">
        <v>698</v>
      </c>
      <c r="AH59" s="19" t="n">
        <v>12.5</v>
      </c>
      <c r="AI59" s="19" t="n">
        <v>14.5</v>
      </c>
      <c r="AJ59" s="19" t="n">
        <v>16.5</v>
      </c>
      <c r="AK59" s="19" t="n">
        <v>18.5</v>
      </c>
      <c r="AL59" s="16" t="n">
        <v>20</v>
      </c>
    </row>
    <row r="60" customFormat="false" ht="13.25" hidden="false" customHeight="false" outlineLevel="0" collapsed="false">
      <c r="A60" s="16" t="n">
        <f aca="false">ROW(A60)-2</f>
        <v>58</v>
      </c>
      <c r="B60" s="19" t="s">
        <v>51</v>
      </c>
      <c r="C60" s="19" t="s">
        <v>57</v>
      </c>
      <c r="D60" s="19" t="s">
        <v>699</v>
      </c>
      <c r="E60" s="19" t="s">
        <v>700</v>
      </c>
      <c r="F60" s="16" t="n">
        <v>48</v>
      </c>
      <c r="G60" s="16" t="n">
        <v>713</v>
      </c>
      <c r="H60" s="19" t="s">
        <v>625</v>
      </c>
      <c r="I60" s="16" t="n">
        <v>48</v>
      </c>
      <c r="J60" s="19" t="s">
        <v>701</v>
      </c>
      <c r="K60" s="16" t="s">
        <v>702</v>
      </c>
      <c r="L60" s="19" t="b">
        <f aca="false">TRUE()</f>
        <v>1</v>
      </c>
      <c r="M60" s="19" t="s">
        <v>435</v>
      </c>
      <c r="N60" s="19" t="s">
        <v>436</v>
      </c>
      <c r="O60" s="16"/>
      <c r="P60" s="2"/>
      <c r="Q60" s="2"/>
      <c r="R60" s="2"/>
      <c r="S60" s="19" t="s">
        <v>437</v>
      </c>
      <c r="T60" s="19" t="s">
        <v>625</v>
      </c>
      <c r="U60" s="16" t="n">
        <v>30</v>
      </c>
      <c r="V60" s="16" t="n">
        <v>34.5</v>
      </c>
      <c r="W60" s="16" t="n">
        <v>39</v>
      </c>
      <c r="X60" s="16" t="n">
        <v>43.5</v>
      </c>
      <c r="Y60" s="16" t="n">
        <v>48</v>
      </c>
      <c r="Z60" s="19" t="s">
        <v>420</v>
      </c>
      <c r="AA60" s="19" t="s">
        <v>436</v>
      </c>
      <c r="AB60" s="16" t="n">
        <v>3</v>
      </c>
      <c r="AC60" s="16"/>
      <c r="AD60" s="16"/>
      <c r="AE60" s="16"/>
      <c r="AF60" s="19" t="s">
        <v>437</v>
      </c>
      <c r="AG60" s="19" t="s">
        <v>625</v>
      </c>
      <c r="AH60" s="16" t="n">
        <v>10</v>
      </c>
      <c r="AI60" s="16" t="n">
        <v>11.5</v>
      </c>
      <c r="AJ60" s="16" t="n">
        <v>13</v>
      </c>
      <c r="AK60" s="16" t="n">
        <v>14.5</v>
      </c>
      <c r="AL60" s="16" t="n">
        <v>16</v>
      </c>
      <c r="AM60" s="19" t="s">
        <v>435</v>
      </c>
      <c r="AN60" s="19" t="s">
        <v>436</v>
      </c>
      <c r="AO60" s="16"/>
      <c r="AP60" s="19" t="s">
        <v>420</v>
      </c>
      <c r="AQ60" s="19" t="s">
        <v>446</v>
      </c>
      <c r="AR60" s="16" t="n">
        <v>3</v>
      </c>
      <c r="AS60" s="19" t="s">
        <v>437</v>
      </c>
      <c r="AT60" s="19" t="s">
        <v>438</v>
      </c>
      <c r="AU60" s="16" t="n">
        <v>20</v>
      </c>
      <c r="AV60" s="16" t="n">
        <v>23</v>
      </c>
      <c r="AW60" s="16" t="n">
        <v>26</v>
      </c>
      <c r="AX60" s="16" t="n">
        <v>29</v>
      </c>
      <c r="AY60" s="16" t="n">
        <v>32</v>
      </c>
    </row>
    <row r="61" customFormat="false" ht="13.25" hidden="false" customHeight="false" outlineLevel="0" collapsed="false">
      <c r="A61" s="16" t="n">
        <f aca="false">ROW(A61)-2</f>
        <v>59</v>
      </c>
      <c r="B61" s="19" t="s">
        <v>47</v>
      </c>
      <c r="C61" s="19" t="s">
        <v>48</v>
      </c>
      <c r="D61" s="19" t="s">
        <v>703</v>
      </c>
      <c r="E61" s="19" t="s">
        <v>704</v>
      </c>
      <c r="F61" s="16" t="n">
        <v>42</v>
      </c>
      <c r="G61" s="16" t="n">
        <v>624</v>
      </c>
      <c r="H61" s="19" t="s">
        <v>432</v>
      </c>
      <c r="I61" s="16" t="n">
        <v>15</v>
      </c>
      <c r="J61" s="19" t="s">
        <v>705</v>
      </c>
      <c r="K61" s="16" t="s">
        <v>706</v>
      </c>
      <c r="L61" s="19" t="b">
        <f aca="false">TRUE()</f>
        <v>1</v>
      </c>
      <c r="M61" s="19" t="s">
        <v>453</v>
      </c>
      <c r="N61" s="19" t="s">
        <v>436</v>
      </c>
      <c r="O61" s="16"/>
      <c r="P61" s="16"/>
      <c r="Q61" s="16"/>
      <c r="R61" s="16"/>
      <c r="S61" s="19" t="s">
        <v>437</v>
      </c>
      <c r="T61" s="19" t="s">
        <v>564</v>
      </c>
      <c r="U61" s="16" t="n">
        <v>15</v>
      </c>
      <c r="V61" s="16" t="n">
        <f aca="false">$U61+($Y61-$U61)/4*1</f>
        <v>17.25</v>
      </c>
      <c r="W61" s="16" t="n">
        <f aca="false">$U61+($Y61-$U61)/4*2</f>
        <v>19.5</v>
      </c>
      <c r="X61" s="16" t="n">
        <f aca="false">$U61+($Y61-$U61)/4*3</f>
        <v>21.75</v>
      </c>
      <c r="Y61" s="16" t="n">
        <v>24</v>
      </c>
    </row>
    <row r="62" customFormat="false" ht="12.8" hidden="false" customHeight="true" outlineLevel="0" collapsed="false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</row>
    <row r="63" customFormat="false" ht="12.8" hidden="false" customHeight="true" outlineLevel="0" collapsed="false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</row>
    <row r="64" customFormat="false" ht="12.8" hidden="false" customHeight="true" outlineLevel="0" collapsed="false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</row>
    <row r="65" customFormat="false" ht="12.8" hidden="false" customHeight="true" outlineLevel="0" collapsed="false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</row>
    <row r="66" customFormat="false" ht="12.8" hidden="false" customHeight="true" outlineLevel="0" collapsed="false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</row>
    <row r="67" customFormat="false" ht="12.8" hidden="false" customHeight="true" outlineLevel="0" collapsed="false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</row>
    <row r="68" customFormat="false" ht="12.8" hidden="false" customHeight="true" outlineLevel="0" collapsed="false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</row>
    <row r="69" customFormat="false" ht="12.8" hidden="false" customHeight="true" outlineLevel="0" collapsed="false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</row>
    <row r="70" customFormat="false" ht="12.8" hidden="false" customHeight="true" outlineLevel="0" collapsed="false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</row>
    <row r="71" customFormat="false" ht="12.8" hidden="false" customHeight="true" outlineLevel="0" collapsed="false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</row>
    <row r="72" customFormat="false" ht="12.8" hidden="false" customHeight="true" outlineLevel="0" collapsed="false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</row>
    <row r="73" customFormat="false" ht="12.8" hidden="false" customHeight="true" outlineLevel="0" collapsed="false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</row>
    <row r="74" customFormat="false" ht="12.8" hidden="false" customHeight="true" outlineLevel="0" collapsed="false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</row>
    <row r="75" customFormat="false" ht="12.8" hidden="false" customHeight="true" outlineLevel="0" collapsed="false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</row>
    <row r="76" customFormat="false" ht="12.8" hidden="false" customHeight="true" outlineLevel="0" collapsed="false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</row>
    <row r="77" customFormat="false" ht="12.8" hidden="false" customHeight="true" outlineLevel="0" collapsed="false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</row>
    <row r="78" customFormat="false" ht="12.8" hidden="false" customHeight="true" outlineLevel="0" collapsed="false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</row>
    <row r="79" customFormat="false" ht="12.8" hidden="false" customHeight="true" outlineLevel="0" collapsed="false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</row>
    <row r="80" customFormat="false" ht="12.8" hidden="false" customHeight="true" outlineLevel="0" collapsed="false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</row>
    <row r="81" customFormat="false" ht="12.8" hidden="false" customHeight="true" outlineLevel="0" collapsed="false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</row>
    <row r="82" customFormat="false" ht="12.8" hidden="false" customHeight="true" outlineLevel="0" collapsed="false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</row>
    <row r="83" customFormat="false" ht="12.8" hidden="false" customHeight="true" outlineLevel="0" collapsed="false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</row>
    <row r="84" customFormat="false" ht="12.8" hidden="false" customHeight="true" outlineLevel="0" collapsed="false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</row>
    <row r="85" customFormat="false" ht="12.8" hidden="false" customHeight="true" outlineLevel="0" collapsed="false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</row>
    <row r="86" customFormat="false" ht="12.8" hidden="false" customHeight="true" outlineLevel="0" collapsed="false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</row>
    <row r="87" customFormat="false" ht="12.8" hidden="false" customHeight="true" outlineLevel="0" collapsed="false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</row>
    <row r="88" customFormat="false" ht="12.8" hidden="false" customHeight="true" outlineLevel="0" collapsed="false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</row>
    <row r="89" customFormat="false" ht="12.8" hidden="false" customHeight="true" outlineLevel="0" collapsed="false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</row>
    <row r="90" customFormat="false" ht="12.8" hidden="false" customHeight="true" outlineLevel="0" collapsed="false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</row>
    <row r="91" customFormat="false" ht="12.8" hidden="false" customHeight="true" outlineLevel="0" collapsed="false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</row>
    <row r="92" customFormat="false" ht="12.8" hidden="false" customHeight="true" outlineLevel="0" collapsed="false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</row>
    <row r="93" customFormat="false" ht="12.8" hidden="false" customHeight="true" outlineLevel="0" collapsed="false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</row>
    <row r="94" customFormat="false" ht="12.8" hidden="false" customHeight="true" outlineLevel="0" collapsed="false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</row>
    <row r="95" customFormat="false" ht="12.8" hidden="false" customHeight="true" outlineLevel="0" collapsed="false">
      <c r="A95" s="16"/>
      <c r="D95" s="16"/>
      <c r="E95" s="16"/>
      <c r="F95" s="16"/>
      <c r="G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Y95" s="16"/>
    </row>
    <row r="96" customFormat="false" ht="12.8" hidden="false" customHeight="true" outlineLevel="0" collapsed="false">
      <c r="A96" s="16"/>
      <c r="D96" s="16"/>
      <c r="E96" s="16"/>
      <c r="F96" s="16"/>
      <c r="G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Y96" s="16"/>
    </row>
    <row r="97" customFormat="false" ht="12.8" hidden="false" customHeight="true" outlineLevel="0" collapsed="false">
      <c r="A97" s="16"/>
      <c r="D97" s="16"/>
      <c r="E97" s="16"/>
      <c r="F97" s="16"/>
      <c r="G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Y97" s="16"/>
    </row>
    <row r="98" customFormat="false" ht="12.8" hidden="false" customHeight="true" outlineLevel="0" collapsed="false">
      <c r="A98" s="16"/>
      <c r="D98" s="16"/>
      <c r="E98" s="16"/>
      <c r="F98" s="16"/>
      <c r="G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Y98" s="16"/>
    </row>
    <row r="99" customFormat="false" ht="12.8" hidden="false" customHeight="true" outlineLevel="0" collapsed="false">
      <c r="A99" s="16"/>
      <c r="D99" s="16"/>
      <c r="E99" s="16"/>
      <c r="F99" s="16"/>
      <c r="G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Y99" s="16"/>
    </row>
    <row r="100" customFormat="false" ht="12.8" hidden="false" customHeight="true" outlineLevel="0" collapsed="false">
      <c r="A100" s="16"/>
      <c r="D100" s="16"/>
      <c r="E100" s="16"/>
      <c r="F100" s="16"/>
      <c r="G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Y100" s="16"/>
    </row>
    <row r="101" customFormat="false" ht="12.8" hidden="false" customHeight="true" outlineLevel="0" collapsed="false">
      <c r="A101" s="16"/>
      <c r="D101" s="16"/>
      <c r="E101" s="16"/>
      <c r="F101" s="16"/>
      <c r="G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Y101" s="16"/>
    </row>
    <row r="102" customFormat="false" ht="12.8" hidden="false" customHeight="true" outlineLevel="0" collapsed="false">
      <c r="A102" s="16"/>
      <c r="D102" s="16"/>
      <c r="E102" s="16"/>
      <c r="F102" s="16"/>
      <c r="G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Y102" s="16"/>
    </row>
    <row r="103" customFormat="false" ht="12.8" hidden="false" customHeight="true" outlineLevel="0" collapsed="false">
      <c r="A103" s="16"/>
      <c r="D103" s="16"/>
      <c r="E103" s="16"/>
      <c r="F103" s="16"/>
      <c r="G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Y103" s="16"/>
    </row>
    <row r="104" customFormat="false" ht="12.8" hidden="false" customHeight="true" outlineLevel="0" collapsed="false">
      <c r="A104" s="16"/>
      <c r="D104" s="16"/>
      <c r="E104" s="16"/>
      <c r="F104" s="16"/>
      <c r="G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Y104" s="16"/>
    </row>
    <row r="105" customFormat="false" ht="12.8" hidden="false" customHeight="true" outlineLevel="0" collapsed="false">
      <c r="A105" s="16"/>
      <c r="D105" s="16"/>
      <c r="E105" s="16"/>
      <c r="F105" s="16"/>
      <c r="G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Y105" s="16"/>
    </row>
    <row r="106" customFormat="false" ht="12.8" hidden="false" customHeight="true" outlineLevel="0" collapsed="false">
      <c r="A106" s="16"/>
      <c r="D106" s="16"/>
      <c r="E106" s="16"/>
      <c r="F106" s="16"/>
      <c r="G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Y106" s="16"/>
    </row>
    <row r="107" customFormat="false" ht="12.8" hidden="false" customHeight="true" outlineLevel="0" collapsed="false">
      <c r="A107" s="16"/>
      <c r="D107" s="16"/>
      <c r="E107" s="16"/>
      <c r="F107" s="16"/>
      <c r="G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Y107" s="16"/>
    </row>
    <row r="108" customFormat="false" ht="12.8" hidden="false" customHeight="true" outlineLevel="0" collapsed="false">
      <c r="A108" s="16"/>
      <c r="D108" s="16"/>
      <c r="E108" s="16"/>
      <c r="F108" s="16"/>
      <c r="G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Y108" s="16"/>
    </row>
    <row r="109" customFormat="false" ht="12.8" hidden="false" customHeight="true" outlineLevel="0" collapsed="false">
      <c r="A109" s="16"/>
      <c r="D109" s="16"/>
      <c r="E109" s="16"/>
      <c r="F109" s="16"/>
      <c r="G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Y109" s="16"/>
    </row>
    <row r="110" customFormat="false" ht="12.8" hidden="false" customHeight="true" outlineLevel="0" collapsed="false">
      <c r="A110" s="16"/>
      <c r="D110" s="16"/>
      <c r="E110" s="16"/>
      <c r="F110" s="16"/>
      <c r="G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Y110" s="16"/>
    </row>
    <row r="111" customFormat="false" ht="12.8" hidden="false" customHeight="true" outlineLevel="0" collapsed="false">
      <c r="A111" s="16"/>
      <c r="D111" s="16"/>
      <c r="E111" s="16"/>
      <c r="F111" s="16"/>
      <c r="G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Y111" s="16"/>
    </row>
    <row r="112" customFormat="false" ht="12.8" hidden="false" customHeight="true" outlineLevel="0" collapsed="false">
      <c r="A112" s="16"/>
      <c r="D112" s="16"/>
      <c r="E112" s="16"/>
      <c r="F112" s="16"/>
      <c r="G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Y112" s="16"/>
    </row>
    <row r="113" customFormat="false" ht="12.8" hidden="false" customHeight="true" outlineLevel="0" collapsed="false">
      <c r="A113" s="16"/>
      <c r="D113" s="16"/>
      <c r="E113" s="16"/>
      <c r="F113" s="16"/>
      <c r="G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Y113" s="16"/>
    </row>
    <row r="114" customFormat="false" ht="12.8" hidden="false" customHeight="true" outlineLevel="0" collapsed="false">
      <c r="A114" s="16"/>
      <c r="D114" s="16"/>
      <c r="E114" s="16"/>
      <c r="F114" s="16"/>
      <c r="G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Y114" s="16"/>
    </row>
    <row r="115" customFormat="false" ht="12.8" hidden="false" customHeight="true" outlineLevel="0" collapsed="false">
      <c r="A115" s="16"/>
      <c r="D115" s="16"/>
      <c r="E115" s="16"/>
      <c r="F115" s="16"/>
      <c r="G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Y115" s="16"/>
    </row>
    <row r="116" customFormat="false" ht="12.8" hidden="false" customHeight="true" outlineLevel="0" collapsed="false">
      <c r="A116" s="16"/>
      <c r="D116" s="16"/>
      <c r="E116" s="16"/>
      <c r="F116" s="16"/>
      <c r="G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Y116" s="16"/>
    </row>
    <row r="117" customFormat="false" ht="12.8" hidden="false" customHeight="true" outlineLevel="0" collapsed="false">
      <c r="A117" s="16"/>
      <c r="D117" s="16"/>
      <c r="E117" s="16"/>
      <c r="F117" s="16"/>
      <c r="G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Y117" s="16"/>
    </row>
    <row r="118" customFormat="false" ht="12.8" hidden="false" customHeight="true" outlineLevel="0" collapsed="false">
      <c r="A118" s="16"/>
      <c r="D118" s="16"/>
      <c r="E118" s="16"/>
      <c r="F118" s="16"/>
      <c r="G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Y118" s="16"/>
    </row>
    <row r="119" customFormat="false" ht="12.8" hidden="false" customHeight="true" outlineLevel="0" collapsed="false">
      <c r="A119" s="16"/>
      <c r="D119" s="16"/>
      <c r="E119" s="16"/>
      <c r="F119" s="16"/>
      <c r="G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Y119" s="16"/>
    </row>
    <row r="120" customFormat="false" ht="12.8" hidden="false" customHeight="true" outlineLevel="0" collapsed="false">
      <c r="A120" s="16"/>
      <c r="D120" s="16"/>
      <c r="E120" s="16"/>
      <c r="F120" s="16"/>
      <c r="G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Y120" s="16"/>
    </row>
    <row r="121" customFormat="false" ht="12.8" hidden="false" customHeight="true" outlineLevel="0" collapsed="false">
      <c r="A121" s="16"/>
      <c r="D121" s="16"/>
      <c r="E121" s="16"/>
      <c r="F121" s="16"/>
      <c r="G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Y121" s="16"/>
    </row>
    <row r="122" customFormat="false" ht="12.8" hidden="false" customHeight="true" outlineLevel="0" collapsed="false">
      <c r="A122" s="16"/>
      <c r="D122" s="16"/>
      <c r="E122" s="16"/>
      <c r="F122" s="16"/>
      <c r="G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Y122" s="16"/>
    </row>
    <row r="123" customFormat="false" ht="12.8" hidden="false" customHeight="true" outlineLevel="0" collapsed="false">
      <c r="A123" s="16"/>
      <c r="D123" s="16"/>
      <c r="E123" s="16"/>
      <c r="F123" s="16"/>
      <c r="G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Y123" s="16"/>
    </row>
    <row r="124" customFormat="false" ht="12.8" hidden="false" customHeight="true" outlineLevel="0" collapsed="false">
      <c r="A124" s="16"/>
      <c r="D124" s="16"/>
      <c r="E124" s="16"/>
      <c r="F124" s="16"/>
      <c r="G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Y124" s="16"/>
    </row>
    <row r="125" customFormat="false" ht="12.8" hidden="false" customHeight="true" outlineLevel="0" collapsed="false">
      <c r="A125" s="16"/>
      <c r="D125" s="16"/>
      <c r="E125" s="16"/>
      <c r="F125" s="16"/>
      <c r="G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Y125" s="16"/>
    </row>
    <row r="126" customFormat="false" ht="12.8" hidden="false" customHeight="true" outlineLevel="0" collapsed="false">
      <c r="A126" s="16"/>
      <c r="D126" s="16"/>
      <c r="E126" s="16"/>
      <c r="F126" s="16"/>
      <c r="G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Y126" s="16"/>
    </row>
    <row r="127" customFormat="false" ht="12.8" hidden="false" customHeight="true" outlineLevel="0" collapsed="false">
      <c r="A127" s="16"/>
      <c r="D127" s="16"/>
      <c r="E127" s="16"/>
      <c r="F127" s="16"/>
      <c r="G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Y127" s="16"/>
    </row>
    <row r="128" customFormat="false" ht="12.8" hidden="false" customHeight="true" outlineLevel="0" collapsed="false">
      <c r="A128" s="16"/>
      <c r="D128" s="16"/>
      <c r="E128" s="16"/>
      <c r="F128" s="16"/>
      <c r="G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Y128" s="16"/>
    </row>
    <row r="129" customFormat="false" ht="12.8" hidden="false" customHeight="true" outlineLevel="0" collapsed="false">
      <c r="A129" s="16"/>
      <c r="D129" s="16"/>
      <c r="E129" s="16"/>
      <c r="F129" s="16"/>
      <c r="G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Y129" s="16"/>
    </row>
    <row r="130" customFormat="false" ht="12.8" hidden="false" customHeight="true" outlineLevel="0" collapsed="false">
      <c r="A130" s="16"/>
      <c r="D130" s="16"/>
      <c r="E130" s="16"/>
      <c r="F130" s="16"/>
      <c r="G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Y130" s="16"/>
    </row>
    <row r="131" customFormat="false" ht="12.8" hidden="false" customHeight="true" outlineLevel="0" collapsed="false">
      <c r="A131" s="16"/>
      <c r="D131" s="16"/>
      <c r="E131" s="16"/>
      <c r="F131" s="16"/>
      <c r="G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Y131" s="16"/>
    </row>
    <row r="132" customFormat="false" ht="12.8" hidden="false" customHeight="true" outlineLevel="0" collapsed="false">
      <c r="A132" s="16"/>
      <c r="D132" s="16"/>
      <c r="E132" s="16"/>
      <c r="F132" s="16"/>
      <c r="G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Y132" s="16"/>
    </row>
    <row r="133" customFormat="false" ht="12.8" hidden="false" customHeight="true" outlineLevel="0" collapsed="false">
      <c r="A133" s="16"/>
      <c r="D133" s="16"/>
      <c r="E133" s="16"/>
      <c r="F133" s="16"/>
      <c r="G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Y133" s="16"/>
    </row>
    <row r="134" customFormat="false" ht="12.8" hidden="false" customHeight="true" outlineLevel="0" collapsed="false">
      <c r="A134" s="16"/>
      <c r="D134" s="16"/>
      <c r="E134" s="16"/>
      <c r="F134" s="16"/>
      <c r="G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Y134" s="16"/>
    </row>
    <row r="135" customFormat="false" ht="12.8" hidden="false" customHeight="true" outlineLevel="0" collapsed="false">
      <c r="A135" s="16"/>
      <c r="D135" s="16"/>
      <c r="E135" s="16"/>
      <c r="F135" s="16"/>
      <c r="G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Y135" s="16"/>
    </row>
    <row r="136" customFormat="false" ht="12.8" hidden="false" customHeight="true" outlineLevel="0" collapsed="false">
      <c r="A136" s="16"/>
      <c r="D136" s="16"/>
      <c r="E136" s="16"/>
      <c r="F136" s="16"/>
      <c r="G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Y136" s="16"/>
    </row>
    <row r="137" customFormat="false" ht="12.8" hidden="false" customHeight="true" outlineLevel="0" collapsed="false">
      <c r="A137" s="16"/>
      <c r="D137" s="16"/>
      <c r="E137" s="16"/>
      <c r="F137" s="16"/>
      <c r="G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Y137" s="16"/>
    </row>
    <row r="138" customFormat="false" ht="12.8" hidden="false" customHeight="true" outlineLevel="0" collapsed="false">
      <c r="A138" s="16"/>
      <c r="D138" s="16"/>
      <c r="E138" s="16"/>
      <c r="F138" s="16"/>
      <c r="G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Y138" s="16"/>
    </row>
    <row r="139" customFormat="false" ht="12.8" hidden="false" customHeight="true" outlineLevel="0" collapsed="false">
      <c r="A139" s="16"/>
      <c r="D139" s="16"/>
      <c r="E139" s="16"/>
      <c r="F139" s="16"/>
      <c r="G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Y139" s="16"/>
    </row>
    <row r="140" customFormat="false" ht="12.8" hidden="false" customHeight="true" outlineLevel="0" collapsed="false">
      <c r="A140" s="16"/>
      <c r="D140" s="16"/>
      <c r="E140" s="16"/>
      <c r="F140" s="16"/>
      <c r="G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Y140" s="16"/>
    </row>
    <row r="141" customFormat="false" ht="12.8" hidden="false" customHeight="true" outlineLevel="0" collapsed="false">
      <c r="A141" s="16"/>
      <c r="D141" s="16"/>
      <c r="E141" s="16"/>
      <c r="F141" s="16"/>
      <c r="G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Y141" s="16"/>
    </row>
    <row r="142" customFormat="false" ht="12.8" hidden="false" customHeight="true" outlineLevel="0" collapsed="false">
      <c r="A142" s="16"/>
      <c r="D142" s="16"/>
      <c r="E142" s="16"/>
      <c r="F142" s="16"/>
      <c r="G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Y142" s="16"/>
    </row>
    <row r="143" customFormat="false" ht="12.8" hidden="false" customHeight="true" outlineLevel="0" collapsed="false">
      <c r="A143" s="16"/>
      <c r="D143" s="16"/>
      <c r="E143" s="16"/>
      <c r="F143" s="16"/>
      <c r="G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Y143" s="16"/>
    </row>
    <row r="144" customFormat="false" ht="12.8" hidden="false" customHeight="true" outlineLevel="0" collapsed="false">
      <c r="A144" s="16"/>
      <c r="D144" s="16"/>
      <c r="E144" s="16"/>
      <c r="F144" s="16"/>
      <c r="G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Y144" s="16"/>
    </row>
    <row r="145" customFormat="false" ht="12.8" hidden="false" customHeight="true" outlineLevel="0" collapsed="false">
      <c r="A145" s="16"/>
      <c r="D145" s="16"/>
      <c r="E145" s="16"/>
      <c r="F145" s="16"/>
      <c r="G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Y145" s="16"/>
    </row>
    <row r="146" customFormat="false" ht="12.8" hidden="false" customHeight="true" outlineLevel="0" collapsed="false">
      <c r="A146" s="16"/>
      <c r="D146" s="16"/>
      <c r="E146" s="16"/>
      <c r="F146" s="16"/>
      <c r="G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Y146" s="16"/>
    </row>
    <row r="147" customFormat="false" ht="12.8" hidden="false" customHeight="true" outlineLevel="0" collapsed="false">
      <c r="A147" s="16"/>
      <c r="D147" s="16"/>
      <c r="E147" s="16"/>
      <c r="F147" s="16"/>
      <c r="G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Y147" s="16"/>
    </row>
    <row r="148" customFormat="false" ht="12.8" hidden="false" customHeight="true" outlineLevel="0" collapsed="false">
      <c r="A148" s="16"/>
      <c r="D148" s="16"/>
      <c r="E148" s="16"/>
      <c r="F148" s="16"/>
      <c r="G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Y148" s="16"/>
    </row>
    <row r="149" customFormat="false" ht="12.8" hidden="false" customHeight="true" outlineLevel="0" collapsed="false">
      <c r="A149" s="16"/>
      <c r="D149" s="16"/>
      <c r="E149" s="16"/>
      <c r="F149" s="16"/>
      <c r="G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Y149" s="16"/>
    </row>
    <row r="150" customFormat="false" ht="12.8" hidden="false" customHeight="true" outlineLevel="0" collapsed="false">
      <c r="A150" s="16"/>
      <c r="D150" s="16"/>
      <c r="E150" s="16"/>
      <c r="F150" s="16"/>
      <c r="G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Y150" s="16"/>
    </row>
    <row r="151" customFormat="false" ht="12.8" hidden="false" customHeight="true" outlineLevel="0" collapsed="false">
      <c r="A151" s="16"/>
      <c r="D151" s="16"/>
      <c r="E151" s="16"/>
      <c r="F151" s="16"/>
      <c r="G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Y151" s="16"/>
    </row>
    <row r="152" customFormat="false" ht="12.8" hidden="false" customHeight="true" outlineLevel="0" collapsed="false">
      <c r="A152" s="16"/>
      <c r="D152" s="16"/>
      <c r="E152" s="16"/>
      <c r="F152" s="16"/>
      <c r="G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Y152" s="16"/>
    </row>
    <row r="153" customFormat="false" ht="12.8" hidden="false" customHeight="true" outlineLevel="0" collapsed="false">
      <c r="A153" s="16"/>
      <c r="D153" s="16"/>
      <c r="E153" s="16"/>
      <c r="F153" s="16"/>
      <c r="G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Y153" s="16"/>
    </row>
    <row r="154" customFormat="false" ht="12.8" hidden="false" customHeight="true" outlineLevel="0" collapsed="false">
      <c r="A154" s="16"/>
      <c r="D154" s="16"/>
      <c r="E154" s="16"/>
      <c r="F154" s="16"/>
      <c r="G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Y154" s="16"/>
    </row>
    <row r="155" customFormat="false" ht="12.8" hidden="false" customHeight="true" outlineLevel="0" collapsed="false">
      <c r="A155" s="16"/>
      <c r="D155" s="16"/>
      <c r="E155" s="16"/>
      <c r="F155" s="16"/>
      <c r="G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Y155" s="16"/>
    </row>
    <row r="156" customFormat="false" ht="12.8" hidden="false" customHeight="true" outlineLevel="0" collapsed="false">
      <c r="A156" s="16"/>
      <c r="D156" s="16"/>
      <c r="E156" s="16"/>
      <c r="F156" s="16"/>
      <c r="G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Y156" s="16"/>
    </row>
    <row r="157" customFormat="false" ht="12.8" hidden="false" customHeight="true" outlineLevel="0" collapsed="false">
      <c r="A157" s="16"/>
      <c r="D157" s="16"/>
      <c r="E157" s="16"/>
      <c r="F157" s="16"/>
      <c r="G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Y157" s="16"/>
    </row>
    <row r="158" customFormat="false" ht="12.8" hidden="false" customHeight="true" outlineLevel="0" collapsed="false">
      <c r="A158" s="16"/>
      <c r="D158" s="16"/>
      <c r="E158" s="16"/>
      <c r="F158" s="16"/>
      <c r="G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Y158" s="16"/>
    </row>
    <row r="159" customFormat="false" ht="12.8" hidden="false" customHeight="true" outlineLevel="0" collapsed="false">
      <c r="A159" s="16"/>
      <c r="D159" s="16"/>
      <c r="E159" s="16"/>
      <c r="F159" s="16"/>
      <c r="G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Y159" s="16"/>
    </row>
    <row r="160" customFormat="false" ht="12.8" hidden="false" customHeight="true" outlineLevel="0" collapsed="false">
      <c r="A160" s="16"/>
      <c r="D160" s="16"/>
      <c r="E160" s="16"/>
      <c r="F160" s="16"/>
      <c r="G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Y160" s="16"/>
    </row>
    <row r="161" customFormat="false" ht="12.8" hidden="false" customHeight="true" outlineLevel="0" collapsed="false">
      <c r="A161" s="16"/>
      <c r="D161" s="16"/>
      <c r="E161" s="16"/>
      <c r="F161" s="16"/>
      <c r="G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Y161" s="16"/>
    </row>
    <row r="162" customFormat="false" ht="12.8" hidden="false" customHeight="true" outlineLevel="0" collapsed="false">
      <c r="A162" s="16"/>
      <c r="D162" s="16"/>
      <c r="E162" s="16"/>
      <c r="F162" s="16"/>
      <c r="G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Y162" s="16"/>
    </row>
    <row r="163" customFormat="false" ht="12.8" hidden="false" customHeight="true" outlineLevel="0" collapsed="false">
      <c r="A163" s="16"/>
      <c r="D163" s="16"/>
      <c r="E163" s="16"/>
      <c r="F163" s="16"/>
      <c r="G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Y163" s="16"/>
    </row>
    <row r="164" customFormat="false" ht="12.8" hidden="false" customHeight="true" outlineLevel="0" collapsed="false">
      <c r="A164" s="16"/>
      <c r="D164" s="16"/>
      <c r="E164" s="16"/>
      <c r="F164" s="16"/>
      <c r="G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Y164" s="16"/>
    </row>
    <row r="165" customFormat="false" ht="12.8" hidden="false" customHeight="true" outlineLevel="0" collapsed="false">
      <c r="A165" s="16"/>
      <c r="D165" s="16"/>
      <c r="E165" s="16"/>
      <c r="F165" s="16"/>
      <c r="G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Y165" s="16"/>
    </row>
    <row r="166" customFormat="false" ht="12.8" hidden="false" customHeight="true" outlineLevel="0" collapsed="false">
      <c r="A166" s="16"/>
      <c r="D166" s="16"/>
      <c r="E166" s="16"/>
      <c r="F166" s="16"/>
      <c r="G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Y166" s="16"/>
    </row>
    <row r="167" customFormat="false" ht="12.8" hidden="false" customHeight="true" outlineLevel="0" collapsed="false">
      <c r="A167" s="16"/>
      <c r="D167" s="16"/>
      <c r="E167" s="16"/>
      <c r="F167" s="16"/>
      <c r="G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Y167" s="16"/>
    </row>
    <row r="168" customFormat="false" ht="12.8" hidden="false" customHeight="true" outlineLevel="0" collapsed="false">
      <c r="A168" s="16"/>
      <c r="D168" s="16"/>
      <c r="E168" s="16"/>
      <c r="F168" s="16"/>
      <c r="G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Y168" s="16"/>
    </row>
    <row r="169" customFormat="false" ht="12.8" hidden="false" customHeight="true" outlineLevel="0" collapsed="false">
      <c r="A169" s="16"/>
      <c r="D169" s="16"/>
      <c r="E169" s="16"/>
      <c r="F169" s="16"/>
      <c r="G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Y169" s="16"/>
    </row>
    <row r="170" customFormat="false" ht="12.8" hidden="false" customHeight="true" outlineLevel="0" collapsed="false">
      <c r="A170" s="16"/>
      <c r="D170" s="16"/>
      <c r="E170" s="16"/>
      <c r="F170" s="16"/>
      <c r="G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Y170" s="16"/>
    </row>
    <row r="171" customFormat="false" ht="12.8" hidden="false" customHeight="true" outlineLevel="0" collapsed="false">
      <c r="A171" s="16"/>
      <c r="D171" s="16"/>
      <c r="E171" s="16"/>
      <c r="F171" s="16"/>
      <c r="G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Y171" s="16"/>
    </row>
    <row r="172" customFormat="false" ht="12.8" hidden="false" customHeight="true" outlineLevel="0" collapsed="false">
      <c r="A172" s="16"/>
      <c r="D172" s="16"/>
      <c r="E172" s="16"/>
      <c r="F172" s="16"/>
      <c r="G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Y172" s="16"/>
    </row>
    <row r="173" customFormat="false" ht="12.8" hidden="false" customHeight="true" outlineLevel="0" collapsed="false">
      <c r="A173" s="16"/>
      <c r="D173" s="16"/>
      <c r="E173" s="16"/>
      <c r="F173" s="16"/>
      <c r="G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Y173" s="16"/>
    </row>
    <row r="174" customFormat="false" ht="12.8" hidden="false" customHeight="true" outlineLevel="0" collapsed="false">
      <c r="A174" s="16"/>
      <c r="D174" s="16"/>
      <c r="E174" s="16"/>
      <c r="F174" s="16"/>
      <c r="G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Y174" s="16"/>
    </row>
    <row r="175" customFormat="false" ht="12.8" hidden="false" customHeight="true" outlineLevel="0" collapsed="false">
      <c r="A175" s="16"/>
      <c r="D175" s="16"/>
      <c r="E175" s="16"/>
      <c r="F175" s="16"/>
      <c r="G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Y175" s="16"/>
    </row>
    <row r="176" customFormat="false" ht="12.8" hidden="false" customHeight="true" outlineLevel="0" collapsed="false">
      <c r="A176" s="16"/>
      <c r="D176" s="16"/>
      <c r="E176" s="16"/>
      <c r="F176" s="16"/>
      <c r="G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Y176" s="16"/>
    </row>
    <row r="177" customFormat="false" ht="12.8" hidden="false" customHeight="true" outlineLevel="0" collapsed="false">
      <c r="A177" s="16"/>
      <c r="D177" s="16"/>
      <c r="E177" s="16"/>
      <c r="F177" s="16"/>
      <c r="G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Y177" s="16"/>
    </row>
    <row r="178" customFormat="false" ht="12.8" hidden="false" customHeight="true" outlineLevel="0" collapsed="false">
      <c r="A178" s="16"/>
      <c r="D178" s="16"/>
      <c r="E178" s="16"/>
      <c r="F178" s="16"/>
      <c r="G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Y178" s="16"/>
    </row>
    <row r="179" customFormat="false" ht="12.8" hidden="false" customHeight="true" outlineLevel="0" collapsed="false">
      <c r="A179" s="16"/>
      <c r="D179" s="16"/>
      <c r="E179" s="16"/>
      <c r="F179" s="16"/>
      <c r="G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Y179" s="16"/>
    </row>
    <row r="180" customFormat="false" ht="12.8" hidden="false" customHeight="true" outlineLevel="0" collapsed="false">
      <c r="A180" s="16"/>
      <c r="D180" s="16"/>
      <c r="E180" s="16"/>
      <c r="F180" s="16"/>
      <c r="G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Y180" s="16"/>
    </row>
    <row r="181" customFormat="false" ht="12.8" hidden="false" customHeight="true" outlineLevel="0" collapsed="false">
      <c r="A181" s="16"/>
      <c r="D181" s="16"/>
      <c r="E181" s="16"/>
      <c r="F181" s="16"/>
      <c r="G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Y181" s="16"/>
    </row>
    <row r="182" customFormat="false" ht="12.8" hidden="false" customHeight="true" outlineLevel="0" collapsed="false">
      <c r="A182" s="16"/>
      <c r="D182" s="16"/>
      <c r="E182" s="16"/>
      <c r="F182" s="16"/>
      <c r="G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Y182" s="16"/>
    </row>
    <row r="183" customFormat="false" ht="12.8" hidden="false" customHeight="true" outlineLevel="0" collapsed="false">
      <c r="A183" s="16"/>
      <c r="D183" s="16"/>
      <c r="E183" s="16"/>
      <c r="F183" s="16"/>
      <c r="G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Y183" s="16"/>
    </row>
    <row r="184" customFormat="false" ht="12.8" hidden="false" customHeight="true" outlineLevel="0" collapsed="false">
      <c r="A184" s="16"/>
      <c r="D184" s="16"/>
      <c r="E184" s="16"/>
      <c r="F184" s="16"/>
      <c r="G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Y184" s="16"/>
    </row>
    <row r="185" customFormat="false" ht="12.8" hidden="false" customHeight="true" outlineLevel="0" collapsed="false">
      <c r="A185" s="16"/>
      <c r="D185" s="16"/>
      <c r="E185" s="16"/>
      <c r="F185" s="16"/>
      <c r="G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Y185" s="16"/>
    </row>
    <row r="186" customFormat="false" ht="12.8" hidden="false" customHeight="true" outlineLevel="0" collapsed="false">
      <c r="A186" s="16"/>
      <c r="D186" s="16"/>
      <c r="E186" s="16"/>
      <c r="F186" s="16"/>
      <c r="G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Y186" s="16"/>
    </row>
    <row r="187" customFormat="false" ht="12.8" hidden="false" customHeight="true" outlineLevel="0" collapsed="false">
      <c r="A187" s="16"/>
      <c r="D187" s="16"/>
      <c r="E187" s="16"/>
      <c r="F187" s="16"/>
      <c r="G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Y187" s="16"/>
    </row>
    <row r="188" customFormat="false" ht="12.8" hidden="false" customHeight="true" outlineLevel="0" collapsed="false">
      <c r="A188" s="16"/>
      <c r="D188" s="16"/>
      <c r="E188" s="16"/>
      <c r="F188" s="16"/>
      <c r="G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Y188" s="16"/>
    </row>
    <row r="189" customFormat="false" ht="12.8" hidden="false" customHeight="true" outlineLevel="0" collapsed="false">
      <c r="A189" s="16"/>
      <c r="D189" s="16"/>
      <c r="E189" s="16"/>
      <c r="F189" s="16"/>
      <c r="G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Y189" s="16"/>
    </row>
    <row r="190" customFormat="false" ht="12.8" hidden="false" customHeight="true" outlineLevel="0" collapsed="false">
      <c r="A190" s="16"/>
      <c r="D190" s="16"/>
      <c r="E190" s="16"/>
      <c r="F190" s="16"/>
      <c r="G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Y190" s="16"/>
    </row>
    <row r="191" customFormat="false" ht="12.8" hidden="false" customHeight="true" outlineLevel="0" collapsed="false">
      <c r="A191" s="16"/>
      <c r="D191" s="16"/>
      <c r="E191" s="16"/>
      <c r="F191" s="16"/>
      <c r="G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Y191" s="16"/>
    </row>
    <row r="192" customFormat="false" ht="12.8" hidden="false" customHeight="true" outlineLevel="0" collapsed="false">
      <c r="A192" s="16"/>
      <c r="D192" s="16"/>
      <c r="E192" s="16"/>
      <c r="F192" s="16"/>
      <c r="G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Y192" s="16"/>
    </row>
    <row r="193" customFormat="false" ht="12.8" hidden="false" customHeight="true" outlineLevel="0" collapsed="false">
      <c r="A193" s="16"/>
      <c r="D193" s="16"/>
      <c r="E193" s="16"/>
      <c r="F193" s="16"/>
      <c r="G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Y193" s="16"/>
    </row>
    <row r="194" customFormat="false" ht="12.8" hidden="false" customHeight="true" outlineLevel="0" collapsed="false">
      <c r="A194" s="16"/>
      <c r="D194" s="16"/>
      <c r="E194" s="16"/>
      <c r="F194" s="16"/>
      <c r="G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Y194" s="16"/>
    </row>
    <row r="195" customFormat="false" ht="12.8" hidden="false" customHeight="true" outlineLevel="0" collapsed="false">
      <c r="A195" s="16"/>
      <c r="D195" s="16"/>
      <c r="E195" s="16"/>
      <c r="F195" s="16"/>
      <c r="G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Y195" s="16"/>
    </row>
    <row r="196" customFormat="false" ht="12.8" hidden="false" customHeight="true" outlineLevel="0" collapsed="false">
      <c r="A196" s="16"/>
      <c r="D196" s="16"/>
      <c r="E196" s="16"/>
      <c r="F196" s="16"/>
      <c r="G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Y196" s="16"/>
    </row>
    <row r="197" customFormat="false" ht="12.8" hidden="false" customHeight="true" outlineLevel="0" collapsed="false">
      <c r="A197" s="16"/>
      <c r="D197" s="16"/>
      <c r="E197" s="16"/>
      <c r="F197" s="16"/>
      <c r="G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Y197" s="16"/>
    </row>
    <row r="198" customFormat="false" ht="12.8" hidden="false" customHeight="true" outlineLevel="0" collapsed="false">
      <c r="A198" s="16"/>
      <c r="D198" s="16"/>
      <c r="E198" s="16"/>
      <c r="F198" s="16"/>
      <c r="G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Y198" s="16"/>
    </row>
    <row r="199" customFormat="false" ht="12.8" hidden="false" customHeight="true" outlineLevel="0" collapsed="false">
      <c r="A199" s="16"/>
      <c r="D199" s="16"/>
      <c r="E199" s="16"/>
      <c r="F199" s="16"/>
      <c r="G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Y199" s="16"/>
    </row>
    <row r="200" customFormat="false" ht="12.8" hidden="false" customHeight="true" outlineLevel="0" collapsed="false">
      <c r="A200" s="16"/>
      <c r="D200" s="16"/>
      <c r="E200" s="16"/>
      <c r="F200" s="16"/>
      <c r="G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Y200" s="16"/>
    </row>
    <row r="201" customFormat="false" ht="12.8" hidden="false" customHeight="true" outlineLevel="0" collapsed="false">
      <c r="A201" s="16"/>
      <c r="D201" s="16"/>
      <c r="E201" s="16"/>
      <c r="F201" s="16"/>
      <c r="G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Y201" s="16"/>
    </row>
    <row r="202" customFormat="false" ht="12.8" hidden="false" customHeight="true" outlineLevel="0" collapsed="false">
      <c r="A202" s="16"/>
      <c r="D202" s="16"/>
      <c r="E202" s="16"/>
      <c r="F202" s="16"/>
      <c r="G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Y202" s="16"/>
    </row>
    <row r="203" customFormat="false" ht="12.8" hidden="false" customHeight="true" outlineLevel="0" collapsed="false">
      <c r="A203" s="16"/>
      <c r="D203" s="16"/>
      <c r="E203" s="16"/>
      <c r="F203" s="16"/>
      <c r="G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Y203" s="16"/>
    </row>
    <row r="204" customFormat="false" ht="12.8" hidden="false" customHeight="true" outlineLevel="0" collapsed="false">
      <c r="A204" s="16"/>
      <c r="D204" s="16"/>
      <c r="E204" s="16"/>
      <c r="F204" s="16"/>
      <c r="G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Y204" s="16"/>
    </row>
    <row r="205" customFormat="false" ht="12.8" hidden="false" customHeight="true" outlineLevel="0" collapsed="false">
      <c r="A205" s="16"/>
      <c r="D205" s="16"/>
      <c r="E205" s="16"/>
      <c r="F205" s="16"/>
      <c r="G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Y205" s="16"/>
    </row>
    <row r="206" customFormat="false" ht="12.8" hidden="false" customHeight="true" outlineLevel="0" collapsed="false">
      <c r="A206" s="16"/>
      <c r="D206" s="16"/>
      <c r="E206" s="16"/>
      <c r="F206" s="16"/>
      <c r="G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Y206" s="16"/>
    </row>
    <row r="207" customFormat="false" ht="12.8" hidden="false" customHeight="true" outlineLevel="0" collapsed="false">
      <c r="A207" s="16"/>
      <c r="D207" s="16"/>
      <c r="E207" s="16"/>
      <c r="F207" s="16"/>
      <c r="G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Y207" s="16"/>
    </row>
    <row r="208" customFormat="false" ht="12.8" hidden="false" customHeight="true" outlineLevel="0" collapsed="false">
      <c r="A208" s="16"/>
      <c r="D208" s="16"/>
      <c r="E208" s="16"/>
      <c r="F208" s="16"/>
      <c r="G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Y208" s="16"/>
    </row>
    <row r="209" customFormat="false" ht="12.8" hidden="false" customHeight="true" outlineLevel="0" collapsed="false">
      <c r="A209" s="16"/>
      <c r="D209" s="16"/>
      <c r="E209" s="16"/>
      <c r="F209" s="16"/>
      <c r="G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Y209" s="16"/>
    </row>
    <row r="210" customFormat="false" ht="12.8" hidden="false" customHeight="true" outlineLevel="0" collapsed="false">
      <c r="A210" s="16"/>
      <c r="D210" s="16"/>
      <c r="E210" s="16"/>
      <c r="F210" s="16"/>
      <c r="G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Y210" s="16"/>
    </row>
    <row r="211" customFormat="false" ht="12.8" hidden="false" customHeight="true" outlineLevel="0" collapsed="false">
      <c r="A211" s="16"/>
      <c r="D211" s="16"/>
      <c r="E211" s="16"/>
      <c r="F211" s="16"/>
      <c r="G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Y211" s="16"/>
    </row>
    <row r="212" customFormat="false" ht="12.8" hidden="false" customHeight="true" outlineLevel="0" collapsed="false">
      <c r="A212" s="16"/>
      <c r="D212" s="16"/>
      <c r="E212" s="16"/>
      <c r="F212" s="16"/>
      <c r="G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Y212" s="16"/>
    </row>
    <row r="213" customFormat="false" ht="12.8" hidden="false" customHeight="true" outlineLevel="0" collapsed="false">
      <c r="A213" s="16"/>
      <c r="D213" s="16"/>
      <c r="E213" s="16"/>
      <c r="F213" s="16"/>
      <c r="G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Y213" s="16"/>
    </row>
    <row r="214" customFormat="false" ht="12.8" hidden="false" customHeight="true" outlineLevel="0" collapsed="false">
      <c r="A214" s="16"/>
      <c r="D214" s="16"/>
      <c r="E214" s="16"/>
      <c r="F214" s="16"/>
      <c r="G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Y214" s="16"/>
    </row>
    <row r="215" customFormat="false" ht="12.8" hidden="false" customHeight="true" outlineLevel="0" collapsed="false">
      <c r="A215" s="16"/>
      <c r="D215" s="16"/>
      <c r="E215" s="16"/>
      <c r="F215" s="16"/>
      <c r="G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Y215" s="16"/>
    </row>
    <row r="216" customFormat="false" ht="12.8" hidden="false" customHeight="true" outlineLevel="0" collapsed="false">
      <c r="A216" s="16"/>
      <c r="D216" s="16"/>
      <c r="E216" s="16"/>
      <c r="F216" s="16"/>
      <c r="G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Y216" s="16"/>
    </row>
    <row r="217" customFormat="false" ht="12.8" hidden="false" customHeight="true" outlineLevel="0" collapsed="false">
      <c r="A217" s="16"/>
      <c r="D217" s="16"/>
      <c r="E217" s="16"/>
      <c r="F217" s="16"/>
      <c r="G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Y217" s="16"/>
    </row>
    <row r="218" customFormat="false" ht="12.8" hidden="false" customHeight="true" outlineLevel="0" collapsed="false">
      <c r="A218" s="16"/>
      <c r="D218" s="16"/>
      <c r="E218" s="16"/>
      <c r="F218" s="16"/>
      <c r="G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Y218" s="16"/>
    </row>
    <row r="219" customFormat="false" ht="12.8" hidden="false" customHeight="true" outlineLevel="0" collapsed="false">
      <c r="A219" s="16"/>
      <c r="D219" s="16"/>
      <c r="E219" s="16"/>
      <c r="F219" s="16"/>
      <c r="G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Y219" s="16"/>
    </row>
    <row r="220" customFormat="false" ht="12.8" hidden="false" customHeight="true" outlineLevel="0" collapsed="false">
      <c r="A220" s="16"/>
      <c r="D220" s="16"/>
      <c r="E220" s="16"/>
      <c r="F220" s="16"/>
      <c r="G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Y220" s="16"/>
    </row>
    <row r="221" customFormat="false" ht="12.8" hidden="false" customHeight="true" outlineLevel="0" collapsed="false">
      <c r="A221" s="16"/>
      <c r="D221" s="16"/>
      <c r="E221" s="16"/>
      <c r="F221" s="16"/>
      <c r="G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Y221" s="16"/>
    </row>
    <row r="222" customFormat="false" ht="12.8" hidden="false" customHeight="true" outlineLevel="0" collapsed="false">
      <c r="A222" s="16"/>
      <c r="D222" s="16"/>
      <c r="E222" s="16"/>
      <c r="F222" s="16"/>
      <c r="G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Y222" s="16"/>
    </row>
    <row r="223" customFormat="false" ht="12.8" hidden="false" customHeight="true" outlineLevel="0" collapsed="false">
      <c r="A223" s="16"/>
      <c r="D223" s="16"/>
      <c r="E223" s="16"/>
      <c r="F223" s="16"/>
      <c r="G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Y223" s="16"/>
    </row>
    <row r="224" customFormat="false" ht="12.8" hidden="false" customHeight="true" outlineLevel="0" collapsed="false">
      <c r="A224" s="16"/>
      <c r="D224" s="16"/>
      <c r="E224" s="16"/>
      <c r="F224" s="16"/>
      <c r="G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Y224" s="16"/>
    </row>
    <row r="225" customFormat="false" ht="12.8" hidden="false" customHeight="true" outlineLevel="0" collapsed="false">
      <c r="A225" s="16"/>
      <c r="D225" s="16"/>
      <c r="E225" s="16"/>
      <c r="F225" s="16"/>
      <c r="G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Y225" s="16"/>
    </row>
    <row r="226" customFormat="false" ht="12.8" hidden="false" customHeight="true" outlineLevel="0" collapsed="false">
      <c r="A226" s="16"/>
      <c r="D226" s="16"/>
      <c r="E226" s="16"/>
      <c r="F226" s="16"/>
      <c r="G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Y226" s="16"/>
    </row>
    <row r="227" customFormat="false" ht="12.8" hidden="false" customHeight="true" outlineLevel="0" collapsed="false">
      <c r="A227" s="16"/>
      <c r="D227" s="16"/>
      <c r="E227" s="16"/>
      <c r="F227" s="16"/>
      <c r="G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Y227" s="16"/>
    </row>
    <row r="228" customFormat="false" ht="12.8" hidden="false" customHeight="true" outlineLevel="0" collapsed="false">
      <c r="A228" s="16"/>
      <c r="D228" s="16"/>
      <c r="E228" s="16"/>
      <c r="F228" s="16"/>
      <c r="G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Y228" s="16"/>
    </row>
    <row r="229" customFormat="false" ht="12.8" hidden="false" customHeight="true" outlineLevel="0" collapsed="false">
      <c r="A229" s="16"/>
      <c r="D229" s="16"/>
      <c r="E229" s="16"/>
      <c r="F229" s="16"/>
      <c r="G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Y229" s="16"/>
    </row>
    <row r="230" customFormat="false" ht="12.8" hidden="false" customHeight="true" outlineLevel="0" collapsed="false">
      <c r="A230" s="16"/>
      <c r="D230" s="16"/>
      <c r="E230" s="16"/>
      <c r="F230" s="16"/>
      <c r="G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Y230" s="16"/>
    </row>
    <row r="231" customFormat="false" ht="12.8" hidden="false" customHeight="true" outlineLevel="0" collapsed="false">
      <c r="A231" s="16"/>
      <c r="D231" s="16"/>
      <c r="E231" s="16"/>
      <c r="F231" s="16"/>
      <c r="G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Y231" s="16"/>
    </row>
    <row r="232" customFormat="false" ht="12.8" hidden="false" customHeight="true" outlineLevel="0" collapsed="false">
      <c r="A232" s="16"/>
      <c r="D232" s="16"/>
      <c r="E232" s="16"/>
      <c r="F232" s="16"/>
      <c r="G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Y232" s="16"/>
    </row>
    <row r="233" customFormat="false" ht="12.8" hidden="false" customHeight="true" outlineLevel="0" collapsed="false">
      <c r="A233" s="16"/>
      <c r="D233" s="16"/>
      <c r="E233" s="16"/>
      <c r="F233" s="16"/>
      <c r="G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Y233" s="16"/>
    </row>
    <row r="234" customFormat="false" ht="12.8" hidden="false" customHeight="true" outlineLevel="0" collapsed="false">
      <c r="A234" s="16"/>
      <c r="D234" s="16"/>
      <c r="E234" s="16"/>
      <c r="F234" s="16"/>
      <c r="G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Y234" s="16"/>
    </row>
    <row r="235" customFormat="false" ht="12.8" hidden="false" customHeight="true" outlineLevel="0" collapsed="false">
      <c r="A235" s="16"/>
      <c r="D235" s="16"/>
      <c r="E235" s="16"/>
      <c r="F235" s="16"/>
      <c r="G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Y235" s="16"/>
    </row>
    <row r="236" customFormat="false" ht="12.8" hidden="false" customHeight="true" outlineLevel="0" collapsed="false">
      <c r="A236" s="16"/>
      <c r="D236" s="16"/>
      <c r="E236" s="16"/>
      <c r="F236" s="16"/>
      <c r="G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Y236" s="16"/>
    </row>
    <row r="237" customFormat="false" ht="12.8" hidden="false" customHeight="true" outlineLevel="0" collapsed="false">
      <c r="A237" s="16"/>
      <c r="D237" s="16"/>
      <c r="E237" s="16"/>
      <c r="F237" s="16"/>
      <c r="G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Y237" s="16"/>
    </row>
    <row r="238" customFormat="false" ht="12.8" hidden="false" customHeight="true" outlineLevel="0" collapsed="false">
      <c r="A238" s="16"/>
      <c r="D238" s="16"/>
      <c r="E238" s="16"/>
      <c r="F238" s="16"/>
      <c r="G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Y238" s="16"/>
    </row>
    <row r="239" customFormat="false" ht="12.8" hidden="false" customHeight="true" outlineLevel="0" collapsed="false">
      <c r="A239" s="16"/>
      <c r="D239" s="16"/>
      <c r="E239" s="16"/>
      <c r="F239" s="16"/>
      <c r="G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Y239" s="16"/>
    </row>
    <row r="240" customFormat="false" ht="12.8" hidden="false" customHeight="true" outlineLevel="0" collapsed="false">
      <c r="A240" s="16"/>
      <c r="D240" s="16"/>
      <c r="E240" s="16"/>
      <c r="F240" s="16"/>
      <c r="G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Y240" s="16"/>
    </row>
    <row r="241" customFormat="false" ht="12.8" hidden="false" customHeight="true" outlineLevel="0" collapsed="false">
      <c r="A241" s="16"/>
      <c r="D241" s="16"/>
      <c r="E241" s="16"/>
      <c r="F241" s="16"/>
      <c r="G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Y241" s="16"/>
    </row>
    <row r="242" customFormat="false" ht="12.8" hidden="false" customHeight="true" outlineLevel="0" collapsed="false">
      <c r="A242" s="16"/>
      <c r="D242" s="16"/>
      <c r="E242" s="16"/>
      <c r="F242" s="16"/>
      <c r="G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Y242" s="16"/>
    </row>
    <row r="243" customFormat="false" ht="12.8" hidden="false" customHeight="true" outlineLevel="0" collapsed="false">
      <c r="A243" s="16"/>
      <c r="D243" s="16"/>
      <c r="E243" s="16"/>
      <c r="F243" s="16"/>
      <c r="G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Y243" s="16"/>
    </row>
    <row r="244" customFormat="false" ht="12.8" hidden="false" customHeight="true" outlineLevel="0" collapsed="false">
      <c r="A244" s="16"/>
      <c r="D244" s="16"/>
      <c r="E244" s="16"/>
      <c r="F244" s="16"/>
      <c r="G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Y244" s="16"/>
    </row>
    <row r="245" customFormat="false" ht="12.8" hidden="false" customHeight="true" outlineLevel="0" collapsed="false">
      <c r="A245" s="16"/>
      <c r="D245" s="16"/>
      <c r="E245" s="16"/>
      <c r="F245" s="16"/>
      <c r="G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Y245" s="16"/>
    </row>
    <row r="246" customFormat="false" ht="12.8" hidden="false" customHeight="true" outlineLevel="0" collapsed="false">
      <c r="A246" s="16"/>
      <c r="D246" s="16"/>
      <c r="E246" s="16"/>
      <c r="F246" s="16"/>
      <c r="G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Y246" s="16"/>
    </row>
    <row r="247" customFormat="false" ht="12.8" hidden="false" customHeight="true" outlineLevel="0" collapsed="false">
      <c r="A247" s="16"/>
      <c r="D247" s="16"/>
      <c r="E247" s="16"/>
      <c r="F247" s="16"/>
      <c r="G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Y247" s="16"/>
    </row>
    <row r="248" customFormat="false" ht="12.8" hidden="false" customHeight="true" outlineLevel="0" collapsed="false">
      <c r="A248" s="16"/>
      <c r="D248" s="16"/>
      <c r="E248" s="16"/>
      <c r="F248" s="16"/>
      <c r="G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Y248" s="16"/>
    </row>
    <row r="249" customFormat="false" ht="12.8" hidden="false" customHeight="true" outlineLevel="0" collapsed="false">
      <c r="A249" s="16"/>
      <c r="D249" s="16"/>
      <c r="E249" s="16"/>
      <c r="F249" s="16"/>
      <c r="G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Y249" s="16"/>
    </row>
    <row r="250" customFormat="false" ht="12.8" hidden="false" customHeight="true" outlineLevel="0" collapsed="false">
      <c r="A250" s="16"/>
      <c r="D250" s="16"/>
      <c r="E250" s="16"/>
      <c r="F250" s="16"/>
      <c r="G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Y250" s="16"/>
    </row>
    <row r="251" customFormat="false" ht="12.8" hidden="false" customHeight="true" outlineLevel="0" collapsed="false">
      <c r="A251" s="16"/>
      <c r="D251" s="16"/>
      <c r="E251" s="16"/>
      <c r="F251" s="16"/>
      <c r="G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Y251" s="16"/>
    </row>
    <row r="252" customFormat="false" ht="12.8" hidden="false" customHeight="true" outlineLevel="0" collapsed="false">
      <c r="A252" s="16"/>
      <c r="D252" s="16"/>
      <c r="E252" s="16"/>
      <c r="F252" s="16"/>
      <c r="G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Y252" s="16"/>
    </row>
    <row r="253" customFormat="false" ht="12.8" hidden="false" customHeight="true" outlineLevel="0" collapsed="false">
      <c r="A253" s="16"/>
      <c r="D253" s="16"/>
      <c r="E253" s="16"/>
      <c r="F253" s="16"/>
      <c r="G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Y253" s="16"/>
    </row>
    <row r="254" customFormat="false" ht="12.8" hidden="false" customHeight="true" outlineLevel="0" collapsed="false">
      <c r="A254" s="16"/>
      <c r="D254" s="16"/>
      <c r="E254" s="16"/>
      <c r="F254" s="16"/>
      <c r="G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Y254" s="16"/>
    </row>
    <row r="255" customFormat="false" ht="12.8" hidden="false" customHeight="true" outlineLevel="0" collapsed="false">
      <c r="A255" s="16"/>
      <c r="D255" s="16"/>
      <c r="E255" s="16"/>
      <c r="F255" s="16"/>
      <c r="G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Y255" s="16"/>
    </row>
    <row r="256" customFormat="false" ht="12.8" hidden="false" customHeight="true" outlineLevel="0" collapsed="false">
      <c r="A256" s="16"/>
      <c r="D256" s="16"/>
      <c r="E256" s="16"/>
      <c r="F256" s="16"/>
      <c r="G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Y256" s="16"/>
    </row>
    <row r="257" customFormat="false" ht="12.8" hidden="false" customHeight="true" outlineLevel="0" collapsed="false">
      <c r="A257" s="16"/>
      <c r="D257" s="16"/>
      <c r="E257" s="16"/>
      <c r="F257" s="16"/>
      <c r="G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Y257" s="16"/>
    </row>
    <row r="258" customFormat="false" ht="12.8" hidden="false" customHeight="true" outlineLevel="0" collapsed="false">
      <c r="A258" s="16"/>
      <c r="D258" s="16"/>
      <c r="E258" s="16"/>
      <c r="F258" s="16"/>
      <c r="G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Y258" s="16"/>
    </row>
    <row r="259" customFormat="false" ht="12.8" hidden="false" customHeight="true" outlineLevel="0" collapsed="false">
      <c r="A259" s="16"/>
      <c r="D259" s="16"/>
      <c r="E259" s="16"/>
      <c r="F259" s="16"/>
      <c r="G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Y259" s="16"/>
    </row>
    <row r="260" customFormat="false" ht="12.8" hidden="false" customHeight="true" outlineLevel="0" collapsed="false">
      <c r="A260" s="16"/>
      <c r="D260" s="16"/>
      <c r="E260" s="16"/>
      <c r="F260" s="16"/>
      <c r="G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Y260" s="16"/>
    </row>
    <row r="261" customFormat="false" ht="12.8" hidden="false" customHeight="true" outlineLevel="0" collapsed="false">
      <c r="A261" s="16"/>
      <c r="D261" s="16"/>
      <c r="E261" s="16"/>
      <c r="F261" s="16"/>
      <c r="G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Y261" s="16"/>
    </row>
    <row r="262" customFormat="false" ht="12.8" hidden="false" customHeight="true" outlineLevel="0" collapsed="false">
      <c r="A262" s="16"/>
      <c r="D262" s="16"/>
      <c r="E262" s="16"/>
      <c r="F262" s="16"/>
      <c r="G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Y262" s="16"/>
    </row>
    <row r="263" customFormat="false" ht="12.8" hidden="false" customHeight="true" outlineLevel="0" collapsed="false">
      <c r="A263" s="16"/>
      <c r="D263" s="16"/>
      <c r="E263" s="16"/>
      <c r="F263" s="16"/>
      <c r="G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Y263" s="16"/>
    </row>
    <row r="264" customFormat="false" ht="12.8" hidden="false" customHeight="true" outlineLevel="0" collapsed="false">
      <c r="A264" s="16"/>
      <c r="D264" s="16"/>
      <c r="E264" s="16"/>
      <c r="F264" s="16"/>
      <c r="G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Y264" s="16"/>
    </row>
    <row r="265" customFormat="false" ht="12.8" hidden="false" customHeight="true" outlineLevel="0" collapsed="false">
      <c r="A265" s="16"/>
      <c r="D265" s="16"/>
      <c r="E265" s="16"/>
      <c r="F265" s="16"/>
      <c r="G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Y265" s="16"/>
    </row>
    <row r="266" customFormat="false" ht="12.8" hidden="false" customHeight="true" outlineLevel="0" collapsed="false">
      <c r="A266" s="16"/>
      <c r="D266" s="16"/>
      <c r="E266" s="16"/>
      <c r="F266" s="16"/>
      <c r="G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Y266" s="16"/>
    </row>
    <row r="267" customFormat="false" ht="12.8" hidden="false" customHeight="true" outlineLevel="0" collapsed="false">
      <c r="A267" s="16"/>
      <c r="D267" s="16"/>
      <c r="E267" s="16"/>
      <c r="F267" s="16"/>
      <c r="G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Y267" s="16"/>
    </row>
    <row r="268" customFormat="false" ht="12.8" hidden="false" customHeight="true" outlineLevel="0" collapsed="false">
      <c r="A268" s="16"/>
      <c r="D268" s="16"/>
      <c r="E268" s="16"/>
      <c r="F268" s="16"/>
      <c r="G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Y268" s="16"/>
    </row>
    <row r="269" customFormat="false" ht="12.8" hidden="false" customHeight="true" outlineLevel="0" collapsed="false">
      <c r="A269" s="16"/>
      <c r="D269" s="16"/>
      <c r="E269" s="16"/>
      <c r="F269" s="16"/>
      <c r="G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Y269" s="16"/>
    </row>
    <row r="270" customFormat="false" ht="12.8" hidden="false" customHeight="true" outlineLevel="0" collapsed="false">
      <c r="A270" s="16"/>
      <c r="D270" s="16"/>
      <c r="E270" s="16"/>
      <c r="F270" s="16"/>
      <c r="G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Y270" s="16"/>
    </row>
    <row r="271" customFormat="false" ht="12.8" hidden="false" customHeight="true" outlineLevel="0" collapsed="false">
      <c r="A271" s="16"/>
      <c r="D271" s="16"/>
      <c r="E271" s="16"/>
      <c r="F271" s="16"/>
      <c r="G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Y271" s="16"/>
    </row>
    <row r="272" customFormat="false" ht="12.8" hidden="false" customHeight="true" outlineLevel="0" collapsed="false">
      <c r="A272" s="16"/>
      <c r="D272" s="16"/>
      <c r="E272" s="16"/>
      <c r="F272" s="16"/>
      <c r="G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Y272" s="16"/>
    </row>
    <row r="273" customFormat="false" ht="12.8" hidden="false" customHeight="true" outlineLevel="0" collapsed="false">
      <c r="A273" s="16"/>
      <c r="D273" s="16"/>
      <c r="E273" s="16"/>
      <c r="F273" s="16"/>
      <c r="G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Y273" s="16"/>
    </row>
    <row r="274" customFormat="false" ht="12.8" hidden="false" customHeight="true" outlineLevel="0" collapsed="false">
      <c r="A274" s="16"/>
      <c r="D274" s="16"/>
      <c r="E274" s="16"/>
      <c r="F274" s="16"/>
      <c r="G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Y274" s="16"/>
    </row>
    <row r="275" customFormat="false" ht="12.8" hidden="false" customHeight="true" outlineLevel="0" collapsed="false">
      <c r="A275" s="16"/>
      <c r="D275" s="16"/>
      <c r="E275" s="16"/>
      <c r="F275" s="16"/>
      <c r="G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Y275" s="16"/>
    </row>
    <row r="276" customFormat="false" ht="12.8" hidden="false" customHeight="true" outlineLevel="0" collapsed="false">
      <c r="A276" s="16"/>
      <c r="D276" s="16"/>
      <c r="E276" s="16"/>
      <c r="F276" s="16"/>
      <c r="G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Y276" s="16"/>
    </row>
    <row r="277" customFormat="false" ht="12.8" hidden="false" customHeight="true" outlineLevel="0" collapsed="false">
      <c r="A277" s="16"/>
      <c r="D277" s="16"/>
      <c r="E277" s="16"/>
      <c r="F277" s="16"/>
      <c r="G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Y277" s="16"/>
    </row>
    <row r="278" customFormat="false" ht="12.8" hidden="false" customHeight="true" outlineLevel="0" collapsed="false">
      <c r="A278" s="16"/>
      <c r="D278" s="16"/>
      <c r="E278" s="16"/>
      <c r="F278" s="16"/>
      <c r="G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Y278" s="16"/>
    </row>
    <row r="279" customFormat="false" ht="12.8" hidden="false" customHeight="true" outlineLevel="0" collapsed="false">
      <c r="A279" s="16"/>
      <c r="D279" s="16"/>
      <c r="E279" s="16"/>
      <c r="F279" s="16"/>
      <c r="G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Y279" s="16"/>
    </row>
    <row r="280" customFormat="false" ht="12.8" hidden="false" customHeight="true" outlineLevel="0" collapsed="false">
      <c r="A280" s="16"/>
      <c r="D280" s="16"/>
      <c r="E280" s="16"/>
      <c r="F280" s="16"/>
      <c r="G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Y280" s="16"/>
    </row>
    <row r="281" customFormat="false" ht="12.8" hidden="false" customHeight="true" outlineLevel="0" collapsed="false">
      <c r="A281" s="16"/>
      <c r="D281" s="16"/>
      <c r="E281" s="16"/>
      <c r="F281" s="16"/>
      <c r="G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Y281" s="16"/>
    </row>
    <row r="282" customFormat="false" ht="12.8" hidden="false" customHeight="true" outlineLevel="0" collapsed="false">
      <c r="A282" s="16"/>
      <c r="D282" s="16"/>
      <c r="E282" s="16"/>
      <c r="F282" s="16"/>
      <c r="G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Y282" s="16"/>
    </row>
    <row r="283" customFormat="false" ht="12.8" hidden="false" customHeight="true" outlineLevel="0" collapsed="false">
      <c r="A283" s="16"/>
      <c r="D283" s="16"/>
      <c r="E283" s="16"/>
      <c r="F283" s="16"/>
      <c r="G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Y283" s="16"/>
    </row>
    <row r="284" customFormat="false" ht="12.8" hidden="false" customHeight="true" outlineLevel="0" collapsed="false">
      <c r="A284" s="16"/>
      <c r="D284" s="16"/>
      <c r="E284" s="16"/>
      <c r="F284" s="16"/>
      <c r="G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Y284" s="16"/>
    </row>
    <row r="285" customFormat="false" ht="12.8" hidden="false" customHeight="true" outlineLevel="0" collapsed="false">
      <c r="A285" s="16"/>
      <c r="D285" s="16"/>
      <c r="E285" s="16"/>
      <c r="F285" s="16"/>
      <c r="G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Y285" s="16"/>
    </row>
    <row r="286" customFormat="false" ht="12.8" hidden="false" customHeight="true" outlineLevel="0" collapsed="false">
      <c r="A286" s="16"/>
      <c r="D286" s="16"/>
      <c r="E286" s="16"/>
      <c r="F286" s="16"/>
      <c r="G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Y286" s="16"/>
    </row>
    <row r="287" customFormat="false" ht="12.8" hidden="false" customHeight="true" outlineLevel="0" collapsed="false">
      <c r="A287" s="16"/>
      <c r="D287" s="16"/>
      <c r="E287" s="16"/>
      <c r="F287" s="16"/>
      <c r="G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Y287" s="16"/>
    </row>
    <row r="288" customFormat="false" ht="12.8" hidden="false" customHeight="true" outlineLevel="0" collapsed="false">
      <c r="A288" s="16"/>
      <c r="D288" s="16"/>
      <c r="E288" s="16"/>
      <c r="F288" s="16"/>
      <c r="G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Y288" s="16"/>
    </row>
    <row r="289" customFormat="false" ht="12.8" hidden="false" customHeight="true" outlineLevel="0" collapsed="false">
      <c r="A289" s="16"/>
      <c r="D289" s="16"/>
      <c r="E289" s="16"/>
      <c r="F289" s="16"/>
      <c r="G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Y289" s="16"/>
    </row>
    <row r="290" customFormat="false" ht="12.8" hidden="false" customHeight="true" outlineLevel="0" collapsed="false">
      <c r="A290" s="16"/>
      <c r="D290" s="16"/>
      <c r="E290" s="16"/>
      <c r="F290" s="16"/>
      <c r="G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Y290" s="16"/>
    </row>
    <row r="291" customFormat="false" ht="12.8" hidden="false" customHeight="true" outlineLevel="0" collapsed="false">
      <c r="A291" s="16"/>
      <c r="D291" s="16"/>
      <c r="E291" s="16"/>
      <c r="F291" s="16"/>
      <c r="G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Y291" s="16"/>
    </row>
    <row r="292" customFormat="false" ht="12.8" hidden="false" customHeight="true" outlineLevel="0" collapsed="false">
      <c r="A292" s="16"/>
      <c r="D292" s="16"/>
      <c r="E292" s="16"/>
      <c r="F292" s="16"/>
      <c r="G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Y292" s="16"/>
    </row>
    <row r="293" customFormat="false" ht="12.8" hidden="false" customHeight="true" outlineLevel="0" collapsed="false">
      <c r="A293" s="16"/>
      <c r="D293" s="16"/>
      <c r="E293" s="16"/>
      <c r="F293" s="16"/>
      <c r="G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Y293" s="16"/>
    </row>
    <row r="294" customFormat="false" ht="12.8" hidden="false" customHeight="true" outlineLevel="0" collapsed="false">
      <c r="A294" s="16"/>
      <c r="D294" s="16"/>
      <c r="E294" s="16"/>
      <c r="F294" s="16"/>
      <c r="G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Y294" s="16"/>
    </row>
    <row r="295" customFormat="false" ht="12.8" hidden="false" customHeight="true" outlineLevel="0" collapsed="false">
      <c r="A295" s="16"/>
      <c r="D295" s="16"/>
      <c r="E295" s="16"/>
      <c r="F295" s="16"/>
      <c r="G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Y295" s="16"/>
    </row>
    <row r="296" customFormat="false" ht="12.8" hidden="false" customHeight="true" outlineLevel="0" collapsed="false">
      <c r="A296" s="16"/>
      <c r="D296" s="16"/>
      <c r="E296" s="16"/>
      <c r="F296" s="16"/>
      <c r="G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Y296" s="16"/>
    </row>
    <row r="297" customFormat="false" ht="12.8" hidden="false" customHeight="true" outlineLevel="0" collapsed="false">
      <c r="A297" s="16"/>
      <c r="D297" s="16"/>
      <c r="E297" s="16"/>
      <c r="F297" s="16"/>
      <c r="G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Y297" s="16"/>
    </row>
    <row r="298" customFormat="false" ht="12.8" hidden="false" customHeight="true" outlineLevel="0" collapsed="false">
      <c r="A298" s="16"/>
      <c r="D298" s="16"/>
      <c r="E298" s="16"/>
      <c r="F298" s="16"/>
      <c r="G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Y298" s="16"/>
    </row>
    <row r="299" customFormat="false" ht="12.8" hidden="false" customHeight="true" outlineLevel="0" collapsed="false">
      <c r="A299" s="16"/>
      <c r="D299" s="16"/>
      <c r="E299" s="16"/>
      <c r="F299" s="16"/>
      <c r="G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Y299" s="16"/>
    </row>
    <row r="300" customFormat="false" ht="12.8" hidden="false" customHeight="true" outlineLevel="0" collapsed="false">
      <c r="A300" s="16"/>
      <c r="D300" s="16"/>
      <c r="E300" s="16"/>
      <c r="F300" s="16"/>
      <c r="G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Y300" s="16"/>
    </row>
    <row r="301" customFormat="false" ht="12.8" hidden="false" customHeight="true" outlineLevel="0" collapsed="false">
      <c r="A301" s="16"/>
      <c r="D301" s="16"/>
      <c r="E301" s="16"/>
      <c r="F301" s="16"/>
      <c r="G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Y301" s="16"/>
    </row>
    <row r="302" customFormat="false" ht="12.8" hidden="false" customHeight="true" outlineLevel="0" collapsed="false">
      <c r="A302" s="16"/>
      <c r="D302" s="16"/>
      <c r="E302" s="16"/>
      <c r="F302" s="16"/>
      <c r="G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Y302" s="16"/>
    </row>
    <row r="303" customFormat="false" ht="12.8" hidden="false" customHeight="true" outlineLevel="0" collapsed="false">
      <c r="A303" s="16"/>
      <c r="D303" s="16"/>
      <c r="E303" s="16"/>
      <c r="F303" s="16"/>
      <c r="G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Y303" s="16"/>
    </row>
    <row r="304" customFormat="false" ht="12.8" hidden="false" customHeight="true" outlineLevel="0" collapsed="false">
      <c r="A304" s="16"/>
      <c r="D304" s="16"/>
      <c r="E304" s="16"/>
      <c r="F304" s="16"/>
      <c r="G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Y304" s="16"/>
    </row>
    <row r="305" customFormat="false" ht="12.8" hidden="false" customHeight="true" outlineLevel="0" collapsed="false">
      <c r="A305" s="16"/>
      <c r="D305" s="16"/>
      <c r="E305" s="16"/>
      <c r="F305" s="16"/>
      <c r="G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Y305" s="16"/>
    </row>
    <row r="306" customFormat="false" ht="12.8" hidden="false" customHeight="true" outlineLevel="0" collapsed="false">
      <c r="A306" s="16"/>
      <c r="D306" s="16"/>
      <c r="E306" s="16"/>
      <c r="F306" s="16"/>
      <c r="G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Y306" s="16"/>
    </row>
    <row r="307" customFormat="false" ht="12.8" hidden="false" customHeight="true" outlineLevel="0" collapsed="false">
      <c r="A307" s="16"/>
      <c r="D307" s="16"/>
      <c r="E307" s="16"/>
      <c r="F307" s="16"/>
      <c r="G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Y307" s="16"/>
    </row>
    <row r="308" customFormat="false" ht="12.8" hidden="false" customHeight="true" outlineLevel="0" collapsed="false">
      <c r="A308" s="16"/>
      <c r="D308" s="16"/>
      <c r="E308" s="16"/>
      <c r="F308" s="16"/>
      <c r="G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Y308" s="16"/>
    </row>
    <row r="309" customFormat="false" ht="12.8" hidden="false" customHeight="true" outlineLevel="0" collapsed="false">
      <c r="A309" s="16"/>
      <c r="D309" s="16"/>
      <c r="E309" s="16"/>
      <c r="F309" s="16"/>
      <c r="G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Y309" s="16"/>
    </row>
    <row r="310" customFormat="false" ht="12.8" hidden="false" customHeight="true" outlineLevel="0" collapsed="false">
      <c r="A310" s="16"/>
      <c r="D310" s="16"/>
      <c r="E310" s="16"/>
      <c r="F310" s="16"/>
      <c r="G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Y310" s="16"/>
    </row>
    <row r="311" customFormat="false" ht="12.8" hidden="false" customHeight="true" outlineLevel="0" collapsed="false">
      <c r="A311" s="16"/>
      <c r="D311" s="16"/>
      <c r="E311" s="16"/>
      <c r="F311" s="16"/>
      <c r="G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Y311" s="16"/>
    </row>
    <row r="312" customFormat="false" ht="12.8" hidden="false" customHeight="true" outlineLevel="0" collapsed="false">
      <c r="A312" s="16"/>
      <c r="D312" s="16"/>
      <c r="E312" s="16"/>
      <c r="F312" s="16"/>
      <c r="G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Y312" s="16"/>
    </row>
    <row r="313" customFormat="false" ht="12.8" hidden="false" customHeight="true" outlineLevel="0" collapsed="false">
      <c r="A313" s="16"/>
      <c r="D313" s="16"/>
      <c r="E313" s="16"/>
      <c r="F313" s="16"/>
      <c r="G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Y313" s="16"/>
    </row>
    <row r="314" customFormat="false" ht="12.8" hidden="false" customHeight="true" outlineLevel="0" collapsed="false">
      <c r="A314" s="16"/>
      <c r="D314" s="16"/>
      <c r="E314" s="16"/>
      <c r="F314" s="16"/>
      <c r="G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Y314" s="16"/>
    </row>
    <row r="315" customFormat="false" ht="12.8" hidden="false" customHeight="true" outlineLevel="0" collapsed="false">
      <c r="A315" s="16"/>
      <c r="D315" s="16"/>
      <c r="E315" s="16"/>
      <c r="F315" s="16"/>
      <c r="G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Y315" s="16"/>
    </row>
    <row r="316" customFormat="false" ht="12.8" hidden="false" customHeight="true" outlineLevel="0" collapsed="false">
      <c r="A316" s="16"/>
      <c r="D316" s="16"/>
      <c r="E316" s="16"/>
      <c r="F316" s="16"/>
      <c r="G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Y316" s="16"/>
    </row>
    <row r="317" customFormat="false" ht="12.8" hidden="false" customHeight="true" outlineLevel="0" collapsed="false">
      <c r="A317" s="16"/>
      <c r="D317" s="16"/>
      <c r="E317" s="16"/>
      <c r="F317" s="16"/>
      <c r="G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Y317" s="16"/>
    </row>
    <row r="318" customFormat="false" ht="12.8" hidden="false" customHeight="true" outlineLevel="0" collapsed="false">
      <c r="A318" s="16"/>
      <c r="D318" s="16"/>
      <c r="E318" s="16"/>
      <c r="F318" s="16"/>
      <c r="G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Y318" s="16"/>
    </row>
    <row r="319" customFormat="false" ht="12.8" hidden="false" customHeight="true" outlineLevel="0" collapsed="false">
      <c r="A319" s="16"/>
      <c r="D319" s="16"/>
      <c r="E319" s="16"/>
      <c r="F319" s="16"/>
      <c r="G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Y319" s="16"/>
    </row>
    <row r="320" customFormat="false" ht="12.8" hidden="false" customHeight="true" outlineLevel="0" collapsed="false">
      <c r="A320" s="16"/>
      <c r="D320" s="16"/>
      <c r="E320" s="16"/>
      <c r="F320" s="16"/>
      <c r="G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Y320" s="16"/>
    </row>
    <row r="321" customFormat="false" ht="12.8" hidden="false" customHeight="true" outlineLevel="0" collapsed="false">
      <c r="A321" s="16"/>
      <c r="D321" s="16"/>
      <c r="E321" s="16"/>
      <c r="F321" s="16"/>
      <c r="G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Y321" s="16"/>
    </row>
    <row r="322" customFormat="false" ht="12.8" hidden="false" customHeight="true" outlineLevel="0" collapsed="false">
      <c r="A322" s="16"/>
      <c r="D322" s="16"/>
      <c r="E322" s="16"/>
      <c r="F322" s="16"/>
      <c r="G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Y322" s="16"/>
    </row>
    <row r="323" customFormat="false" ht="12.8" hidden="false" customHeight="true" outlineLevel="0" collapsed="false">
      <c r="A323" s="16"/>
      <c r="D323" s="16"/>
      <c r="E323" s="16"/>
      <c r="F323" s="16"/>
      <c r="G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Y323" s="16"/>
    </row>
    <row r="324" customFormat="false" ht="12.8" hidden="false" customHeight="true" outlineLevel="0" collapsed="false">
      <c r="A324" s="16"/>
      <c r="D324" s="16"/>
      <c r="E324" s="16"/>
      <c r="F324" s="16"/>
      <c r="G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Y324" s="16"/>
    </row>
    <row r="325" customFormat="false" ht="12.8" hidden="false" customHeight="true" outlineLevel="0" collapsed="false">
      <c r="A325" s="16"/>
      <c r="D325" s="16"/>
      <c r="E325" s="16"/>
      <c r="F325" s="16"/>
      <c r="G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Y325" s="16"/>
    </row>
    <row r="326" customFormat="false" ht="12.8" hidden="false" customHeight="true" outlineLevel="0" collapsed="false">
      <c r="A326" s="16"/>
      <c r="D326" s="16"/>
      <c r="E326" s="16"/>
      <c r="F326" s="16"/>
      <c r="G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Y326" s="16"/>
    </row>
    <row r="327" customFormat="false" ht="12.8" hidden="false" customHeight="true" outlineLevel="0" collapsed="false">
      <c r="A327" s="16"/>
      <c r="D327" s="16"/>
      <c r="E327" s="16"/>
      <c r="F327" s="16"/>
      <c r="G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Y327" s="16"/>
    </row>
    <row r="328" customFormat="false" ht="12.8" hidden="false" customHeight="true" outlineLevel="0" collapsed="false">
      <c r="A328" s="16"/>
      <c r="D328" s="16"/>
      <c r="E328" s="16"/>
      <c r="F328" s="16"/>
      <c r="G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Y328" s="16"/>
    </row>
    <row r="329" customFormat="false" ht="12.8" hidden="false" customHeight="true" outlineLevel="0" collapsed="false">
      <c r="A329" s="16"/>
      <c r="D329" s="16"/>
      <c r="E329" s="16"/>
      <c r="F329" s="16"/>
      <c r="G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Y329" s="16"/>
    </row>
    <row r="330" customFormat="false" ht="12.8" hidden="false" customHeight="true" outlineLevel="0" collapsed="false">
      <c r="A330" s="16"/>
      <c r="D330" s="16"/>
      <c r="E330" s="16"/>
      <c r="F330" s="16"/>
      <c r="G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Y330" s="16"/>
    </row>
    <row r="331" customFormat="false" ht="12.8" hidden="false" customHeight="true" outlineLevel="0" collapsed="false">
      <c r="A331" s="16"/>
      <c r="D331" s="16"/>
      <c r="E331" s="16"/>
      <c r="F331" s="16"/>
      <c r="G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Y331" s="16"/>
    </row>
    <row r="332" customFormat="false" ht="12.8" hidden="false" customHeight="true" outlineLevel="0" collapsed="false">
      <c r="A332" s="16"/>
      <c r="D332" s="16"/>
      <c r="E332" s="16"/>
      <c r="F332" s="16"/>
      <c r="G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Y332" s="16"/>
    </row>
    <row r="333" customFormat="false" ht="12.8" hidden="false" customHeight="true" outlineLevel="0" collapsed="false">
      <c r="A333" s="16"/>
      <c r="D333" s="16"/>
      <c r="E333" s="16"/>
      <c r="F333" s="16"/>
      <c r="G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Y333" s="16"/>
    </row>
    <row r="334" customFormat="false" ht="12.8" hidden="false" customHeight="true" outlineLevel="0" collapsed="false">
      <c r="A334" s="16"/>
      <c r="D334" s="16"/>
      <c r="E334" s="16"/>
      <c r="F334" s="16"/>
      <c r="G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Y334" s="16"/>
    </row>
    <row r="335" customFormat="false" ht="12.8" hidden="false" customHeight="true" outlineLevel="0" collapsed="false">
      <c r="A335" s="16"/>
      <c r="D335" s="16"/>
      <c r="E335" s="16"/>
      <c r="F335" s="16"/>
      <c r="G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Y335" s="16"/>
    </row>
    <row r="336" customFormat="false" ht="12.8" hidden="false" customHeight="true" outlineLevel="0" collapsed="false">
      <c r="A336" s="16"/>
      <c r="D336" s="16"/>
      <c r="E336" s="16"/>
      <c r="F336" s="16"/>
      <c r="G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Y336" s="16"/>
    </row>
    <row r="337" customFormat="false" ht="12.8" hidden="false" customHeight="true" outlineLevel="0" collapsed="false">
      <c r="A337" s="16"/>
      <c r="D337" s="16"/>
      <c r="E337" s="16"/>
      <c r="F337" s="16"/>
      <c r="G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Y337" s="16"/>
    </row>
    <row r="338" customFormat="false" ht="12.8" hidden="false" customHeight="true" outlineLevel="0" collapsed="false">
      <c r="A338" s="16"/>
      <c r="D338" s="16"/>
      <c r="E338" s="16"/>
      <c r="F338" s="16"/>
      <c r="G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Y338" s="16"/>
    </row>
    <row r="339" customFormat="false" ht="12.8" hidden="false" customHeight="true" outlineLevel="0" collapsed="false">
      <c r="A339" s="16"/>
      <c r="D339" s="16"/>
      <c r="E339" s="16"/>
      <c r="F339" s="16"/>
      <c r="G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Y339" s="16"/>
    </row>
    <row r="340" customFormat="false" ht="12.8" hidden="false" customHeight="true" outlineLevel="0" collapsed="false">
      <c r="A340" s="16"/>
      <c r="D340" s="16"/>
      <c r="E340" s="16"/>
      <c r="F340" s="16"/>
      <c r="G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Y340" s="16"/>
    </row>
    <row r="341" customFormat="false" ht="12.8" hidden="false" customHeight="true" outlineLevel="0" collapsed="false">
      <c r="A341" s="16"/>
      <c r="D341" s="16"/>
      <c r="E341" s="16"/>
      <c r="F341" s="16"/>
      <c r="G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Y341" s="16"/>
    </row>
    <row r="342" customFormat="false" ht="12.8" hidden="false" customHeight="true" outlineLevel="0" collapsed="false">
      <c r="A342" s="16"/>
      <c r="D342" s="16"/>
      <c r="E342" s="16"/>
      <c r="F342" s="16"/>
      <c r="G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Y342" s="16"/>
    </row>
    <row r="343" customFormat="false" ht="12.8" hidden="false" customHeight="true" outlineLevel="0" collapsed="false">
      <c r="A343" s="16"/>
      <c r="D343" s="16"/>
      <c r="E343" s="16"/>
      <c r="F343" s="16"/>
      <c r="G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Y343" s="16"/>
    </row>
    <row r="344" customFormat="false" ht="12.8" hidden="false" customHeight="true" outlineLevel="0" collapsed="false">
      <c r="A344" s="16"/>
      <c r="D344" s="16"/>
      <c r="E344" s="16"/>
      <c r="F344" s="16"/>
      <c r="G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Y344" s="16"/>
    </row>
    <row r="345" customFormat="false" ht="12.8" hidden="false" customHeight="true" outlineLevel="0" collapsed="false">
      <c r="A345" s="16"/>
      <c r="D345" s="16"/>
      <c r="E345" s="16"/>
      <c r="F345" s="16"/>
      <c r="G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Y345" s="16"/>
    </row>
    <row r="346" customFormat="false" ht="12.8" hidden="false" customHeight="true" outlineLevel="0" collapsed="false">
      <c r="A346" s="16"/>
      <c r="D346" s="16"/>
      <c r="E346" s="16"/>
      <c r="F346" s="16"/>
      <c r="G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Y346" s="16"/>
    </row>
    <row r="347" customFormat="false" ht="12.8" hidden="false" customHeight="true" outlineLevel="0" collapsed="false">
      <c r="A347" s="16"/>
      <c r="D347" s="16"/>
      <c r="E347" s="16"/>
      <c r="F347" s="16"/>
      <c r="G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Y347" s="16"/>
    </row>
    <row r="348" customFormat="false" ht="12.8" hidden="false" customHeight="true" outlineLevel="0" collapsed="false">
      <c r="A348" s="16"/>
      <c r="D348" s="16"/>
      <c r="E348" s="16"/>
      <c r="F348" s="16"/>
      <c r="G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Y348" s="16"/>
    </row>
    <row r="349" customFormat="false" ht="12.8" hidden="false" customHeight="true" outlineLevel="0" collapsed="false">
      <c r="A349" s="16"/>
      <c r="D349" s="16"/>
      <c r="E349" s="16"/>
      <c r="F349" s="16"/>
      <c r="G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Y349" s="16"/>
    </row>
    <row r="350" customFormat="false" ht="12.8" hidden="false" customHeight="true" outlineLevel="0" collapsed="false">
      <c r="A350" s="16"/>
      <c r="D350" s="16"/>
      <c r="E350" s="16"/>
      <c r="F350" s="16"/>
      <c r="G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Y350" s="16"/>
    </row>
    <row r="351" customFormat="false" ht="12.8" hidden="false" customHeight="true" outlineLevel="0" collapsed="false">
      <c r="A351" s="16"/>
      <c r="D351" s="16"/>
      <c r="E351" s="16"/>
      <c r="F351" s="16"/>
      <c r="G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Y351" s="16"/>
    </row>
    <row r="352" customFormat="false" ht="12.8" hidden="false" customHeight="true" outlineLevel="0" collapsed="false">
      <c r="A352" s="16"/>
      <c r="D352" s="16"/>
      <c r="E352" s="16"/>
      <c r="F352" s="16"/>
      <c r="G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Y352" s="16"/>
    </row>
    <row r="353" customFormat="false" ht="12.8" hidden="false" customHeight="true" outlineLevel="0" collapsed="false">
      <c r="A353" s="16"/>
      <c r="D353" s="16"/>
      <c r="E353" s="16"/>
      <c r="F353" s="16"/>
      <c r="G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Y353" s="16"/>
    </row>
    <row r="354" customFormat="false" ht="12.8" hidden="false" customHeight="true" outlineLevel="0" collapsed="false">
      <c r="A354" s="16"/>
      <c r="D354" s="16"/>
      <c r="E354" s="16"/>
      <c r="F354" s="16"/>
      <c r="G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Y354" s="16"/>
    </row>
    <row r="355" customFormat="false" ht="12.8" hidden="false" customHeight="true" outlineLevel="0" collapsed="false">
      <c r="A355" s="16"/>
      <c r="D355" s="16"/>
      <c r="E355" s="16"/>
      <c r="F355" s="16"/>
      <c r="G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Y355" s="16"/>
    </row>
    <row r="356" customFormat="false" ht="12.8" hidden="false" customHeight="true" outlineLevel="0" collapsed="false">
      <c r="A356" s="16"/>
      <c r="D356" s="16"/>
      <c r="E356" s="16"/>
      <c r="F356" s="16"/>
      <c r="G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Y356" s="16"/>
    </row>
    <row r="357" customFormat="false" ht="12.8" hidden="false" customHeight="true" outlineLevel="0" collapsed="false">
      <c r="A357" s="16"/>
      <c r="D357" s="16"/>
      <c r="E357" s="16"/>
      <c r="F357" s="16"/>
      <c r="G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Y357" s="16"/>
    </row>
    <row r="358" customFormat="false" ht="12.8" hidden="false" customHeight="true" outlineLevel="0" collapsed="false">
      <c r="A358" s="16"/>
      <c r="D358" s="16"/>
      <c r="E358" s="16"/>
      <c r="F358" s="16"/>
      <c r="G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Y358" s="16"/>
    </row>
    <row r="359" customFormat="false" ht="12.8" hidden="false" customHeight="true" outlineLevel="0" collapsed="false">
      <c r="A359" s="16"/>
      <c r="D359" s="16"/>
      <c r="E359" s="16"/>
      <c r="F359" s="16"/>
      <c r="G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Y359" s="16"/>
    </row>
    <row r="360" customFormat="false" ht="12.8" hidden="false" customHeight="true" outlineLevel="0" collapsed="false">
      <c r="A360" s="16"/>
      <c r="D360" s="16"/>
      <c r="E360" s="16"/>
      <c r="F360" s="16"/>
      <c r="G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Y360" s="16"/>
    </row>
    <row r="361" customFormat="false" ht="12.8" hidden="false" customHeight="true" outlineLevel="0" collapsed="false">
      <c r="A361" s="16"/>
      <c r="D361" s="16"/>
      <c r="E361" s="16"/>
      <c r="F361" s="16"/>
      <c r="G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Y361" s="16"/>
    </row>
    <row r="362" customFormat="false" ht="12.8" hidden="false" customHeight="true" outlineLevel="0" collapsed="false">
      <c r="A362" s="16"/>
      <c r="D362" s="16"/>
      <c r="E362" s="16"/>
      <c r="F362" s="16"/>
      <c r="G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Y362" s="16"/>
    </row>
    <row r="363" customFormat="false" ht="12.8" hidden="false" customHeight="true" outlineLevel="0" collapsed="false">
      <c r="A363" s="16"/>
      <c r="D363" s="16"/>
      <c r="E363" s="16"/>
      <c r="F363" s="16"/>
      <c r="G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Y363" s="16"/>
    </row>
    <row r="364" customFormat="false" ht="12.8" hidden="false" customHeight="true" outlineLevel="0" collapsed="false">
      <c r="A364" s="16"/>
      <c r="D364" s="16"/>
      <c r="E364" s="16"/>
      <c r="F364" s="16"/>
      <c r="G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Y364" s="16"/>
    </row>
    <row r="365" customFormat="false" ht="12.8" hidden="false" customHeight="true" outlineLevel="0" collapsed="false">
      <c r="A365" s="16"/>
      <c r="D365" s="16"/>
      <c r="E365" s="16"/>
      <c r="F365" s="16"/>
      <c r="G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Y365" s="16"/>
    </row>
    <row r="366" customFormat="false" ht="12.8" hidden="false" customHeight="true" outlineLevel="0" collapsed="false">
      <c r="A366" s="16"/>
      <c r="D366" s="16"/>
      <c r="E366" s="16"/>
      <c r="F366" s="16"/>
      <c r="G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Y366" s="16"/>
    </row>
    <row r="367" customFormat="false" ht="12.8" hidden="false" customHeight="true" outlineLevel="0" collapsed="false">
      <c r="A367" s="16"/>
      <c r="D367" s="16"/>
      <c r="E367" s="16"/>
      <c r="F367" s="16"/>
      <c r="G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Y367" s="16"/>
    </row>
    <row r="368" customFormat="false" ht="12.8" hidden="false" customHeight="true" outlineLevel="0" collapsed="false">
      <c r="A368" s="16"/>
      <c r="D368" s="16"/>
      <c r="E368" s="16"/>
      <c r="F368" s="16"/>
      <c r="G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Y368" s="16"/>
    </row>
    <row r="369" customFormat="false" ht="12.8" hidden="false" customHeight="true" outlineLevel="0" collapsed="false">
      <c r="A369" s="16"/>
      <c r="D369" s="16"/>
      <c r="E369" s="16"/>
      <c r="F369" s="16"/>
      <c r="G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Y369" s="16"/>
    </row>
    <row r="370" customFormat="false" ht="12.8" hidden="false" customHeight="true" outlineLevel="0" collapsed="false">
      <c r="A370" s="16"/>
      <c r="D370" s="16"/>
      <c r="E370" s="16"/>
      <c r="F370" s="16"/>
      <c r="G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Y370" s="16"/>
    </row>
    <row r="371" customFormat="false" ht="12.8" hidden="false" customHeight="true" outlineLevel="0" collapsed="false">
      <c r="A371" s="16"/>
      <c r="D371" s="16"/>
      <c r="E371" s="16"/>
      <c r="F371" s="16"/>
      <c r="G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Y371" s="16"/>
    </row>
    <row r="372" customFormat="false" ht="12.8" hidden="false" customHeight="true" outlineLevel="0" collapsed="false">
      <c r="A372" s="16"/>
      <c r="D372" s="16"/>
      <c r="E372" s="16"/>
      <c r="F372" s="16"/>
      <c r="G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Y372" s="16"/>
    </row>
    <row r="373" customFormat="false" ht="12.8" hidden="false" customHeight="true" outlineLevel="0" collapsed="false">
      <c r="A373" s="16"/>
      <c r="D373" s="16"/>
      <c r="E373" s="16"/>
      <c r="F373" s="16"/>
      <c r="G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Y373" s="16"/>
    </row>
    <row r="374" customFormat="false" ht="12.8" hidden="false" customHeight="true" outlineLevel="0" collapsed="false">
      <c r="A374" s="16"/>
      <c r="D374" s="16"/>
      <c r="E374" s="16"/>
      <c r="F374" s="16"/>
      <c r="G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Y374" s="16"/>
    </row>
    <row r="375" customFormat="false" ht="12.8" hidden="false" customHeight="true" outlineLevel="0" collapsed="false">
      <c r="A375" s="16"/>
      <c r="D375" s="16"/>
      <c r="E375" s="16"/>
      <c r="F375" s="16"/>
      <c r="G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Y375" s="16"/>
    </row>
    <row r="376" customFormat="false" ht="12.8" hidden="false" customHeight="true" outlineLevel="0" collapsed="false">
      <c r="A376" s="16"/>
      <c r="D376" s="16"/>
      <c r="E376" s="16"/>
      <c r="F376" s="16"/>
      <c r="G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Y376" s="16"/>
    </row>
    <row r="377" customFormat="false" ht="12.8" hidden="false" customHeight="true" outlineLevel="0" collapsed="false">
      <c r="A377" s="16"/>
      <c r="D377" s="16"/>
      <c r="E377" s="16"/>
      <c r="F377" s="16"/>
      <c r="G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Y377" s="16"/>
    </row>
    <row r="378" customFormat="false" ht="12.8" hidden="false" customHeight="true" outlineLevel="0" collapsed="false">
      <c r="A378" s="16"/>
      <c r="D378" s="16"/>
      <c r="E378" s="16"/>
      <c r="F378" s="16"/>
      <c r="G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Y378" s="16"/>
    </row>
    <row r="379" customFormat="false" ht="12.8" hidden="false" customHeight="true" outlineLevel="0" collapsed="false">
      <c r="A379" s="16"/>
      <c r="D379" s="16"/>
      <c r="E379" s="16"/>
      <c r="F379" s="16"/>
      <c r="G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Y379" s="16"/>
    </row>
    <row r="380" customFormat="false" ht="12.8" hidden="false" customHeight="true" outlineLevel="0" collapsed="false">
      <c r="A380" s="16"/>
      <c r="D380" s="16"/>
      <c r="E380" s="16"/>
      <c r="F380" s="16"/>
      <c r="G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Y380" s="16"/>
    </row>
    <row r="381" customFormat="false" ht="12.8" hidden="false" customHeight="true" outlineLevel="0" collapsed="false">
      <c r="A381" s="16"/>
      <c r="D381" s="16"/>
      <c r="E381" s="16"/>
      <c r="F381" s="16"/>
      <c r="G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Y381" s="16"/>
    </row>
    <row r="382" customFormat="false" ht="12.8" hidden="false" customHeight="true" outlineLevel="0" collapsed="false">
      <c r="A382" s="16"/>
      <c r="D382" s="16"/>
      <c r="E382" s="16"/>
      <c r="F382" s="16"/>
      <c r="G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Y382" s="16"/>
    </row>
    <row r="383" customFormat="false" ht="12.8" hidden="false" customHeight="true" outlineLevel="0" collapsed="false">
      <c r="A383" s="16"/>
      <c r="D383" s="16"/>
      <c r="E383" s="16"/>
      <c r="F383" s="16"/>
      <c r="G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Y383" s="16"/>
    </row>
    <row r="384" customFormat="false" ht="12.8" hidden="false" customHeight="true" outlineLevel="0" collapsed="false">
      <c r="A384" s="16"/>
      <c r="D384" s="16"/>
      <c r="E384" s="16"/>
      <c r="F384" s="16"/>
      <c r="G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Y384" s="16"/>
    </row>
    <row r="385" customFormat="false" ht="12.8" hidden="false" customHeight="true" outlineLevel="0" collapsed="false">
      <c r="A385" s="16"/>
      <c r="D385" s="16"/>
      <c r="E385" s="16"/>
      <c r="F385" s="16"/>
      <c r="G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Y385" s="16"/>
    </row>
    <row r="386" customFormat="false" ht="12.8" hidden="false" customHeight="true" outlineLevel="0" collapsed="false">
      <c r="A386" s="16"/>
      <c r="D386" s="16"/>
      <c r="E386" s="16"/>
      <c r="F386" s="16"/>
      <c r="G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Y386" s="16"/>
    </row>
    <row r="387" customFormat="false" ht="12.8" hidden="false" customHeight="true" outlineLevel="0" collapsed="false">
      <c r="A387" s="16"/>
      <c r="D387" s="16"/>
      <c r="E387" s="16"/>
      <c r="F387" s="16"/>
      <c r="G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Y387" s="16"/>
    </row>
    <row r="388" customFormat="false" ht="12.8" hidden="false" customHeight="true" outlineLevel="0" collapsed="false">
      <c r="A388" s="16"/>
      <c r="D388" s="16"/>
      <c r="E388" s="16"/>
      <c r="F388" s="16"/>
      <c r="G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Y388" s="16"/>
    </row>
    <row r="389" customFormat="false" ht="12.8" hidden="false" customHeight="true" outlineLevel="0" collapsed="false">
      <c r="A389" s="16"/>
      <c r="D389" s="16"/>
      <c r="E389" s="16"/>
      <c r="F389" s="16"/>
      <c r="G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Y389" s="16"/>
    </row>
    <row r="390" customFormat="false" ht="12.8" hidden="false" customHeight="true" outlineLevel="0" collapsed="false">
      <c r="A390" s="16"/>
      <c r="D390" s="16"/>
      <c r="E390" s="16"/>
      <c r="F390" s="16"/>
      <c r="G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Y390" s="16"/>
    </row>
    <row r="391" customFormat="false" ht="12.8" hidden="false" customHeight="true" outlineLevel="0" collapsed="false">
      <c r="A391" s="16"/>
      <c r="D391" s="16"/>
      <c r="E391" s="16"/>
      <c r="F391" s="16"/>
      <c r="G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Y391" s="16"/>
    </row>
    <row r="392" customFormat="false" ht="12.8" hidden="false" customHeight="true" outlineLevel="0" collapsed="false">
      <c r="A392" s="16"/>
      <c r="D392" s="16"/>
      <c r="E392" s="16"/>
      <c r="F392" s="16"/>
      <c r="G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Y392" s="16"/>
    </row>
    <row r="393" customFormat="false" ht="12.8" hidden="false" customHeight="true" outlineLevel="0" collapsed="false">
      <c r="A393" s="16"/>
      <c r="D393" s="16"/>
      <c r="E393" s="16"/>
      <c r="F393" s="16"/>
      <c r="G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Y393" s="16"/>
    </row>
    <row r="394" customFormat="false" ht="12.8" hidden="false" customHeight="true" outlineLevel="0" collapsed="false">
      <c r="A394" s="16"/>
      <c r="D394" s="16"/>
      <c r="E394" s="16"/>
      <c r="F394" s="16"/>
      <c r="G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Y394" s="16"/>
    </row>
    <row r="395" customFormat="false" ht="12.8" hidden="false" customHeight="true" outlineLevel="0" collapsed="false">
      <c r="A395" s="16"/>
      <c r="D395" s="16"/>
      <c r="E395" s="16"/>
      <c r="F395" s="16"/>
      <c r="G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Y395" s="16"/>
    </row>
    <row r="396" customFormat="false" ht="12.8" hidden="false" customHeight="true" outlineLevel="0" collapsed="false">
      <c r="A396" s="16"/>
      <c r="D396" s="16"/>
      <c r="E396" s="16"/>
      <c r="F396" s="16"/>
      <c r="G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Y396" s="16"/>
    </row>
    <row r="397" customFormat="false" ht="12.8" hidden="false" customHeight="true" outlineLevel="0" collapsed="false">
      <c r="A397" s="16"/>
      <c r="D397" s="16"/>
      <c r="E397" s="16"/>
      <c r="F397" s="16"/>
      <c r="G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Y397" s="16"/>
    </row>
    <row r="398" customFormat="false" ht="12.8" hidden="false" customHeight="true" outlineLevel="0" collapsed="false">
      <c r="A398" s="16"/>
      <c r="D398" s="16"/>
      <c r="E398" s="16"/>
      <c r="F398" s="16"/>
      <c r="G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Y398" s="16"/>
    </row>
    <row r="399" customFormat="false" ht="12.8" hidden="false" customHeight="true" outlineLevel="0" collapsed="false">
      <c r="A399" s="16"/>
      <c r="D399" s="16"/>
      <c r="E399" s="16"/>
      <c r="F399" s="16"/>
      <c r="G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Y399" s="16"/>
    </row>
    <row r="400" customFormat="false" ht="12.8" hidden="false" customHeight="true" outlineLevel="0" collapsed="false">
      <c r="A400" s="16"/>
      <c r="D400" s="16"/>
      <c r="E400" s="16"/>
      <c r="F400" s="16"/>
      <c r="G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Y400" s="16"/>
    </row>
    <row r="401" customFormat="false" ht="12.8" hidden="false" customHeight="true" outlineLevel="0" collapsed="false">
      <c r="A401" s="16"/>
      <c r="D401" s="16"/>
      <c r="E401" s="16"/>
      <c r="F401" s="16"/>
      <c r="G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Y401" s="16"/>
    </row>
    <row r="402" customFormat="false" ht="12.8" hidden="false" customHeight="true" outlineLevel="0" collapsed="false">
      <c r="A402" s="16"/>
      <c r="D402" s="16"/>
      <c r="E402" s="16"/>
      <c r="F402" s="16"/>
      <c r="G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Y402" s="16"/>
    </row>
    <row r="403" customFormat="false" ht="12.8" hidden="false" customHeight="true" outlineLevel="0" collapsed="false">
      <c r="A403" s="16"/>
      <c r="D403" s="16"/>
      <c r="E403" s="16"/>
      <c r="F403" s="16"/>
      <c r="G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Y403" s="16"/>
    </row>
    <row r="404" customFormat="false" ht="12.8" hidden="false" customHeight="true" outlineLevel="0" collapsed="false">
      <c r="A404" s="16"/>
      <c r="D404" s="16"/>
      <c r="E404" s="16"/>
      <c r="F404" s="16"/>
      <c r="G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Y404" s="16"/>
    </row>
    <row r="405" customFormat="false" ht="12.8" hidden="false" customHeight="true" outlineLevel="0" collapsed="false">
      <c r="A405" s="16"/>
      <c r="D405" s="16"/>
      <c r="E405" s="16"/>
      <c r="F405" s="16"/>
      <c r="G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Y405" s="16"/>
    </row>
    <row r="406" customFormat="false" ht="12.8" hidden="false" customHeight="true" outlineLevel="0" collapsed="false">
      <c r="A406" s="16"/>
      <c r="D406" s="16"/>
      <c r="E406" s="16"/>
      <c r="F406" s="16"/>
      <c r="G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Y406" s="16"/>
    </row>
    <row r="407" customFormat="false" ht="12.8" hidden="false" customHeight="true" outlineLevel="0" collapsed="false">
      <c r="A407" s="16"/>
      <c r="D407" s="16"/>
      <c r="E407" s="16"/>
      <c r="F407" s="16"/>
      <c r="G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Y407" s="16"/>
    </row>
    <row r="408" customFormat="false" ht="12.8" hidden="false" customHeight="true" outlineLevel="0" collapsed="false">
      <c r="A408" s="16"/>
      <c r="D408" s="16"/>
      <c r="E408" s="16"/>
      <c r="F408" s="16"/>
      <c r="G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Y408" s="16"/>
    </row>
    <row r="409" customFormat="false" ht="12.8" hidden="false" customHeight="true" outlineLevel="0" collapsed="false">
      <c r="A409" s="16"/>
      <c r="D409" s="16"/>
      <c r="E409" s="16"/>
      <c r="F409" s="16"/>
      <c r="G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Y409" s="16"/>
    </row>
    <row r="410" customFormat="false" ht="12.8" hidden="false" customHeight="true" outlineLevel="0" collapsed="false">
      <c r="A410" s="16"/>
      <c r="D410" s="16"/>
      <c r="E410" s="16"/>
      <c r="F410" s="16"/>
      <c r="G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Y410" s="16"/>
    </row>
    <row r="411" customFormat="false" ht="12.8" hidden="false" customHeight="true" outlineLevel="0" collapsed="false">
      <c r="A411" s="16"/>
      <c r="D411" s="16"/>
      <c r="E411" s="16"/>
      <c r="F411" s="16"/>
      <c r="G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Y411" s="16"/>
    </row>
    <row r="412" customFormat="false" ht="12.8" hidden="false" customHeight="true" outlineLevel="0" collapsed="false">
      <c r="A412" s="16"/>
      <c r="D412" s="16"/>
      <c r="E412" s="16"/>
      <c r="F412" s="16"/>
      <c r="G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Y412" s="16"/>
    </row>
    <row r="413" customFormat="false" ht="12.8" hidden="false" customHeight="true" outlineLevel="0" collapsed="false">
      <c r="A413" s="16"/>
      <c r="D413" s="16"/>
      <c r="E413" s="16"/>
      <c r="F413" s="16"/>
      <c r="G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Y413" s="16"/>
    </row>
    <row r="414" customFormat="false" ht="12.8" hidden="false" customHeight="true" outlineLevel="0" collapsed="false">
      <c r="A414" s="16"/>
      <c r="D414" s="16"/>
      <c r="E414" s="16"/>
      <c r="F414" s="16"/>
      <c r="G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Y414" s="16"/>
    </row>
    <row r="415" customFormat="false" ht="12.8" hidden="false" customHeight="true" outlineLevel="0" collapsed="false">
      <c r="A415" s="16"/>
      <c r="D415" s="16"/>
      <c r="E415" s="16"/>
      <c r="F415" s="16"/>
      <c r="G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Y415" s="16"/>
    </row>
    <row r="416" customFormat="false" ht="12.8" hidden="false" customHeight="true" outlineLevel="0" collapsed="false">
      <c r="A416" s="16"/>
      <c r="D416" s="16"/>
      <c r="E416" s="16"/>
      <c r="F416" s="16"/>
      <c r="G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Y416" s="16"/>
    </row>
    <row r="417" customFormat="false" ht="12.8" hidden="false" customHeight="true" outlineLevel="0" collapsed="false">
      <c r="A417" s="16"/>
      <c r="D417" s="16"/>
      <c r="E417" s="16"/>
      <c r="F417" s="16"/>
      <c r="G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Y417" s="16"/>
    </row>
    <row r="418" customFormat="false" ht="12.8" hidden="false" customHeight="true" outlineLevel="0" collapsed="false">
      <c r="A418" s="16"/>
      <c r="D418" s="16"/>
      <c r="E418" s="16"/>
      <c r="F418" s="16"/>
      <c r="G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Y418" s="16"/>
    </row>
    <row r="419" customFormat="false" ht="12.8" hidden="false" customHeight="true" outlineLevel="0" collapsed="false">
      <c r="A419" s="16"/>
      <c r="D419" s="16"/>
      <c r="E419" s="16"/>
      <c r="F419" s="16"/>
      <c r="G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Y419" s="16"/>
    </row>
    <row r="420" customFormat="false" ht="12.8" hidden="false" customHeight="true" outlineLevel="0" collapsed="false">
      <c r="A420" s="16"/>
      <c r="D420" s="16"/>
      <c r="E420" s="16"/>
      <c r="F420" s="16"/>
      <c r="G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Y420" s="16"/>
    </row>
    <row r="421" customFormat="false" ht="12.8" hidden="false" customHeight="true" outlineLevel="0" collapsed="false">
      <c r="A421" s="16"/>
      <c r="D421" s="16"/>
      <c r="E421" s="16"/>
      <c r="F421" s="16"/>
      <c r="G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Y421" s="16"/>
    </row>
    <row r="422" customFormat="false" ht="12.8" hidden="false" customHeight="true" outlineLevel="0" collapsed="false">
      <c r="A422" s="16"/>
      <c r="D422" s="16"/>
      <c r="E422" s="16"/>
      <c r="F422" s="16"/>
      <c r="G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Y422" s="16"/>
    </row>
    <row r="423" customFormat="false" ht="12.8" hidden="false" customHeight="true" outlineLevel="0" collapsed="false">
      <c r="A423" s="16"/>
      <c r="D423" s="16"/>
      <c r="E423" s="16"/>
      <c r="F423" s="16"/>
      <c r="G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Y423" s="16"/>
    </row>
    <row r="424" customFormat="false" ht="12.8" hidden="false" customHeight="true" outlineLevel="0" collapsed="false">
      <c r="A424" s="16"/>
      <c r="D424" s="16"/>
      <c r="E424" s="16"/>
      <c r="F424" s="16"/>
      <c r="G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Y424" s="16"/>
    </row>
    <row r="425" customFormat="false" ht="12.8" hidden="false" customHeight="true" outlineLevel="0" collapsed="false">
      <c r="A425" s="16"/>
      <c r="D425" s="16"/>
      <c r="E425" s="16"/>
      <c r="F425" s="16"/>
      <c r="G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Y425" s="16"/>
    </row>
    <row r="426" customFormat="false" ht="12.8" hidden="false" customHeight="true" outlineLevel="0" collapsed="false">
      <c r="A426" s="16"/>
      <c r="D426" s="16"/>
      <c r="E426" s="16"/>
      <c r="F426" s="16"/>
      <c r="G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Y426" s="16"/>
    </row>
    <row r="427" customFormat="false" ht="12.8" hidden="false" customHeight="true" outlineLevel="0" collapsed="false">
      <c r="A427" s="16"/>
      <c r="D427" s="16"/>
      <c r="E427" s="16"/>
      <c r="F427" s="16"/>
      <c r="G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Y427" s="16"/>
    </row>
    <row r="428" customFormat="false" ht="12.8" hidden="false" customHeight="true" outlineLevel="0" collapsed="false">
      <c r="A428" s="16"/>
      <c r="D428" s="16"/>
      <c r="E428" s="16"/>
      <c r="F428" s="16"/>
      <c r="G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Y428" s="16"/>
    </row>
    <row r="429" customFormat="false" ht="12.8" hidden="false" customHeight="true" outlineLevel="0" collapsed="false">
      <c r="A429" s="16"/>
      <c r="D429" s="16"/>
      <c r="E429" s="16"/>
      <c r="F429" s="16"/>
      <c r="G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Y429" s="16"/>
    </row>
    <row r="430" customFormat="false" ht="12.8" hidden="false" customHeight="true" outlineLevel="0" collapsed="false">
      <c r="A430" s="16"/>
      <c r="D430" s="16"/>
      <c r="E430" s="16"/>
      <c r="F430" s="16"/>
      <c r="G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Y430" s="16"/>
    </row>
    <row r="431" customFormat="false" ht="12.8" hidden="false" customHeight="true" outlineLevel="0" collapsed="false">
      <c r="A431" s="16"/>
      <c r="D431" s="16"/>
      <c r="E431" s="16"/>
      <c r="F431" s="16"/>
      <c r="G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Y431" s="16"/>
    </row>
    <row r="432" customFormat="false" ht="12.8" hidden="false" customHeight="true" outlineLevel="0" collapsed="false">
      <c r="A432" s="16"/>
      <c r="D432" s="16"/>
      <c r="E432" s="16"/>
      <c r="F432" s="16"/>
      <c r="G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Y432" s="16"/>
    </row>
    <row r="433" customFormat="false" ht="12.8" hidden="false" customHeight="true" outlineLevel="0" collapsed="false">
      <c r="A433" s="16"/>
      <c r="D433" s="16"/>
      <c r="E433" s="16"/>
      <c r="F433" s="16"/>
      <c r="G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Y433" s="16"/>
    </row>
    <row r="434" customFormat="false" ht="12.8" hidden="false" customHeight="true" outlineLevel="0" collapsed="false">
      <c r="A434" s="16"/>
      <c r="D434" s="16"/>
      <c r="E434" s="16"/>
      <c r="F434" s="16"/>
      <c r="G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Y434" s="16"/>
    </row>
    <row r="435" customFormat="false" ht="12.8" hidden="false" customHeight="true" outlineLevel="0" collapsed="false">
      <c r="A435" s="16"/>
      <c r="D435" s="16"/>
      <c r="E435" s="16"/>
      <c r="F435" s="16"/>
      <c r="G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Y435" s="16"/>
    </row>
    <row r="436" customFormat="false" ht="12.8" hidden="false" customHeight="true" outlineLevel="0" collapsed="false">
      <c r="A436" s="16"/>
      <c r="D436" s="16"/>
      <c r="E436" s="16"/>
      <c r="F436" s="16"/>
      <c r="G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Y436" s="16"/>
    </row>
    <row r="437" customFormat="false" ht="12.8" hidden="false" customHeight="true" outlineLevel="0" collapsed="false">
      <c r="A437" s="16"/>
      <c r="D437" s="16"/>
      <c r="E437" s="16"/>
      <c r="F437" s="16"/>
      <c r="G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Y437" s="16"/>
    </row>
    <row r="438" customFormat="false" ht="12.8" hidden="false" customHeight="true" outlineLevel="0" collapsed="false">
      <c r="A438" s="16"/>
      <c r="D438" s="16"/>
      <c r="E438" s="16"/>
      <c r="F438" s="16"/>
      <c r="G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Y438" s="16"/>
    </row>
    <row r="439" customFormat="false" ht="12.8" hidden="false" customHeight="true" outlineLevel="0" collapsed="false">
      <c r="A439" s="16"/>
      <c r="D439" s="16"/>
      <c r="E439" s="16"/>
      <c r="F439" s="16"/>
      <c r="G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Y439" s="16"/>
    </row>
    <row r="440" customFormat="false" ht="12.8" hidden="false" customHeight="true" outlineLevel="0" collapsed="false">
      <c r="A440" s="16"/>
      <c r="D440" s="16"/>
      <c r="E440" s="16"/>
      <c r="F440" s="16"/>
      <c r="G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Y440" s="16"/>
    </row>
    <row r="441" customFormat="false" ht="12.8" hidden="false" customHeight="true" outlineLevel="0" collapsed="false">
      <c r="A441" s="16"/>
      <c r="D441" s="16"/>
      <c r="E441" s="16"/>
      <c r="F441" s="16"/>
      <c r="G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Y441" s="16"/>
    </row>
    <row r="442" customFormat="false" ht="12.8" hidden="false" customHeight="true" outlineLevel="0" collapsed="false">
      <c r="A442" s="16"/>
      <c r="D442" s="16"/>
      <c r="E442" s="16"/>
      <c r="F442" s="16"/>
      <c r="G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Y442" s="16"/>
    </row>
    <row r="443" customFormat="false" ht="12.8" hidden="false" customHeight="true" outlineLevel="0" collapsed="false">
      <c r="A443" s="16"/>
      <c r="D443" s="16"/>
      <c r="E443" s="16"/>
      <c r="F443" s="16"/>
      <c r="G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Y443" s="16"/>
    </row>
    <row r="444" customFormat="false" ht="12.8" hidden="false" customHeight="true" outlineLevel="0" collapsed="false">
      <c r="A444" s="16"/>
      <c r="D444" s="16"/>
      <c r="E444" s="16"/>
      <c r="F444" s="16"/>
      <c r="G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Y444" s="16"/>
    </row>
    <row r="445" customFormat="false" ht="12.8" hidden="false" customHeight="true" outlineLevel="0" collapsed="false">
      <c r="A445" s="16"/>
      <c r="D445" s="16"/>
      <c r="E445" s="16"/>
      <c r="F445" s="16"/>
      <c r="G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Y445" s="16"/>
    </row>
    <row r="446" customFormat="false" ht="12.8" hidden="false" customHeight="true" outlineLevel="0" collapsed="false">
      <c r="A446" s="16"/>
      <c r="D446" s="16"/>
      <c r="E446" s="16"/>
      <c r="F446" s="16"/>
      <c r="G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Y446" s="16"/>
    </row>
    <row r="447" customFormat="false" ht="12.8" hidden="false" customHeight="true" outlineLevel="0" collapsed="false">
      <c r="A447" s="16"/>
      <c r="D447" s="16"/>
      <c r="E447" s="16"/>
      <c r="F447" s="16"/>
      <c r="G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Y447" s="16"/>
    </row>
    <row r="448" customFormat="false" ht="12.8" hidden="false" customHeight="true" outlineLevel="0" collapsed="false">
      <c r="A448" s="16"/>
      <c r="D448" s="16"/>
      <c r="E448" s="16"/>
      <c r="F448" s="16"/>
      <c r="G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Y448" s="16"/>
    </row>
    <row r="449" customFormat="false" ht="12.8" hidden="false" customHeight="true" outlineLevel="0" collapsed="false">
      <c r="A449" s="16"/>
      <c r="D449" s="16"/>
      <c r="E449" s="16"/>
      <c r="F449" s="16"/>
      <c r="G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Y449" s="16"/>
    </row>
    <row r="450" customFormat="false" ht="12.8" hidden="false" customHeight="true" outlineLevel="0" collapsed="false">
      <c r="A450" s="16"/>
      <c r="D450" s="16"/>
      <c r="E450" s="16"/>
      <c r="F450" s="16"/>
      <c r="G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Y450" s="16"/>
    </row>
    <row r="451" customFormat="false" ht="12.8" hidden="false" customHeight="true" outlineLevel="0" collapsed="false">
      <c r="A451" s="16"/>
      <c r="D451" s="16"/>
      <c r="E451" s="16"/>
      <c r="F451" s="16"/>
      <c r="G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Y451" s="16"/>
    </row>
    <row r="452" customFormat="false" ht="12.8" hidden="false" customHeight="true" outlineLevel="0" collapsed="false">
      <c r="A452" s="16"/>
      <c r="D452" s="16"/>
      <c r="E452" s="16"/>
      <c r="F452" s="16"/>
      <c r="G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Y452" s="16"/>
    </row>
    <row r="453" customFormat="false" ht="12.8" hidden="false" customHeight="true" outlineLevel="0" collapsed="false">
      <c r="A453" s="16"/>
      <c r="D453" s="16"/>
      <c r="E453" s="16"/>
      <c r="F453" s="16"/>
      <c r="G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Y453" s="16"/>
    </row>
    <row r="454" customFormat="false" ht="12.8" hidden="false" customHeight="true" outlineLevel="0" collapsed="false">
      <c r="A454" s="16"/>
      <c r="D454" s="16"/>
      <c r="E454" s="16"/>
      <c r="F454" s="16"/>
      <c r="G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Y454" s="16"/>
    </row>
    <row r="455" customFormat="false" ht="12.8" hidden="false" customHeight="true" outlineLevel="0" collapsed="false">
      <c r="A455" s="16"/>
      <c r="D455" s="16"/>
      <c r="E455" s="16"/>
      <c r="F455" s="16"/>
      <c r="G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Y455" s="16"/>
    </row>
    <row r="456" customFormat="false" ht="12.8" hidden="false" customHeight="true" outlineLevel="0" collapsed="false">
      <c r="A456" s="16"/>
      <c r="D456" s="16"/>
      <c r="E456" s="16"/>
      <c r="F456" s="16"/>
      <c r="G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Y456" s="16"/>
    </row>
    <row r="457" customFormat="false" ht="12.8" hidden="false" customHeight="true" outlineLevel="0" collapsed="false">
      <c r="A457" s="16"/>
      <c r="D457" s="16"/>
      <c r="E457" s="16"/>
      <c r="F457" s="16"/>
      <c r="G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Y457" s="16"/>
    </row>
    <row r="458" customFormat="false" ht="12.8" hidden="false" customHeight="true" outlineLevel="0" collapsed="false">
      <c r="A458" s="16"/>
      <c r="D458" s="16"/>
      <c r="E458" s="16"/>
      <c r="F458" s="16"/>
      <c r="G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Y458" s="16"/>
    </row>
    <row r="459" customFormat="false" ht="12.8" hidden="false" customHeight="true" outlineLevel="0" collapsed="false">
      <c r="A459" s="16"/>
      <c r="D459" s="16"/>
      <c r="E459" s="16"/>
      <c r="F459" s="16"/>
      <c r="G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Y459" s="16"/>
    </row>
    <row r="460" customFormat="false" ht="12.8" hidden="false" customHeight="true" outlineLevel="0" collapsed="false">
      <c r="A460" s="16"/>
      <c r="D460" s="16"/>
      <c r="E460" s="16"/>
      <c r="F460" s="16"/>
      <c r="G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Y460" s="16"/>
    </row>
    <row r="461" customFormat="false" ht="12.8" hidden="false" customHeight="true" outlineLevel="0" collapsed="false">
      <c r="A461" s="16"/>
      <c r="D461" s="16"/>
      <c r="E461" s="16"/>
      <c r="F461" s="16"/>
      <c r="G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Y461" s="16"/>
    </row>
    <row r="462" customFormat="false" ht="12.8" hidden="false" customHeight="true" outlineLevel="0" collapsed="false">
      <c r="A462" s="16"/>
      <c r="D462" s="16"/>
      <c r="E462" s="16"/>
      <c r="F462" s="16"/>
      <c r="G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Y462" s="16"/>
    </row>
    <row r="463" customFormat="false" ht="12.8" hidden="false" customHeight="true" outlineLevel="0" collapsed="false">
      <c r="A463" s="16"/>
      <c r="D463" s="16"/>
      <c r="E463" s="16"/>
      <c r="F463" s="16"/>
      <c r="G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Y463" s="16"/>
    </row>
    <row r="464" customFormat="false" ht="12.8" hidden="false" customHeight="true" outlineLevel="0" collapsed="false">
      <c r="A464" s="16"/>
      <c r="D464" s="16"/>
      <c r="E464" s="16"/>
      <c r="F464" s="16"/>
      <c r="G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Y464" s="16"/>
    </row>
    <row r="465" customFormat="false" ht="12.8" hidden="false" customHeight="true" outlineLevel="0" collapsed="false">
      <c r="A465" s="16"/>
      <c r="D465" s="16"/>
      <c r="E465" s="16"/>
      <c r="F465" s="16"/>
      <c r="G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Y465" s="16"/>
    </row>
    <row r="466" customFormat="false" ht="12.8" hidden="false" customHeight="true" outlineLevel="0" collapsed="false">
      <c r="A466" s="16"/>
      <c r="D466" s="16"/>
      <c r="E466" s="16"/>
      <c r="F466" s="16"/>
      <c r="G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Y466" s="16"/>
    </row>
    <row r="467" customFormat="false" ht="12.8" hidden="false" customHeight="true" outlineLevel="0" collapsed="false">
      <c r="A467" s="16"/>
      <c r="D467" s="16"/>
      <c r="E467" s="16"/>
      <c r="F467" s="16"/>
      <c r="G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Y467" s="16"/>
    </row>
    <row r="468" customFormat="false" ht="12.8" hidden="false" customHeight="true" outlineLevel="0" collapsed="false">
      <c r="A468" s="16"/>
      <c r="D468" s="16"/>
      <c r="E468" s="16"/>
      <c r="F468" s="16"/>
      <c r="G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Y468" s="16"/>
    </row>
    <row r="469" customFormat="false" ht="12.8" hidden="false" customHeight="true" outlineLevel="0" collapsed="false">
      <c r="A469" s="16"/>
      <c r="D469" s="16"/>
      <c r="E469" s="16"/>
      <c r="F469" s="16"/>
      <c r="G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Y469" s="16"/>
    </row>
    <row r="470" customFormat="false" ht="12.8" hidden="false" customHeight="true" outlineLevel="0" collapsed="false">
      <c r="A470" s="16"/>
      <c r="D470" s="16"/>
      <c r="E470" s="16"/>
      <c r="F470" s="16"/>
      <c r="G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Y470" s="16"/>
    </row>
    <row r="471" customFormat="false" ht="12.8" hidden="false" customHeight="true" outlineLevel="0" collapsed="false">
      <c r="A471" s="16"/>
      <c r="D471" s="16"/>
      <c r="E471" s="16"/>
      <c r="F471" s="16"/>
      <c r="G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Y471" s="16"/>
    </row>
    <row r="472" customFormat="false" ht="12.8" hidden="false" customHeight="true" outlineLevel="0" collapsed="false">
      <c r="A472" s="16"/>
      <c r="D472" s="16"/>
      <c r="E472" s="16"/>
      <c r="F472" s="16"/>
      <c r="G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Y472" s="16"/>
    </row>
    <row r="473" customFormat="false" ht="12.8" hidden="false" customHeight="true" outlineLevel="0" collapsed="false">
      <c r="A473" s="16"/>
      <c r="D473" s="16"/>
      <c r="E473" s="16"/>
      <c r="F473" s="16"/>
      <c r="G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Y473" s="16"/>
    </row>
    <row r="474" customFormat="false" ht="12.8" hidden="false" customHeight="true" outlineLevel="0" collapsed="false">
      <c r="A474" s="16"/>
      <c r="D474" s="16"/>
      <c r="E474" s="16"/>
      <c r="F474" s="16"/>
      <c r="G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Y474" s="16"/>
    </row>
    <row r="475" customFormat="false" ht="12.8" hidden="false" customHeight="true" outlineLevel="0" collapsed="false">
      <c r="A475" s="16"/>
      <c r="D475" s="16"/>
      <c r="E475" s="16"/>
      <c r="F475" s="16"/>
      <c r="G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Y475" s="16"/>
    </row>
    <row r="476" customFormat="false" ht="12.8" hidden="false" customHeight="true" outlineLevel="0" collapsed="false">
      <c r="A476" s="16"/>
      <c r="D476" s="16"/>
      <c r="E476" s="16"/>
      <c r="F476" s="16"/>
      <c r="G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Y476" s="16"/>
    </row>
    <row r="477" customFormat="false" ht="12.8" hidden="false" customHeight="true" outlineLevel="0" collapsed="false">
      <c r="A477" s="16"/>
      <c r="D477" s="16"/>
      <c r="E477" s="16"/>
      <c r="F477" s="16"/>
      <c r="G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Y477" s="16"/>
    </row>
    <row r="478" customFormat="false" ht="12.8" hidden="false" customHeight="true" outlineLevel="0" collapsed="false">
      <c r="A478" s="16"/>
      <c r="D478" s="16"/>
      <c r="E478" s="16"/>
      <c r="F478" s="16"/>
      <c r="G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Y478" s="16"/>
    </row>
    <row r="479" customFormat="false" ht="12.8" hidden="false" customHeight="true" outlineLevel="0" collapsed="false">
      <c r="A479" s="16"/>
      <c r="D479" s="16"/>
      <c r="E479" s="16"/>
      <c r="F479" s="16"/>
      <c r="G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Y479" s="16"/>
    </row>
    <row r="480" customFormat="false" ht="12.8" hidden="false" customHeight="true" outlineLevel="0" collapsed="false">
      <c r="A480" s="16"/>
      <c r="D480" s="16"/>
      <c r="E480" s="16"/>
      <c r="F480" s="16"/>
      <c r="G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Y480" s="16"/>
    </row>
    <row r="481" customFormat="false" ht="12.8" hidden="false" customHeight="true" outlineLevel="0" collapsed="false">
      <c r="A481" s="16"/>
      <c r="D481" s="16"/>
      <c r="E481" s="16"/>
      <c r="F481" s="16"/>
      <c r="G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Y481" s="16"/>
    </row>
    <row r="482" customFormat="false" ht="12.8" hidden="false" customHeight="true" outlineLevel="0" collapsed="false">
      <c r="A482" s="16"/>
      <c r="D482" s="16"/>
      <c r="E482" s="16"/>
      <c r="F482" s="16"/>
      <c r="G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Y482" s="16"/>
    </row>
    <row r="483" customFormat="false" ht="12.8" hidden="false" customHeight="true" outlineLevel="0" collapsed="false">
      <c r="A483" s="16"/>
      <c r="D483" s="16"/>
      <c r="E483" s="16"/>
      <c r="F483" s="16"/>
      <c r="G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Y483" s="16"/>
    </row>
    <row r="484" customFormat="false" ht="12.8" hidden="false" customHeight="true" outlineLevel="0" collapsed="false">
      <c r="A484" s="16"/>
      <c r="D484" s="16"/>
      <c r="E484" s="16"/>
      <c r="F484" s="16"/>
      <c r="G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Y484" s="16"/>
    </row>
    <row r="485" customFormat="false" ht="12.8" hidden="false" customHeight="true" outlineLevel="0" collapsed="false">
      <c r="A485" s="16"/>
      <c r="D485" s="16"/>
      <c r="E485" s="16"/>
      <c r="F485" s="16"/>
      <c r="G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Y485" s="16"/>
    </row>
    <row r="486" customFormat="false" ht="12.8" hidden="false" customHeight="true" outlineLevel="0" collapsed="false">
      <c r="A486" s="16"/>
      <c r="D486" s="16"/>
      <c r="E486" s="16"/>
      <c r="F486" s="16"/>
      <c r="G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Y486" s="16"/>
    </row>
    <row r="487" customFormat="false" ht="12.8" hidden="false" customHeight="true" outlineLevel="0" collapsed="false">
      <c r="A487" s="16"/>
      <c r="D487" s="16"/>
      <c r="E487" s="16"/>
      <c r="F487" s="16"/>
      <c r="G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Y487" s="16"/>
    </row>
    <row r="488" customFormat="false" ht="12.8" hidden="false" customHeight="true" outlineLevel="0" collapsed="false">
      <c r="A488" s="16"/>
      <c r="D488" s="16"/>
      <c r="E488" s="16"/>
      <c r="F488" s="16"/>
      <c r="G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Y488" s="16"/>
    </row>
    <row r="489" customFormat="false" ht="12.8" hidden="false" customHeight="true" outlineLevel="0" collapsed="false">
      <c r="A489" s="16"/>
      <c r="D489" s="16"/>
      <c r="E489" s="16"/>
      <c r="F489" s="16"/>
      <c r="G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Y489" s="16"/>
    </row>
    <row r="490" customFormat="false" ht="12.8" hidden="false" customHeight="true" outlineLevel="0" collapsed="false">
      <c r="A490" s="16"/>
      <c r="D490" s="16"/>
      <c r="E490" s="16"/>
      <c r="F490" s="16"/>
      <c r="G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Y490" s="16"/>
    </row>
    <row r="491" customFormat="false" ht="12.8" hidden="false" customHeight="true" outlineLevel="0" collapsed="false">
      <c r="A491" s="16"/>
      <c r="D491" s="16"/>
      <c r="E491" s="16"/>
      <c r="F491" s="16"/>
      <c r="G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Y491" s="16"/>
    </row>
    <row r="492" customFormat="false" ht="12.8" hidden="false" customHeight="true" outlineLevel="0" collapsed="false">
      <c r="A492" s="16"/>
      <c r="D492" s="16"/>
      <c r="E492" s="16"/>
      <c r="F492" s="16"/>
      <c r="G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Y492" s="16"/>
    </row>
    <row r="493" customFormat="false" ht="12.8" hidden="false" customHeight="true" outlineLevel="0" collapsed="false">
      <c r="A493" s="16"/>
      <c r="D493" s="16"/>
      <c r="E493" s="16"/>
      <c r="F493" s="16"/>
      <c r="G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Y493" s="16"/>
    </row>
    <row r="494" customFormat="false" ht="12.8" hidden="false" customHeight="true" outlineLevel="0" collapsed="false">
      <c r="A494" s="16"/>
      <c r="D494" s="16"/>
      <c r="E494" s="16"/>
      <c r="F494" s="16"/>
      <c r="G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Y494" s="16"/>
    </row>
    <row r="495" customFormat="false" ht="12.8" hidden="false" customHeight="true" outlineLevel="0" collapsed="false">
      <c r="A495" s="16"/>
      <c r="D495" s="16"/>
      <c r="E495" s="16"/>
      <c r="F495" s="16"/>
      <c r="G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Y495" s="16"/>
    </row>
    <row r="496" customFormat="false" ht="12.8" hidden="false" customHeight="true" outlineLevel="0" collapsed="false">
      <c r="A496" s="16"/>
      <c r="D496" s="16"/>
      <c r="E496" s="16"/>
      <c r="F496" s="16"/>
      <c r="G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Y496" s="16"/>
    </row>
    <row r="497" customFormat="false" ht="12.8" hidden="false" customHeight="true" outlineLevel="0" collapsed="false">
      <c r="A497" s="16"/>
      <c r="D497" s="16"/>
      <c r="E497" s="16"/>
      <c r="F497" s="16"/>
      <c r="G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Y497" s="16"/>
    </row>
    <row r="498" customFormat="false" ht="12.8" hidden="false" customHeight="true" outlineLevel="0" collapsed="false">
      <c r="A498" s="16"/>
      <c r="D498" s="16"/>
      <c r="E498" s="16"/>
      <c r="F498" s="16"/>
      <c r="G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Y498" s="16"/>
    </row>
    <row r="499" customFormat="false" ht="12.8" hidden="false" customHeight="true" outlineLevel="0" collapsed="false">
      <c r="A499" s="16"/>
      <c r="D499" s="16"/>
      <c r="E499" s="16"/>
      <c r="F499" s="16"/>
      <c r="G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Y499" s="16"/>
    </row>
    <row r="500" customFormat="false" ht="12.8" hidden="false" customHeight="true" outlineLevel="0" collapsed="false">
      <c r="A500" s="16"/>
      <c r="D500" s="16"/>
      <c r="E500" s="16"/>
      <c r="F500" s="16"/>
      <c r="G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Y500" s="16"/>
    </row>
    <row r="501" customFormat="false" ht="12.8" hidden="false" customHeight="true" outlineLevel="0" collapsed="false">
      <c r="A501" s="16"/>
      <c r="D501" s="16"/>
      <c r="E501" s="16"/>
      <c r="F501" s="16"/>
      <c r="G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Y501" s="16"/>
    </row>
    <row r="502" customFormat="false" ht="12.8" hidden="false" customHeight="true" outlineLevel="0" collapsed="false">
      <c r="A502" s="16"/>
      <c r="D502" s="16"/>
      <c r="E502" s="16"/>
      <c r="F502" s="16"/>
      <c r="G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Y502" s="16"/>
    </row>
    <row r="503" customFormat="false" ht="12.8" hidden="false" customHeight="true" outlineLevel="0" collapsed="false">
      <c r="A503" s="16"/>
      <c r="D503" s="16"/>
      <c r="E503" s="16"/>
      <c r="F503" s="16"/>
      <c r="G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Y503" s="16"/>
    </row>
    <row r="504" customFormat="false" ht="12.8" hidden="false" customHeight="true" outlineLevel="0" collapsed="false">
      <c r="A504" s="16"/>
      <c r="D504" s="16"/>
      <c r="E504" s="16"/>
      <c r="F504" s="16"/>
      <c r="G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Y504" s="16"/>
    </row>
    <row r="505" customFormat="false" ht="12.8" hidden="false" customHeight="true" outlineLevel="0" collapsed="false">
      <c r="A505" s="16"/>
      <c r="D505" s="16"/>
      <c r="E505" s="16"/>
      <c r="F505" s="16"/>
      <c r="G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Y505" s="16"/>
    </row>
    <row r="506" customFormat="false" ht="12.8" hidden="false" customHeight="true" outlineLevel="0" collapsed="false">
      <c r="A506" s="16"/>
      <c r="D506" s="16"/>
      <c r="E506" s="16"/>
      <c r="F506" s="16"/>
      <c r="G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Y506" s="16"/>
    </row>
    <row r="507" customFormat="false" ht="12.8" hidden="false" customHeight="true" outlineLevel="0" collapsed="false">
      <c r="A507" s="16"/>
      <c r="D507" s="16"/>
      <c r="E507" s="16"/>
      <c r="F507" s="16"/>
      <c r="G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Y507" s="16"/>
    </row>
    <row r="508" customFormat="false" ht="12.8" hidden="false" customHeight="true" outlineLevel="0" collapsed="false">
      <c r="A508" s="16"/>
      <c r="D508" s="16"/>
      <c r="E508" s="16"/>
      <c r="F508" s="16"/>
      <c r="G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Y508" s="16"/>
    </row>
    <row r="509" customFormat="false" ht="12.8" hidden="false" customHeight="true" outlineLevel="0" collapsed="false">
      <c r="A509" s="16"/>
      <c r="D509" s="16"/>
      <c r="E509" s="16"/>
      <c r="F509" s="16"/>
      <c r="G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Y509" s="16"/>
    </row>
    <row r="510" customFormat="false" ht="12.8" hidden="false" customHeight="true" outlineLevel="0" collapsed="false">
      <c r="A510" s="16"/>
      <c r="D510" s="16"/>
      <c r="E510" s="16"/>
      <c r="F510" s="16"/>
      <c r="G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Y510" s="16"/>
    </row>
    <row r="511" customFormat="false" ht="12.8" hidden="false" customHeight="true" outlineLevel="0" collapsed="false">
      <c r="A511" s="16"/>
      <c r="D511" s="16"/>
      <c r="E511" s="16"/>
      <c r="F511" s="16"/>
      <c r="G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Y511" s="16"/>
    </row>
    <row r="512" customFormat="false" ht="12.8" hidden="false" customHeight="true" outlineLevel="0" collapsed="false">
      <c r="A512" s="16"/>
      <c r="D512" s="16"/>
      <c r="E512" s="16"/>
      <c r="F512" s="16"/>
      <c r="G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Y512" s="16"/>
    </row>
    <row r="513" customFormat="false" ht="12.8" hidden="false" customHeight="true" outlineLevel="0" collapsed="false">
      <c r="A513" s="16"/>
      <c r="D513" s="16"/>
      <c r="E513" s="16"/>
      <c r="F513" s="16"/>
      <c r="G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Y513" s="16"/>
    </row>
    <row r="514" customFormat="false" ht="12.8" hidden="false" customHeight="true" outlineLevel="0" collapsed="false">
      <c r="A514" s="16"/>
      <c r="D514" s="16"/>
      <c r="E514" s="16"/>
      <c r="F514" s="16"/>
      <c r="G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Y514" s="16"/>
    </row>
    <row r="515" customFormat="false" ht="12.8" hidden="false" customHeight="true" outlineLevel="0" collapsed="false">
      <c r="A515" s="16"/>
      <c r="D515" s="16"/>
      <c r="E515" s="16"/>
      <c r="F515" s="16"/>
      <c r="G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Y515" s="16"/>
    </row>
    <row r="516" customFormat="false" ht="12.8" hidden="false" customHeight="true" outlineLevel="0" collapsed="false">
      <c r="A516" s="16"/>
      <c r="D516" s="16"/>
      <c r="E516" s="16"/>
      <c r="F516" s="16"/>
      <c r="G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Y516" s="16"/>
    </row>
    <row r="517" customFormat="false" ht="12.8" hidden="false" customHeight="true" outlineLevel="0" collapsed="false">
      <c r="A517" s="16"/>
      <c r="D517" s="16"/>
      <c r="E517" s="16"/>
      <c r="F517" s="16"/>
      <c r="G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Y517" s="16"/>
    </row>
    <row r="518" customFormat="false" ht="12.8" hidden="false" customHeight="true" outlineLevel="0" collapsed="false">
      <c r="A518" s="16"/>
      <c r="D518" s="16"/>
      <c r="E518" s="16"/>
      <c r="F518" s="16"/>
      <c r="G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Y518" s="16"/>
    </row>
    <row r="519" customFormat="false" ht="12.8" hidden="false" customHeight="true" outlineLevel="0" collapsed="false">
      <c r="A519" s="16"/>
      <c r="D519" s="16"/>
      <c r="E519" s="16"/>
      <c r="F519" s="16"/>
      <c r="G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Y519" s="16"/>
    </row>
    <row r="520" customFormat="false" ht="12.8" hidden="false" customHeight="true" outlineLevel="0" collapsed="false">
      <c r="A520" s="16"/>
      <c r="D520" s="16"/>
      <c r="E520" s="16"/>
      <c r="F520" s="16"/>
      <c r="G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Y520" s="16"/>
    </row>
    <row r="521" customFormat="false" ht="12.8" hidden="false" customHeight="true" outlineLevel="0" collapsed="false">
      <c r="A521" s="16"/>
      <c r="D521" s="16"/>
      <c r="E521" s="16"/>
      <c r="F521" s="16"/>
      <c r="G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Y521" s="16"/>
    </row>
    <row r="522" customFormat="false" ht="12.8" hidden="false" customHeight="true" outlineLevel="0" collapsed="false">
      <c r="A522" s="16"/>
      <c r="D522" s="16"/>
      <c r="E522" s="16"/>
      <c r="F522" s="16"/>
      <c r="G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Y522" s="16"/>
    </row>
    <row r="523" customFormat="false" ht="12.8" hidden="false" customHeight="true" outlineLevel="0" collapsed="false">
      <c r="A523" s="16"/>
      <c r="D523" s="16"/>
      <c r="E523" s="16"/>
      <c r="F523" s="16"/>
      <c r="G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Y523" s="16"/>
    </row>
    <row r="524" customFormat="false" ht="12.8" hidden="false" customHeight="true" outlineLevel="0" collapsed="false">
      <c r="A524" s="16"/>
      <c r="D524" s="16"/>
      <c r="E524" s="16"/>
      <c r="F524" s="16"/>
      <c r="G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Y524" s="16"/>
    </row>
    <row r="525" customFormat="false" ht="12.8" hidden="false" customHeight="true" outlineLevel="0" collapsed="false">
      <c r="A525" s="16"/>
      <c r="D525" s="16"/>
      <c r="E525" s="16"/>
      <c r="F525" s="16"/>
      <c r="G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Y525" s="16"/>
    </row>
    <row r="526" customFormat="false" ht="12.8" hidden="false" customHeight="true" outlineLevel="0" collapsed="false">
      <c r="A526" s="16"/>
      <c r="D526" s="16"/>
      <c r="E526" s="16"/>
      <c r="F526" s="16"/>
      <c r="G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Y526" s="16"/>
    </row>
    <row r="527" customFormat="false" ht="12.8" hidden="false" customHeight="true" outlineLevel="0" collapsed="false">
      <c r="A527" s="16"/>
      <c r="D527" s="16"/>
      <c r="E527" s="16"/>
      <c r="F527" s="16"/>
      <c r="G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Y527" s="16"/>
    </row>
    <row r="528" customFormat="false" ht="12.8" hidden="false" customHeight="true" outlineLevel="0" collapsed="false">
      <c r="A528" s="16"/>
      <c r="D528" s="16"/>
      <c r="E528" s="16"/>
      <c r="F528" s="16"/>
      <c r="G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Y528" s="16"/>
    </row>
    <row r="529" customFormat="false" ht="12.8" hidden="false" customHeight="true" outlineLevel="0" collapsed="false">
      <c r="A529" s="16"/>
      <c r="D529" s="16"/>
      <c r="E529" s="16"/>
      <c r="F529" s="16"/>
      <c r="G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Y529" s="16"/>
    </row>
    <row r="530" customFormat="false" ht="12.8" hidden="false" customHeight="true" outlineLevel="0" collapsed="false">
      <c r="A530" s="16"/>
      <c r="D530" s="16"/>
      <c r="E530" s="16"/>
      <c r="F530" s="16"/>
      <c r="G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Y530" s="16"/>
    </row>
    <row r="531" customFormat="false" ht="12.8" hidden="false" customHeight="true" outlineLevel="0" collapsed="false">
      <c r="A531" s="16"/>
      <c r="D531" s="16"/>
      <c r="E531" s="16"/>
      <c r="F531" s="16"/>
      <c r="G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Y531" s="16"/>
    </row>
    <row r="532" customFormat="false" ht="12.8" hidden="false" customHeight="true" outlineLevel="0" collapsed="false">
      <c r="A532" s="16"/>
      <c r="D532" s="16"/>
      <c r="E532" s="16"/>
      <c r="F532" s="16"/>
      <c r="G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Y532" s="16"/>
    </row>
    <row r="533" customFormat="false" ht="12.8" hidden="false" customHeight="true" outlineLevel="0" collapsed="false">
      <c r="A533" s="16"/>
      <c r="D533" s="16"/>
      <c r="E533" s="16"/>
      <c r="F533" s="16"/>
      <c r="G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Y533" s="16"/>
    </row>
    <row r="534" customFormat="false" ht="12.8" hidden="false" customHeight="true" outlineLevel="0" collapsed="false">
      <c r="A534" s="16"/>
      <c r="D534" s="16"/>
      <c r="E534" s="16"/>
      <c r="F534" s="16"/>
      <c r="G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Y534" s="16"/>
    </row>
    <row r="535" customFormat="false" ht="12.8" hidden="false" customHeight="true" outlineLevel="0" collapsed="false">
      <c r="A535" s="16"/>
      <c r="D535" s="16"/>
      <c r="E535" s="16"/>
      <c r="F535" s="16"/>
      <c r="G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Y535" s="16"/>
    </row>
    <row r="536" customFormat="false" ht="12.8" hidden="false" customHeight="true" outlineLevel="0" collapsed="false">
      <c r="A536" s="16"/>
      <c r="D536" s="16"/>
      <c r="E536" s="16"/>
      <c r="F536" s="16"/>
      <c r="G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Y536" s="16"/>
    </row>
    <row r="537" customFormat="false" ht="12.8" hidden="false" customHeight="true" outlineLevel="0" collapsed="false">
      <c r="A537" s="16"/>
      <c r="D537" s="16"/>
      <c r="E537" s="16"/>
      <c r="F537" s="16"/>
      <c r="G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Y537" s="16"/>
    </row>
    <row r="538" customFormat="false" ht="12.8" hidden="false" customHeight="true" outlineLevel="0" collapsed="false">
      <c r="A538" s="16"/>
      <c r="D538" s="16"/>
      <c r="E538" s="16"/>
      <c r="F538" s="16"/>
      <c r="G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Y538" s="16"/>
    </row>
    <row r="539" customFormat="false" ht="12.8" hidden="false" customHeight="true" outlineLevel="0" collapsed="false">
      <c r="A539" s="16"/>
      <c r="D539" s="16"/>
      <c r="E539" s="16"/>
      <c r="F539" s="16"/>
      <c r="G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Y539" s="16"/>
    </row>
    <row r="540" customFormat="false" ht="12.8" hidden="false" customHeight="true" outlineLevel="0" collapsed="false">
      <c r="A540" s="16"/>
      <c r="D540" s="16"/>
      <c r="E540" s="16"/>
      <c r="F540" s="16"/>
      <c r="G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Y540" s="16"/>
    </row>
    <row r="541" customFormat="false" ht="12.8" hidden="false" customHeight="true" outlineLevel="0" collapsed="false">
      <c r="A541" s="16"/>
      <c r="D541" s="16"/>
      <c r="E541" s="16"/>
      <c r="F541" s="16"/>
      <c r="G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Y541" s="16"/>
    </row>
    <row r="542" customFormat="false" ht="12.8" hidden="false" customHeight="true" outlineLevel="0" collapsed="false">
      <c r="A542" s="16"/>
      <c r="D542" s="16"/>
      <c r="E542" s="16"/>
      <c r="F542" s="16"/>
      <c r="G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Y542" s="16"/>
    </row>
    <row r="543" customFormat="false" ht="12.8" hidden="false" customHeight="true" outlineLevel="0" collapsed="false">
      <c r="A543" s="16"/>
      <c r="D543" s="16"/>
      <c r="E543" s="16"/>
      <c r="F543" s="16"/>
      <c r="G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Y543" s="16"/>
    </row>
    <row r="544" customFormat="false" ht="12.8" hidden="false" customHeight="true" outlineLevel="0" collapsed="false">
      <c r="A544" s="16"/>
      <c r="D544" s="16"/>
      <c r="E544" s="16"/>
      <c r="F544" s="16"/>
      <c r="G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Y544" s="16"/>
    </row>
    <row r="545" customFormat="false" ht="12.8" hidden="false" customHeight="true" outlineLevel="0" collapsed="false">
      <c r="A545" s="16"/>
      <c r="D545" s="16"/>
      <c r="E545" s="16"/>
      <c r="F545" s="16"/>
      <c r="G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Y545" s="16"/>
    </row>
    <row r="546" customFormat="false" ht="12.8" hidden="false" customHeight="true" outlineLevel="0" collapsed="false">
      <c r="A546" s="16"/>
      <c r="D546" s="16"/>
      <c r="E546" s="16"/>
      <c r="F546" s="16"/>
      <c r="G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Y546" s="16"/>
    </row>
    <row r="547" customFormat="false" ht="12.8" hidden="false" customHeight="true" outlineLevel="0" collapsed="false">
      <c r="A547" s="16"/>
      <c r="D547" s="16"/>
      <c r="E547" s="16"/>
      <c r="F547" s="16"/>
      <c r="G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Y547" s="16"/>
    </row>
    <row r="548" customFormat="false" ht="12.8" hidden="false" customHeight="true" outlineLevel="0" collapsed="false">
      <c r="A548" s="16"/>
      <c r="D548" s="16"/>
      <c r="E548" s="16"/>
      <c r="F548" s="16"/>
      <c r="G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Y548" s="16"/>
    </row>
    <row r="549" customFormat="false" ht="12.8" hidden="false" customHeight="true" outlineLevel="0" collapsed="false">
      <c r="A549" s="16"/>
      <c r="D549" s="16"/>
      <c r="E549" s="16"/>
      <c r="F549" s="16"/>
      <c r="G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Y549" s="16"/>
    </row>
    <row r="550" customFormat="false" ht="12.8" hidden="false" customHeight="true" outlineLevel="0" collapsed="false">
      <c r="A550" s="16"/>
      <c r="D550" s="16"/>
      <c r="E550" s="16"/>
      <c r="F550" s="16"/>
      <c r="G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Y550" s="16"/>
    </row>
    <row r="551" customFormat="false" ht="12.8" hidden="false" customHeight="true" outlineLevel="0" collapsed="false">
      <c r="A551" s="16"/>
      <c r="D551" s="16"/>
      <c r="E551" s="16"/>
      <c r="F551" s="16"/>
      <c r="G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Y551" s="16"/>
    </row>
    <row r="552" customFormat="false" ht="12.8" hidden="false" customHeight="true" outlineLevel="0" collapsed="false">
      <c r="A552" s="16"/>
      <c r="D552" s="16"/>
      <c r="E552" s="16"/>
      <c r="F552" s="16"/>
      <c r="G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Y552" s="16"/>
    </row>
    <row r="553" customFormat="false" ht="12.8" hidden="false" customHeight="true" outlineLevel="0" collapsed="false">
      <c r="A553" s="16"/>
      <c r="D553" s="16"/>
      <c r="E553" s="16"/>
      <c r="F553" s="16"/>
      <c r="G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Y553" s="16"/>
    </row>
    <row r="554" customFormat="false" ht="12.8" hidden="false" customHeight="true" outlineLevel="0" collapsed="false">
      <c r="A554" s="16"/>
      <c r="D554" s="16"/>
      <c r="E554" s="16"/>
      <c r="F554" s="16"/>
      <c r="G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Y554" s="16"/>
    </row>
    <row r="555" customFormat="false" ht="12.8" hidden="false" customHeight="true" outlineLevel="0" collapsed="false">
      <c r="A555" s="16"/>
      <c r="D555" s="16"/>
      <c r="E555" s="16"/>
      <c r="F555" s="16"/>
      <c r="G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Y555" s="16"/>
    </row>
    <row r="556" customFormat="false" ht="12.8" hidden="false" customHeight="true" outlineLevel="0" collapsed="false">
      <c r="A556" s="16"/>
      <c r="D556" s="16"/>
      <c r="E556" s="16"/>
      <c r="F556" s="16"/>
      <c r="G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Y556" s="16"/>
    </row>
    <row r="557" customFormat="false" ht="12.8" hidden="false" customHeight="true" outlineLevel="0" collapsed="false">
      <c r="A557" s="16"/>
      <c r="D557" s="16"/>
      <c r="E557" s="16"/>
      <c r="F557" s="16"/>
      <c r="G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Y557" s="16"/>
    </row>
    <row r="558" customFormat="false" ht="12.8" hidden="false" customHeight="true" outlineLevel="0" collapsed="false">
      <c r="A558" s="16"/>
      <c r="D558" s="16"/>
      <c r="E558" s="16"/>
      <c r="F558" s="16"/>
      <c r="G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Y558" s="16"/>
    </row>
    <row r="559" customFormat="false" ht="12.8" hidden="false" customHeight="true" outlineLevel="0" collapsed="false">
      <c r="A559" s="16"/>
      <c r="D559" s="16"/>
      <c r="E559" s="16"/>
      <c r="F559" s="16"/>
      <c r="G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Y559" s="16"/>
    </row>
    <row r="560" customFormat="false" ht="12.8" hidden="false" customHeight="true" outlineLevel="0" collapsed="false">
      <c r="A560" s="16"/>
      <c r="D560" s="16"/>
      <c r="E560" s="16"/>
      <c r="F560" s="16"/>
      <c r="G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Y560" s="16"/>
    </row>
    <row r="561" customFormat="false" ht="12.8" hidden="false" customHeight="true" outlineLevel="0" collapsed="false">
      <c r="A561" s="16"/>
      <c r="D561" s="16"/>
      <c r="E561" s="16"/>
      <c r="F561" s="16"/>
      <c r="G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Y561" s="16"/>
    </row>
    <row r="562" customFormat="false" ht="12.8" hidden="false" customHeight="true" outlineLevel="0" collapsed="false">
      <c r="A562" s="16"/>
      <c r="D562" s="16"/>
      <c r="E562" s="16"/>
      <c r="F562" s="16"/>
      <c r="G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Y562" s="16"/>
    </row>
    <row r="563" customFormat="false" ht="12.8" hidden="false" customHeight="true" outlineLevel="0" collapsed="false">
      <c r="A563" s="16"/>
      <c r="D563" s="16"/>
      <c r="E563" s="16"/>
      <c r="F563" s="16"/>
      <c r="G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Y563" s="16"/>
    </row>
    <row r="564" customFormat="false" ht="12.8" hidden="false" customHeight="true" outlineLevel="0" collapsed="false">
      <c r="A564" s="16"/>
      <c r="D564" s="16"/>
      <c r="E564" s="16"/>
      <c r="F564" s="16"/>
      <c r="G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Y564" s="16"/>
    </row>
    <row r="565" customFormat="false" ht="12.8" hidden="false" customHeight="true" outlineLevel="0" collapsed="false">
      <c r="A565" s="16"/>
      <c r="D565" s="16"/>
      <c r="E565" s="16"/>
      <c r="F565" s="16"/>
      <c r="G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Y565" s="16"/>
    </row>
    <row r="566" customFormat="false" ht="12.8" hidden="false" customHeight="true" outlineLevel="0" collapsed="false">
      <c r="A566" s="16"/>
      <c r="D566" s="16"/>
      <c r="E566" s="16"/>
      <c r="F566" s="16"/>
      <c r="G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Y566" s="16"/>
    </row>
    <row r="567" customFormat="false" ht="12.8" hidden="false" customHeight="true" outlineLevel="0" collapsed="false">
      <c r="A567" s="16"/>
      <c r="D567" s="16"/>
      <c r="E567" s="16"/>
      <c r="F567" s="16"/>
      <c r="G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Y567" s="16"/>
    </row>
    <row r="568" customFormat="false" ht="12.8" hidden="false" customHeight="true" outlineLevel="0" collapsed="false">
      <c r="A568" s="16"/>
      <c r="D568" s="16"/>
      <c r="E568" s="16"/>
      <c r="F568" s="16"/>
      <c r="G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Y568" s="16"/>
    </row>
    <row r="569" customFormat="false" ht="12.8" hidden="false" customHeight="true" outlineLevel="0" collapsed="false">
      <c r="A569" s="16"/>
      <c r="D569" s="16"/>
      <c r="E569" s="16"/>
      <c r="F569" s="16"/>
      <c r="G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Y569" s="16"/>
    </row>
    <row r="570" customFormat="false" ht="12.8" hidden="false" customHeight="true" outlineLevel="0" collapsed="false">
      <c r="A570" s="16"/>
      <c r="D570" s="16"/>
      <c r="E570" s="16"/>
      <c r="F570" s="16"/>
      <c r="G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Y570" s="16"/>
    </row>
    <row r="571" customFormat="false" ht="12.8" hidden="false" customHeight="true" outlineLevel="0" collapsed="false">
      <c r="A571" s="16"/>
      <c r="D571" s="16"/>
      <c r="E571" s="16"/>
      <c r="F571" s="16"/>
      <c r="G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Y571" s="16"/>
    </row>
    <row r="572" customFormat="false" ht="12.8" hidden="false" customHeight="true" outlineLevel="0" collapsed="false">
      <c r="A572" s="16"/>
      <c r="D572" s="16"/>
      <c r="E572" s="16"/>
      <c r="F572" s="16"/>
      <c r="G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Y572" s="16"/>
    </row>
    <row r="573" customFormat="false" ht="12.8" hidden="false" customHeight="true" outlineLevel="0" collapsed="false">
      <c r="A573" s="16"/>
      <c r="D573" s="16"/>
      <c r="E573" s="16"/>
      <c r="F573" s="16"/>
      <c r="G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Y573" s="16"/>
    </row>
    <row r="574" customFormat="false" ht="12.8" hidden="false" customHeight="true" outlineLevel="0" collapsed="false">
      <c r="A574" s="16"/>
      <c r="D574" s="16"/>
      <c r="E574" s="16"/>
      <c r="F574" s="16"/>
      <c r="G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Y574" s="16"/>
    </row>
    <row r="575" customFormat="false" ht="12.8" hidden="false" customHeight="true" outlineLevel="0" collapsed="false">
      <c r="A575" s="16"/>
      <c r="D575" s="16"/>
      <c r="E575" s="16"/>
      <c r="F575" s="16"/>
      <c r="G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Y575" s="16"/>
    </row>
    <row r="576" customFormat="false" ht="12.8" hidden="false" customHeight="true" outlineLevel="0" collapsed="false">
      <c r="A576" s="16"/>
      <c r="D576" s="16"/>
      <c r="E576" s="16"/>
      <c r="F576" s="16"/>
      <c r="G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Y576" s="16"/>
    </row>
    <row r="577" customFormat="false" ht="12.8" hidden="false" customHeight="true" outlineLevel="0" collapsed="false">
      <c r="A577" s="16"/>
      <c r="D577" s="16"/>
      <c r="E577" s="16"/>
      <c r="F577" s="16"/>
      <c r="G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Y577" s="16"/>
    </row>
    <row r="578" customFormat="false" ht="12.8" hidden="false" customHeight="true" outlineLevel="0" collapsed="false">
      <c r="A578" s="16"/>
      <c r="D578" s="16"/>
      <c r="E578" s="16"/>
      <c r="F578" s="16"/>
      <c r="G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Y578" s="16"/>
    </row>
    <row r="579" customFormat="false" ht="12.8" hidden="false" customHeight="true" outlineLevel="0" collapsed="false">
      <c r="A579" s="16"/>
      <c r="D579" s="16"/>
      <c r="E579" s="16"/>
      <c r="F579" s="16"/>
      <c r="G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Y579" s="16"/>
    </row>
    <row r="580" customFormat="false" ht="12.8" hidden="false" customHeight="true" outlineLevel="0" collapsed="false">
      <c r="A580" s="16"/>
      <c r="D580" s="16"/>
      <c r="E580" s="16"/>
      <c r="F580" s="16"/>
      <c r="G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Y580" s="16"/>
    </row>
    <row r="581" customFormat="false" ht="12.8" hidden="false" customHeight="true" outlineLevel="0" collapsed="false">
      <c r="A581" s="16"/>
      <c r="D581" s="16"/>
      <c r="E581" s="16"/>
      <c r="F581" s="16"/>
      <c r="G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Y581" s="16"/>
    </row>
    <row r="582" customFormat="false" ht="12.8" hidden="false" customHeight="true" outlineLevel="0" collapsed="false">
      <c r="A582" s="16"/>
      <c r="D582" s="16"/>
      <c r="E582" s="16"/>
      <c r="F582" s="16"/>
      <c r="G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Y582" s="16"/>
    </row>
    <row r="583" customFormat="false" ht="12.8" hidden="false" customHeight="true" outlineLevel="0" collapsed="false">
      <c r="A583" s="16"/>
      <c r="D583" s="16"/>
      <c r="E583" s="16"/>
      <c r="F583" s="16"/>
      <c r="G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Y583" s="16"/>
    </row>
    <row r="584" customFormat="false" ht="12.8" hidden="false" customHeight="true" outlineLevel="0" collapsed="false">
      <c r="A584" s="16"/>
      <c r="D584" s="16"/>
      <c r="E584" s="16"/>
      <c r="F584" s="16"/>
      <c r="G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Y584" s="16"/>
    </row>
    <row r="585" customFormat="false" ht="12.8" hidden="false" customHeight="true" outlineLevel="0" collapsed="false">
      <c r="A585" s="16"/>
      <c r="D585" s="16"/>
      <c r="E585" s="16"/>
      <c r="F585" s="16"/>
      <c r="G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Y585" s="16"/>
    </row>
    <row r="586" customFormat="false" ht="12.8" hidden="false" customHeight="true" outlineLevel="0" collapsed="false">
      <c r="A586" s="16"/>
      <c r="D586" s="16"/>
      <c r="E586" s="16"/>
      <c r="F586" s="16"/>
      <c r="G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Y586" s="16"/>
    </row>
    <row r="587" customFormat="false" ht="12.8" hidden="false" customHeight="true" outlineLevel="0" collapsed="false">
      <c r="A587" s="16"/>
      <c r="D587" s="16"/>
      <c r="E587" s="16"/>
      <c r="F587" s="16"/>
      <c r="G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Y587" s="16"/>
    </row>
    <row r="588" customFormat="false" ht="12.8" hidden="false" customHeight="true" outlineLevel="0" collapsed="false">
      <c r="A588" s="16"/>
      <c r="D588" s="16"/>
      <c r="E588" s="16"/>
      <c r="F588" s="16"/>
      <c r="G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Y588" s="16"/>
    </row>
    <row r="589" customFormat="false" ht="12.8" hidden="false" customHeight="true" outlineLevel="0" collapsed="false">
      <c r="A589" s="16"/>
      <c r="D589" s="16"/>
      <c r="E589" s="16"/>
      <c r="F589" s="16"/>
      <c r="G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Y589" s="16"/>
    </row>
    <row r="590" customFormat="false" ht="12.8" hidden="false" customHeight="true" outlineLevel="0" collapsed="false">
      <c r="A590" s="16"/>
      <c r="D590" s="16"/>
      <c r="E590" s="16"/>
      <c r="F590" s="16"/>
      <c r="G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Y590" s="16"/>
    </row>
    <row r="591" customFormat="false" ht="12.8" hidden="false" customHeight="true" outlineLevel="0" collapsed="false">
      <c r="A591" s="16"/>
      <c r="D591" s="16"/>
      <c r="E591" s="16"/>
      <c r="F591" s="16"/>
      <c r="G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Y591" s="16"/>
    </row>
    <row r="592" customFormat="false" ht="12.8" hidden="false" customHeight="true" outlineLevel="0" collapsed="false">
      <c r="A592" s="16"/>
      <c r="D592" s="16"/>
      <c r="E592" s="16"/>
      <c r="F592" s="16"/>
      <c r="G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Y592" s="16"/>
    </row>
    <row r="593" customFormat="false" ht="12.8" hidden="false" customHeight="true" outlineLevel="0" collapsed="false">
      <c r="A593" s="16"/>
      <c r="D593" s="16"/>
      <c r="E593" s="16"/>
      <c r="F593" s="16"/>
      <c r="G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Y593" s="16"/>
    </row>
    <row r="594" customFormat="false" ht="12.8" hidden="false" customHeight="true" outlineLevel="0" collapsed="false">
      <c r="A594" s="16"/>
      <c r="D594" s="16"/>
      <c r="E594" s="16"/>
      <c r="F594" s="16"/>
      <c r="G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Y594" s="16"/>
    </row>
    <row r="595" customFormat="false" ht="12.8" hidden="false" customHeight="true" outlineLevel="0" collapsed="false">
      <c r="A595" s="16"/>
      <c r="D595" s="16"/>
      <c r="E595" s="16"/>
      <c r="F595" s="16"/>
      <c r="G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Y595" s="16"/>
    </row>
    <row r="596" customFormat="false" ht="12.8" hidden="false" customHeight="true" outlineLevel="0" collapsed="false">
      <c r="A596" s="16"/>
      <c r="D596" s="16"/>
      <c r="E596" s="16"/>
      <c r="F596" s="16"/>
      <c r="G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Y596" s="16"/>
    </row>
    <row r="597" customFormat="false" ht="12.8" hidden="false" customHeight="true" outlineLevel="0" collapsed="false">
      <c r="A597" s="16"/>
      <c r="D597" s="16"/>
      <c r="E597" s="16"/>
      <c r="F597" s="16"/>
      <c r="G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Y597" s="16"/>
    </row>
    <row r="598" customFormat="false" ht="12.8" hidden="false" customHeight="true" outlineLevel="0" collapsed="false">
      <c r="A598" s="16"/>
      <c r="D598" s="16"/>
      <c r="E598" s="16"/>
      <c r="F598" s="16"/>
      <c r="G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Y598" s="16"/>
    </row>
    <row r="599" customFormat="false" ht="12.8" hidden="false" customHeight="true" outlineLevel="0" collapsed="false">
      <c r="A599" s="16"/>
      <c r="D599" s="16"/>
      <c r="E599" s="16"/>
      <c r="F599" s="16"/>
      <c r="G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Y599" s="16"/>
    </row>
    <row r="600" customFormat="false" ht="12.8" hidden="false" customHeight="true" outlineLevel="0" collapsed="false">
      <c r="A600" s="16"/>
      <c r="D600" s="16"/>
      <c r="E600" s="16"/>
      <c r="F600" s="16"/>
      <c r="G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Y600" s="16"/>
    </row>
    <row r="601" customFormat="false" ht="12.8" hidden="false" customHeight="true" outlineLevel="0" collapsed="false">
      <c r="A601" s="16"/>
      <c r="D601" s="16"/>
      <c r="E601" s="16"/>
      <c r="F601" s="16"/>
      <c r="G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Y601" s="16"/>
    </row>
    <row r="602" customFormat="false" ht="12.8" hidden="false" customHeight="true" outlineLevel="0" collapsed="false">
      <c r="A602" s="16"/>
      <c r="D602" s="16"/>
      <c r="E602" s="16"/>
      <c r="F602" s="16"/>
      <c r="G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Y602" s="16"/>
    </row>
    <row r="603" customFormat="false" ht="12.8" hidden="false" customHeight="true" outlineLevel="0" collapsed="false">
      <c r="A603" s="16"/>
      <c r="D603" s="16"/>
      <c r="E603" s="16"/>
      <c r="F603" s="16"/>
      <c r="G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Y603" s="16"/>
    </row>
    <row r="604" customFormat="false" ht="12.8" hidden="false" customHeight="true" outlineLevel="0" collapsed="false">
      <c r="A604" s="16"/>
      <c r="D604" s="16"/>
      <c r="E604" s="16"/>
      <c r="F604" s="16"/>
      <c r="G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Y604" s="16"/>
    </row>
    <row r="605" customFormat="false" ht="12.8" hidden="false" customHeight="true" outlineLevel="0" collapsed="false">
      <c r="A605" s="16"/>
      <c r="D605" s="16"/>
      <c r="E605" s="16"/>
      <c r="F605" s="16"/>
      <c r="G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Y605" s="16"/>
    </row>
    <row r="606" customFormat="false" ht="12.8" hidden="false" customHeight="true" outlineLevel="0" collapsed="false">
      <c r="A606" s="16"/>
      <c r="D606" s="16"/>
      <c r="E606" s="16"/>
      <c r="F606" s="16"/>
      <c r="G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Y606" s="16"/>
    </row>
    <row r="607" customFormat="false" ht="12.8" hidden="false" customHeight="true" outlineLevel="0" collapsed="false">
      <c r="A607" s="16"/>
      <c r="D607" s="16"/>
      <c r="E607" s="16"/>
      <c r="F607" s="16"/>
      <c r="G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Y607" s="16"/>
    </row>
    <row r="608" customFormat="false" ht="12.8" hidden="false" customHeight="true" outlineLevel="0" collapsed="false">
      <c r="A608" s="16"/>
      <c r="D608" s="16"/>
      <c r="E608" s="16"/>
      <c r="F608" s="16"/>
      <c r="G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Y608" s="16"/>
    </row>
    <row r="609" customFormat="false" ht="12.8" hidden="false" customHeight="true" outlineLevel="0" collapsed="false">
      <c r="A609" s="16"/>
      <c r="D609" s="16"/>
      <c r="E609" s="16"/>
      <c r="F609" s="16"/>
      <c r="G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Y609" s="16"/>
    </row>
    <row r="610" customFormat="false" ht="12.8" hidden="false" customHeight="true" outlineLevel="0" collapsed="false">
      <c r="A610" s="16"/>
      <c r="D610" s="16"/>
      <c r="E610" s="16"/>
      <c r="F610" s="16"/>
      <c r="G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Y610" s="16"/>
    </row>
    <row r="611" customFormat="false" ht="12.8" hidden="false" customHeight="true" outlineLevel="0" collapsed="false">
      <c r="A611" s="16"/>
      <c r="D611" s="16"/>
      <c r="E611" s="16"/>
      <c r="F611" s="16"/>
      <c r="G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Y611" s="16"/>
    </row>
    <row r="612" customFormat="false" ht="12.8" hidden="false" customHeight="true" outlineLevel="0" collapsed="false">
      <c r="A612" s="16"/>
      <c r="D612" s="16"/>
      <c r="E612" s="16"/>
      <c r="F612" s="16"/>
      <c r="G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Y612" s="16"/>
    </row>
    <row r="613" customFormat="false" ht="12.8" hidden="false" customHeight="true" outlineLevel="0" collapsed="false">
      <c r="A613" s="16"/>
      <c r="D613" s="16"/>
      <c r="E613" s="16"/>
      <c r="F613" s="16"/>
      <c r="G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Y613" s="16"/>
    </row>
    <row r="614" customFormat="false" ht="12.8" hidden="false" customHeight="true" outlineLevel="0" collapsed="false">
      <c r="A614" s="16"/>
      <c r="D614" s="16"/>
      <c r="E614" s="16"/>
      <c r="F614" s="16"/>
      <c r="G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Y614" s="16"/>
    </row>
    <row r="615" customFormat="false" ht="12.8" hidden="false" customHeight="true" outlineLevel="0" collapsed="false">
      <c r="A615" s="16"/>
      <c r="D615" s="16"/>
      <c r="E615" s="16"/>
      <c r="F615" s="16"/>
      <c r="G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Y615" s="16"/>
    </row>
    <row r="616" customFormat="false" ht="12.8" hidden="false" customHeight="true" outlineLevel="0" collapsed="false">
      <c r="A616" s="16"/>
      <c r="D616" s="16"/>
      <c r="E616" s="16"/>
      <c r="F616" s="16"/>
      <c r="G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Y616" s="16"/>
    </row>
    <row r="617" customFormat="false" ht="12.8" hidden="false" customHeight="true" outlineLevel="0" collapsed="false">
      <c r="A617" s="16"/>
      <c r="D617" s="16"/>
      <c r="E617" s="16"/>
      <c r="F617" s="16"/>
      <c r="G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Y617" s="16"/>
    </row>
    <row r="618" customFormat="false" ht="12.8" hidden="false" customHeight="true" outlineLevel="0" collapsed="false">
      <c r="A618" s="16"/>
      <c r="D618" s="16"/>
      <c r="E618" s="16"/>
      <c r="F618" s="16"/>
      <c r="G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Y618" s="16"/>
    </row>
    <row r="619" customFormat="false" ht="12.8" hidden="false" customHeight="true" outlineLevel="0" collapsed="false">
      <c r="A619" s="16"/>
      <c r="D619" s="16"/>
      <c r="E619" s="16"/>
      <c r="F619" s="16"/>
      <c r="G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Y619" s="16"/>
    </row>
    <row r="620" customFormat="false" ht="12.8" hidden="false" customHeight="true" outlineLevel="0" collapsed="false">
      <c r="A620" s="16"/>
      <c r="D620" s="16"/>
      <c r="E620" s="16"/>
      <c r="F620" s="16"/>
      <c r="G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Y620" s="16"/>
    </row>
    <row r="621" customFormat="false" ht="12.8" hidden="false" customHeight="true" outlineLevel="0" collapsed="false">
      <c r="A621" s="16"/>
      <c r="D621" s="16"/>
      <c r="E621" s="16"/>
      <c r="F621" s="16"/>
      <c r="G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Y621" s="16"/>
    </row>
    <row r="622" customFormat="false" ht="12.8" hidden="false" customHeight="true" outlineLevel="0" collapsed="false">
      <c r="A622" s="16"/>
      <c r="D622" s="16"/>
      <c r="E622" s="16"/>
      <c r="F622" s="16"/>
      <c r="G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Y622" s="16"/>
    </row>
    <row r="623" customFormat="false" ht="12.8" hidden="false" customHeight="true" outlineLevel="0" collapsed="false">
      <c r="A623" s="16"/>
      <c r="D623" s="16"/>
      <c r="E623" s="16"/>
      <c r="F623" s="16"/>
      <c r="G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Y623" s="16"/>
    </row>
    <row r="624" customFormat="false" ht="12.8" hidden="false" customHeight="true" outlineLevel="0" collapsed="false">
      <c r="A624" s="16"/>
      <c r="D624" s="16"/>
      <c r="E624" s="16"/>
      <c r="F624" s="16"/>
      <c r="G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Y624" s="16"/>
    </row>
    <row r="625" customFormat="false" ht="12.8" hidden="false" customHeight="true" outlineLevel="0" collapsed="false">
      <c r="A625" s="16"/>
      <c r="D625" s="16"/>
      <c r="E625" s="16"/>
      <c r="F625" s="16"/>
      <c r="G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Y625" s="16"/>
    </row>
    <row r="626" customFormat="false" ht="12.8" hidden="false" customHeight="true" outlineLevel="0" collapsed="false">
      <c r="A626" s="16"/>
      <c r="D626" s="16"/>
      <c r="E626" s="16"/>
      <c r="F626" s="16"/>
      <c r="G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Y626" s="16"/>
    </row>
    <row r="627" customFormat="false" ht="12.8" hidden="false" customHeight="true" outlineLevel="0" collapsed="false">
      <c r="A627" s="16"/>
      <c r="D627" s="16"/>
      <c r="E627" s="16"/>
      <c r="F627" s="16"/>
      <c r="G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Y627" s="16"/>
    </row>
    <row r="628" customFormat="false" ht="12.8" hidden="false" customHeight="true" outlineLevel="0" collapsed="false">
      <c r="A628" s="16"/>
      <c r="D628" s="16"/>
      <c r="E628" s="16"/>
      <c r="F628" s="16"/>
      <c r="G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Y628" s="16"/>
    </row>
    <row r="629" customFormat="false" ht="12.8" hidden="false" customHeight="true" outlineLevel="0" collapsed="false">
      <c r="A629" s="16"/>
      <c r="D629" s="16"/>
      <c r="E629" s="16"/>
      <c r="F629" s="16"/>
      <c r="G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Y629" s="16"/>
    </row>
    <row r="630" customFormat="false" ht="12.8" hidden="false" customHeight="true" outlineLevel="0" collapsed="false">
      <c r="A630" s="16"/>
      <c r="D630" s="16"/>
      <c r="E630" s="16"/>
      <c r="F630" s="16"/>
      <c r="G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Y630" s="16"/>
    </row>
    <row r="631" customFormat="false" ht="12.8" hidden="false" customHeight="true" outlineLevel="0" collapsed="false">
      <c r="A631" s="16"/>
      <c r="D631" s="16"/>
      <c r="E631" s="16"/>
      <c r="F631" s="16"/>
      <c r="G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Y631" s="16"/>
    </row>
    <row r="632" customFormat="false" ht="12.8" hidden="false" customHeight="true" outlineLevel="0" collapsed="false">
      <c r="A632" s="16"/>
      <c r="D632" s="16"/>
      <c r="E632" s="16"/>
      <c r="F632" s="16"/>
      <c r="G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Y632" s="16"/>
    </row>
    <row r="633" customFormat="false" ht="12.8" hidden="false" customHeight="true" outlineLevel="0" collapsed="false">
      <c r="A633" s="16"/>
      <c r="D633" s="16"/>
      <c r="E633" s="16"/>
      <c r="F633" s="16"/>
      <c r="G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Y633" s="16"/>
    </row>
    <row r="634" customFormat="false" ht="12.8" hidden="false" customHeight="true" outlineLevel="0" collapsed="false">
      <c r="A634" s="16"/>
      <c r="D634" s="16"/>
      <c r="E634" s="16"/>
      <c r="F634" s="16"/>
      <c r="G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Y634" s="16"/>
    </row>
    <row r="635" customFormat="false" ht="12.8" hidden="false" customHeight="true" outlineLevel="0" collapsed="false">
      <c r="A635" s="16"/>
      <c r="D635" s="16"/>
      <c r="E635" s="16"/>
      <c r="F635" s="16"/>
      <c r="G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Y635" s="16"/>
    </row>
    <row r="636" customFormat="false" ht="12.8" hidden="false" customHeight="true" outlineLevel="0" collapsed="false">
      <c r="A636" s="16"/>
      <c r="D636" s="16"/>
      <c r="E636" s="16"/>
      <c r="F636" s="16"/>
      <c r="G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Y636" s="16"/>
    </row>
    <row r="637" customFormat="false" ht="12.8" hidden="false" customHeight="true" outlineLevel="0" collapsed="false">
      <c r="A637" s="16"/>
      <c r="D637" s="16"/>
      <c r="E637" s="16"/>
      <c r="F637" s="16"/>
      <c r="G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Y637" s="16"/>
    </row>
    <row r="638" customFormat="false" ht="12.8" hidden="false" customHeight="true" outlineLevel="0" collapsed="false">
      <c r="A638" s="16"/>
      <c r="D638" s="16"/>
      <c r="E638" s="16"/>
      <c r="F638" s="16"/>
      <c r="G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Y638" s="16"/>
    </row>
    <row r="639" customFormat="false" ht="12.8" hidden="false" customHeight="true" outlineLevel="0" collapsed="false">
      <c r="A639" s="16"/>
      <c r="D639" s="16"/>
      <c r="E639" s="16"/>
      <c r="F639" s="16"/>
      <c r="G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Y639" s="16"/>
    </row>
    <row r="640" customFormat="false" ht="12.8" hidden="false" customHeight="true" outlineLevel="0" collapsed="false">
      <c r="A640" s="16"/>
      <c r="D640" s="16"/>
      <c r="E640" s="16"/>
      <c r="F640" s="16"/>
      <c r="G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Y640" s="16"/>
    </row>
    <row r="641" customFormat="false" ht="12.8" hidden="false" customHeight="true" outlineLevel="0" collapsed="false">
      <c r="A641" s="16"/>
      <c r="D641" s="16"/>
      <c r="E641" s="16"/>
      <c r="F641" s="16"/>
      <c r="G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Y641" s="16"/>
    </row>
    <row r="642" customFormat="false" ht="12.8" hidden="false" customHeight="true" outlineLevel="0" collapsed="false">
      <c r="A642" s="16"/>
      <c r="D642" s="16"/>
      <c r="E642" s="16"/>
      <c r="F642" s="16"/>
      <c r="G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Y642" s="16"/>
    </row>
    <row r="643" customFormat="false" ht="12.8" hidden="false" customHeight="true" outlineLevel="0" collapsed="false">
      <c r="A643" s="16"/>
      <c r="D643" s="16"/>
      <c r="E643" s="16"/>
      <c r="F643" s="16"/>
      <c r="G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Y643" s="16"/>
    </row>
    <row r="644" customFormat="false" ht="12.8" hidden="false" customHeight="true" outlineLevel="0" collapsed="false">
      <c r="A644" s="16"/>
      <c r="D644" s="16"/>
      <c r="E644" s="16"/>
      <c r="F644" s="16"/>
      <c r="G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Y644" s="16"/>
    </row>
    <row r="645" customFormat="false" ht="12.8" hidden="false" customHeight="true" outlineLevel="0" collapsed="false">
      <c r="A645" s="16"/>
      <c r="D645" s="16"/>
      <c r="E645" s="16"/>
      <c r="F645" s="16"/>
      <c r="G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Y645" s="16"/>
    </row>
    <row r="646" customFormat="false" ht="12.8" hidden="false" customHeight="true" outlineLevel="0" collapsed="false">
      <c r="A646" s="16"/>
      <c r="D646" s="16"/>
      <c r="E646" s="16"/>
      <c r="F646" s="16"/>
      <c r="G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Y646" s="16"/>
    </row>
    <row r="647" customFormat="false" ht="12.8" hidden="false" customHeight="true" outlineLevel="0" collapsed="false">
      <c r="A647" s="16"/>
      <c r="D647" s="16"/>
      <c r="E647" s="16"/>
      <c r="F647" s="16"/>
      <c r="G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Y647" s="16"/>
    </row>
    <row r="648" customFormat="false" ht="12.8" hidden="false" customHeight="true" outlineLevel="0" collapsed="false">
      <c r="A648" s="16"/>
      <c r="D648" s="16"/>
      <c r="E648" s="16"/>
      <c r="F648" s="16"/>
      <c r="G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Y648" s="16"/>
    </row>
    <row r="649" customFormat="false" ht="12.8" hidden="false" customHeight="true" outlineLevel="0" collapsed="false">
      <c r="A649" s="16"/>
      <c r="D649" s="16"/>
      <c r="E649" s="16"/>
      <c r="F649" s="16"/>
      <c r="G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Y649" s="16"/>
    </row>
    <row r="650" customFormat="false" ht="12.8" hidden="false" customHeight="true" outlineLevel="0" collapsed="false">
      <c r="A650" s="16"/>
      <c r="D650" s="16"/>
      <c r="E650" s="16"/>
      <c r="F650" s="16"/>
      <c r="G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Y650" s="16"/>
    </row>
    <row r="651" customFormat="false" ht="12.8" hidden="false" customHeight="true" outlineLevel="0" collapsed="false">
      <c r="A651" s="16"/>
      <c r="D651" s="16"/>
      <c r="E651" s="16"/>
      <c r="F651" s="16"/>
      <c r="G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Y651" s="16"/>
    </row>
    <row r="652" customFormat="false" ht="12.8" hidden="false" customHeight="true" outlineLevel="0" collapsed="false">
      <c r="A652" s="16"/>
      <c r="D652" s="16"/>
      <c r="E652" s="16"/>
      <c r="F652" s="16"/>
      <c r="G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Y652" s="16"/>
    </row>
    <row r="653" customFormat="false" ht="12.8" hidden="false" customHeight="true" outlineLevel="0" collapsed="false">
      <c r="A653" s="16"/>
      <c r="D653" s="16"/>
      <c r="E653" s="16"/>
      <c r="F653" s="16"/>
      <c r="G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Y653" s="16"/>
    </row>
    <row r="654" customFormat="false" ht="12.8" hidden="false" customHeight="true" outlineLevel="0" collapsed="false">
      <c r="A654" s="16"/>
      <c r="D654" s="16"/>
      <c r="E654" s="16"/>
      <c r="F654" s="16"/>
      <c r="G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Y654" s="16"/>
    </row>
    <row r="655" customFormat="false" ht="12.8" hidden="false" customHeight="true" outlineLevel="0" collapsed="false">
      <c r="A655" s="16"/>
      <c r="D655" s="16"/>
      <c r="E655" s="16"/>
      <c r="F655" s="16"/>
      <c r="G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Y655" s="16"/>
    </row>
    <row r="656" customFormat="false" ht="12.8" hidden="false" customHeight="true" outlineLevel="0" collapsed="false">
      <c r="A656" s="16"/>
      <c r="D656" s="16"/>
      <c r="E656" s="16"/>
      <c r="F656" s="16"/>
      <c r="G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Y656" s="16"/>
    </row>
    <row r="657" customFormat="false" ht="12.8" hidden="false" customHeight="true" outlineLevel="0" collapsed="false">
      <c r="A657" s="16"/>
      <c r="D657" s="16"/>
      <c r="E657" s="16"/>
      <c r="F657" s="16"/>
      <c r="G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Y657" s="16"/>
    </row>
    <row r="658" customFormat="false" ht="12.8" hidden="false" customHeight="true" outlineLevel="0" collapsed="false">
      <c r="A658" s="16"/>
      <c r="D658" s="16"/>
      <c r="E658" s="16"/>
      <c r="F658" s="16"/>
      <c r="G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Y658" s="16"/>
    </row>
    <row r="659" customFormat="false" ht="12.8" hidden="false" customHeight="true" outlineLevel="0" collapsed="false">
      <c r="A659" s="16"/>
      <c r="D659" s="16"/>
      <c r="E659" s="16"/>
      <c r="F659" s="16"/>
      <c r="G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Y659" s="16"/>
    </row>
    <row r="660" customFormat="false" ht="12.8" hidden="false" customHeight="true" outlineLevel="0" collapsed="false">
      <c r="A660" s="16"/>
      <c r="D660" s="16"/>
      <c r="E660" s="16"/>
      <c r="F660" s="16"/>
      <c r="G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Y660" s="16"/>
    </row>
    <row r="661" customFormat="false" ht="12.8" hidden="false" customHeight="true" outlineLevel="0" collapsed="false">
      <c r="A661" s="16"/>
      <c r="D661" s="16"/>
      <c r="E661" s="16"/>
      <c r="F661" s="16"/>
      <c r="G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Y661" s="16"/>
    </row>
    <row r="662" customFormat="false" ht="12.8" hidden="false" customHeight="true" outlineLevel="0" collapsed="false">
      <c r="A662" s="16"/>
      <c r="D662" s="16"/>
      <c r="E662" s="16"/>
      <c r="F662" s="16"/>
      <c r="G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Y662" s="16"/>
    </row>
    <row r="663" customFormat="false" ht="12.8" hidden="false" customHeight="true" outlineLevel="0" collapsed="false">
      <c r="A663" s="16"/>
      <c r="D663" s="16"/>
      <c r="E663" s="16"/>
      <c r="F663" s="16"/>
      <c r="G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Y663" s="16"/>
    </row>
    <row r="664" customFormat="false" ht="12.8" hidden="false" customHeight="true" outlineLevel="0" collapsed="false">
      <c r="A664" s="16"/>
      <c r="D664" s="16"/>
      <c r="E664" s="16"/>
      <c r="F664" s="16"/>
      <c r="G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Y664" s="16"/>
    </row>
    <row r="665" customFormat="false" ht="12.8" hidden="false" customHeight="true" outlineLevel="0" collapsed="false">
      <c r="A665" s="16"/>
      <c r="D665" s="16"/>
      <c r="E665" s="16"/>
      <c r="F665" s="16"/>
      <c r="G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Y665" s="16"/>
    </row>
    <row r="666" customFormat="false" ht="12.8" hidden="false" customHeight="true" outlineLevel="0" collapsed="false">
      <c r="A666" s="16"/>
      <c r="D666" s="16"/>
      <c r="E666" s="16"/>
      <c r="F666" s="16"/>
      <c r="G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Y666" s="16"/>
    </row>
    <row r="667" customFormat="false" ht="12.8" hidden="false" customHeight="true" outlineLevel="0" collapsed="false">
      <c r="A667" s="16"/>
      <c r="D667" s="16"/>
      <c r="E667" s="16"/>
      <c r="F667" s="16"/>
      <c r="G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Y667" s="16"/>
    </row>
    <row r="668" customFormat="false" ht="12.8" hidden="false" customHeight="true" outlineLevel="0" collapsed="false">
      <c r="A668" s="16"/>
      <c r="D668" s="16"/>
      <c r="E668" s="16"/>
      <c r="F668" s="16"/>
      <c r="G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Y668" s="16"/>
    </row>
    <row r="669" customFormat="false" ht="12.8" hidden="false" customHeight="true" outlineLevel="0" collapsed="false">
      <c r="A669" s="16"/>
      <c r="D669" s="16"/>
      <c r="E669" s="16"/>
      <c r="F669" s="16"/>
      <c r="G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Y669" s="16"/>
    </row>
    <row r="670" customFormat="false" ht="12.8" hidden="false" customHeight="true" outlineLevel="0" collapsed="false">
      <c r="A670" s="16"/>
      <c r="D670" s="16"/>
      <c r="E670" s="16"/>
      <c r="F670" s="16"/>
      <c r="G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Y670" s="16"/>
    </row>
    <row r="671" customFormat="false" ht="12.8" hidden="false" customHeight="true" outlineLevel="0" collapsed="false">
      <c r="A671" s="16"/>
      <c r="D671" s="16"/>
      <c r="E671" s="16"/>
      <c r="F671" s="16"/>
      <c r="G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Y671" s="16"/>
    </row>
    <row r="672" customFormat="false" ht="12.8" hidden="false" customHeight="true" outlineLevel="0" collapsed="false">
      <c r="A672" s="16"/>
      <c r="D672" s="16"/>
      <c r="E672" s="16"/>
      <c r="F672" s="16"/>
      <c r="G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Y672" s="16"/>
    </row>
    <row r="673" customFormat="false" ht="12.8" hidden="false" customHeight="true" outlineLevel="0" collapsed="false">
      <c r="A673" s="16"/>
      <c r="D673" s="16"/>
      <c r="E673" s="16"/>
      <c r="F673" s="16"/>
      <c r="G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Y673" s="16"/>
    </row>
    <row r="674" customFormat="false" ht="12.8" hidden="false" customHeight="true" outlineLevel="0" collapsed="false">
      <c r="A674" s="16"/>
      <c r="D674" s="16"/>
      <c r="E674" s="16"/>
      <c r="F674" s="16"/>
      <c r="G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Y674" s="16"/>
    </row>
    <row r="675" customFormat="false" ht="12.8" hidden="false" customHeight="true" outlineLevel="0" collapsed="false">
      <c r="A675" s="16"/>
      <c r="D675" s="16"/>
      <c r="E675" s="16"/>
      <c r="F675" s="16"/>
      <c r="G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Y675" s="16"/>
    </row>
    <row r="676" customFormat="false" ht="12.8" hidden="false" customHeight="true" outlineLevel="0" collapsed="false">
      <c r="A676" s="16"/>
      <c r="D676" s="16"/>
      <c r="E676" s="16"/>
      <c r="F676" s="16"/>
      <c r="G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Y676" s="16"/>
    </row>
    <row r="677" customFormat="false" ht="12.8" hidden="false" customHeight="true" outlineLevel="0" collapsed="false">
      <c r="A677" s="16"/>
      <c r="D677" s="16"/>
      <c r="E677" s="16"/>
      <c r="F677" s="16"/>
      <c r="G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Y677" s="16"/>
    </row>
    <row r="678" customFormat="false" ht="12.8" hidden="false" customHeight="true" outlineLevel="0" collapsed="false">
      <c r="A678" s="16"/>
      <c r="D678" s="16"/>
      <c r="E678" s="16"/>
      <c r="F678" s="16"/>
      <c r="G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Y678" s="16"/>
    </row>
    <row r="679" customFormat="false" ht="12.8" hidden="false" customHeight="true" outlineLevel="0" collapsed="false">
      <c r="A679" s="16"/>
      <c r="D679" s="16"/>
      <c r="E679" s="16"/>
      <c r="F679" s="16"/>
      <c r="G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Y679" s="16"/>
    </row>
    <row r="680" customFormat="false" ht="12.8" hidden="false" customHeight="true" outlineLevel="0" collapsed="false">
      <c r="A680" s="16"/>
      <c r="D680" s="16"/>
      <c r="E680" s="16"/>
      <c r="F680" s="16"/>
      <c r="G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Y680" s="16"/>
    </row>
    <row r="681" customFormat="false" ht="12.8" hidden="false" customHeight="true" outlineLevel="0" collapsed="false">
      <c r="A681" s="16"/>
      <c r="D681" s="16"/>
      <c r="E681" s="16"/>
      <c r="F681" s="16"/>
      <c r="G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Y681" s="16"/>
    </row>
    <row r="682" customFormat="false" ht="12.8" hidden="false" customHeight="true" outlineLevel="0" collapsed="false">
      <c r="A682" s="16"/>
      <c r="D682" s="16"/>
      <c r="E682" s="16"/>
      <c r="F682" s="16"/>
      <c r="G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Y682" s="16"/>
    </row>
    <row r="683" customFormat="false" ht="12.8" hidden="false" customHeight="true" outlineLevel="0" collapsed="false">
      <c r="A683" s="16"/>
      <c r="D683" s="16"/>
      <c r="E683" s="16"/>
      <c r="F683" s="16"/>
      <c r="G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Y683" s="16"/>
    </row>
    <row r="684" customFormat="false" ht="12.8" hidden="false" customHeight="true" outlineLevel="0" collapsed="false">
      <c r="A684" s="16"/>
      <c r="D684" s="16"/>
      <c r="E684" s="16"/>
      <c r="F684" s="16"/>
      <c r="G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Y684" s="16"/>
    </row>
    <row r="685" customFormat="false" ht="12.8" hidden="false" customHeight="true" outlineLevel="0" collapsed="false">
      <c r="A685" s="16"/>
      <c r="D685" s="16"/>
      <c r="E685" s="16"/>
      <c r="F685" s="16"/>
      <c r="G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Y685" s="16"/>
    </row>
    <row r="686" customFormat="false" ht="12.8" hidden="false" customHeight="true" outlineLevel="0" collapsed="false">
      <c r="A686" s="16"/>
      <c r="D686" s="16"/>
      <c r="E686" s="16"/>
      <c r="F686" s="16"/>
      <c r="G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Y686" s="16"/>
    </row>
    <row r="687" customFormat="false" ht="12.8" hidden="false" customHeight="true" outlineLevel="0" collapsed="false">
      <c r="A687" s="16"/>
      <c r="D687" s="16"/>
      <c r="E687" s="16"/>
      <c r="F687" s="16"/>
      <c r="G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Y687" s="16"/>
    </row>
    <row r="688" customFormat="false" ht="12.8" hidden="false" customHeight="true" outlineLevel="0" collapsed="false">
      <c r="A688" s="16"/>
      <c r="D688" s="16"/>
      <c r="E688" s="16"/>
      <c r="F688" s="16"/>
      <c r="G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Y688" s="16"/>
    </row>
    <row r="689" customFormat="false" ht="12.8" hidden="false" customHeight="true" outlineLevel="0" collapsed="false">
      <c r="A689" s="16"/>
      <c r="D689" s="16"/>
      <c r="E689" s="16"/>
      <c r="F689" s="16"/>
      <c r="G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Y689" s="16"/>
    </row>
    <row r="690" customFormat="false" ht="12.8" hidden="false" customHeight="true" outlineLevel="0" collapsed="false">
      <c r="A690" s="16"/>
      <c r="D690" s="16"/>
      <c r="E690" s="16"/>
      <c r="F690" s="16"/>
      <c r="G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Y690" s="16"/>
    </row>
    <row r="691" customFormat="false" ht="12.8" hidden="false" customHeight="true" outlineLevel="0" collapsed="false">
      <c r="A691" s="16"/>
      <c r="D691" s="16"/>
      <c r="E691" s="16"/>
      <c r="F691" s="16"/>
      <c r="G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Y691" s="16"/>
    </row>
    <row r="692" customFormat="false" ht="12.8" hidden="false" customHeight="true" outlineLevel="0" collapsed="false">
      <c r="A692" s="16"/>
      <c r="D692" s="16"/>
      <c r="E692" s="16"/>
      <c r="F692" s="16"/>
      <c r="G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Y692" s="16"/>
    </row>
    <row r="693" customFormat="false" ht="12.8" hidden="false" customHeight="true" outlineLevel="0" collapsed="false">
      <c r="A693" s="16"/>
      <c r="D693" s="16"/>
      <c r="E693" s="16"/>
      <c r="F693" s="16"/>
      <c r="G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Y693" s="16"/>
    </row>
    <row r="694" customFormat="false" ht="12.8" hidden="false" customHeight="true" outlineLevel="0" collapsed="false">
      <c r="A694" s="16"/>
      <c r="D694" s="16"/>
      <c r="E694" s="16"/>
      <c r="F694" s="16"/>
      <c r="G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Y694" s="16"/>
    </row>
    <row r="695" customFormat="false" ht="12.8" hidden="false" customHeight="true" outlineLevel="0" collapsed="false">
      <c r="A695" s="16"/>
      <c r="D695" s="16"/>
      <c r="E695" s="16"/>
      <c r="F695" s="16"/>
      <c r="G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Y695" s="16"/>
    </row>
    <row r="696" customFormat="false" ht="12.8" hidden="false" customHeight="true" outlineLevel="0" collapsed="false">
      <c r="A696" s="16"/>
      <c r="D696" s="16"/>
      <c r="E696" s="16"/>
      <c r="F696" s="16"/>
      <c r="G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Y696" s="16"/>
    </row>
    <row r="697" customFormat="false" ht="12.8" hidden="false" customHeight="true" outlineLevel="0" collapsed="false">
      <c r="A697" s="16"/>
      <c r="D697" s="16"/>
      <c r="E697" s="16"/>
      <c r="F697" s="16"/>
      <c r="G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Y697" s="16"/>
    </row>
    <row r="698" customFormat="false" ht="12.8" hidden="false" customHeight="true" outlineLevel="0" collapsed="false">
      <c r="A698" s="16"/>
      <c r="D698" s="16"/>
      <c r="E698" s="16"/>
      <c r="F698" s="16"/>
      <c r="G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Y698" s="16"/>
    </row>
    <row r="699" customFormat="false" ht="12.8" hidden="false" customHeight="true" outlineLevel="0" collapsed="false">
      <c r="A699" s="16"/>
      <c r="D699" s="16"/>
      <c r="E699" s="16"/>
      <c r="F699" s="16"/>
      <c r="G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Y699" s="16"/>
    </row>
    <row r="700" customFormat="false" ht="12.8" hidden="false" customHeight="true" outlineLevel="0" collapsed="false">
      <c r="A700" s="16"/>
      <c r="D700" s="16"/>
      <c r="E700" s="16"/>
      <c r="F700" s="16"/>
      <c r="G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Y700" s="16"/>
    </row>
    <row r="701" customFormat="false" ht="12.8" hidden="false" customHeight="true" outlineLevel="0" collapsed="false">
      <c r="A701" s="16"/>
      <c r="D701" s="16"/>
      <c r="E701" s="16"/>
      <c r="F701" s="16"/>
      <c r="G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Y701" s="16"/>
    </row>
    <row r="702" customFormat="false" ht="12.8" hidden="false" customHeight="true" outlineLevel="0" collapsed="false">
      <c r="A702" s="16"/>
      <c r="D702" s="16"/>
      <c r="E702" s="16"/>
      <c r="F702" s="16"/>
      <c r="G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Y702" s="16"/>
    </row>
    <row r="703" customFormat="false" ht="12.8" hidden="false" customHeight="true" outlineLevel="0" collapsed="false">
      <c r="A703" s="16"/>
      <c r="D703" s="16"/>
      <c r="E703" s="16"/>
      <c r="F703" s="16"/>
      <c r="G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Y703" s="16"/>
    </row>
    <row r="704" customFormat="false" ht="12.8" hidden="false" customHeight="true" outlineLevel="0" collapsed="false">
      <c r="A704" s="16"/>
      <c r="D704" s="16"/>
      <c r="E704" s="16"/>
      <c r="F704" s="16"/>
      <c r="G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Y704" s="16"/>
    </row>
    <row r="705" customFormat="false" ht="12.8" hidden="false" customHeight="true" outlineLevel="0" collapsed="false">
      <c r="A705" s="16"/>
      <c r="D705" s="16"/>
      <c r="E705" s="16"/>
      <c r="F705" s="16"/>
      <c r="G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Y705" s="16"/>
    </row>
    <row r="706" customFormat="false" ht="12.8" hidden="false" customHeight="true" outlineLevel="0" collapsed="false">
      <c r="A706" s="16"/>
      <c r="D706" s="16"/>
      <c r="E706" s="16"/>
      <c r="F706" s="16"/>
      <c r="G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Y706" s="16"/>
    </row>
    <row r="707" customFormat="false" ht="12.8" hidden="false" customHeight="true" outlineLevel="0" collapsed="false">
      <c r="A707" s="16"/>
      <c r="D707" s="16"/>
      <c r="E707" s="16"/>
      <c r="F707" s="16"/>
      <c r="G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Y707" s="16"/>
    </row>
    <row r="708" customFormat="false" ht="12.8" hidden="false" customHeight="true" outlineLevel="0" collapsed="false">
      <c r="A708" s="16"/>
      <c r="D708" s="16"/>
      <c r="E708" s="16"/>
      <c r="F708" s="16"/>
      <c r="G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Y708" s="16"/>
    </row>
    <row r="709" customFormat="false" ht="12.8" hidden="false" customHeight="true" outlineLevel="0" collapsed="false">
      <c r="A709" s="16"/>
      <c r="D709" s="16"/>
      <c r="E709" s="16"/>
      <c r="F709" s="16"/>
      <c r="G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Y709" s="16"/>
    </row>
    <row r="710" customFormat="false" ht="12.8" hidden="false" customHeight="true" outlineLevel="0" collapsed="false">
      <c r="A710" s="16"/>
      <c r="D710" s="16"/>
      <c r="E710" s="16"/>
      <c r="F710" s="16"/>
      <c r="G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Y710" s="16"/>
    </row>
    <row r="711" customFormat="false" ht="12.8" hidden="false" customHeight="true" outlineLevel="0" collapsed="false">
      <c r="A711" s="16"/>
      <c r="D711" s="16"/>
      <c r="E711" s="16"/>
      <c r="F711" s="16"/>
      <c r="G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Y711" s="16"/>
    </row>
    <row r="712" customFormat="false" ht="12.8" hidden="false" customHeight="true" outlineLevel="0" collapsed="false">
      <c r="A712" s="16"/>
      <c r="D712" s="16"/>
      <c r="E712" s="16"/>
      <c r="F712" s="16"/>
      <c r="G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Y712" s="16"/>
    </row>
    <row r="713" customFormat="false" ht="12.8" hidden="false" customHeight="true" outlineLevel="0" collapsed="false">
      <c r="A713" s="16"/>
      <c r="D713" s="16"/>
      <c r="E713" s="16"/>
      <c r="F713" s="16"/>
      <c r="G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Y713" s="16"/>
    </row>
    <row r="714" customFormat="false" ht="12.8" hidden="false" customHeight="true" outlineLevel="0" collapsed="false">
      <c r="A714" s="16"/>
      <c r="D714" s="16"/>
      <c r="E714" s="16"/>
      <c r="F714" s="16"/>
      <c r="G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Y714" s="16"/>
    </row>
    <row r="715" customFormat="false" ht="12.8" hidden="false" customHeight="true" outlineLevel="0" collapsed="false">
      <c r="A715" s="16"/>
      <c r="D715" s="16"/>
      <c r="E715" s="16"/>
      <c r="F715" s="16"/>
      <c r="G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Y715" s="16"/>
    </row>
    <row r="716" customFormat="false" ht="12.8" hidden="false" customHeight="true" outlineLevel="0" collapsed="false">
      <c r="A716" s="16"/>
      <c r="D716" s="16"/>
      <c r="E716" s="16"/>
      <c r="F716" s="16"/>
      <c r="G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Y716" s="16"/>
    </row>
    <row r="717" customFormat="false" ht="12.8" hidden="false" customHeight="true" outlineLevel="0" collapsed="false">
      <c r="A717" s="16"/>
      <c r="D717" s="16"/>
      <c r="E717" s="16"/>
      <c r="F717" s="16"/>
      <c r="G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Y717" s="16"/>
    </row>
    <row r="718" customFormat="false" ht="12.8" hidden="false" customHeight="true" outlineLevel="0" collapsed="false">
      <c r="A718" s="16"/>
      <c r="D718" s="16"/>
      <c r="E718" s="16"/>
      <c r="F718" s="16"/>
      <c r="G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Y718" s="16"/>
    </row>
    <row r="719" customFormat="false" ht="12.8" hidden="false" customHeight="true" outlineLevel="0" collapsed="false">
      <c r="A719" s="16"/>
      <c r="D719" s="16"/>
      <c r="E719" s="16"/>
      <c r="F719" s="16"/>
      <c r="G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Y719" s="16"/>
    </row>
    <row r="720" customFormat="false" ht="12.8" hidden="false" customHeight="true" outlineLevel="0" collapsed="false">
      <c r="A720" s="16"/>
      <c r="D720" s="16"/>
      <c r="E720" s="16"/>
      <c r="F720" s="16"/>
      <c r="G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Y720" s="16"/>
    </row>
    <row r="721" customFormat="false" ht="12.8" hidden="false" customHeight="true" outlineLevel="0" collapsed="false">
      <c r="A721" s="16"/>
      <c r="D721" s="16"/>
      <c r="E721" s="16"/>
      <c r="F721" s="16"/>
      <c r="G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Y721" s="16"/>
    </row>
    <row r="722" customFormat="false" ht="12.8" hidden="false" customHeight="true" outlineLevel="0" collapsed="false">
      <c r="A722" s="16"/>
      <c r="D722" s="16"/>
      <c r="E722" s="16"/>
      <c r="F722" s="16"/>
      <c r="G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Y722" s="16"/>
    </row>
    <row r="723" customFormat="false" ht="12.8" hidden="false" customHeight="true" outlineLevel="0" collapsed="false">
      <c r="A723" s="16"/>
      <c r="D723" s="16"/>
      <c r="E723" s="16"/>
      <c r="F723" s="16"/>
      <c r="G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Y723" s="16"/>
    </row>
    <row r="724" customFormat="false" ht="12.8" hidden="false" customHeight="true" outlineLevel="0" collapsed="false">
      <c r="A724" s="16"/>
      <c r="D724" s="16"/>
      <c r="E724" s="16"/>
      <c r="F724" s="16"/>
      <c r="G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Y724" s="16"/>
    </row>
    <row r="725" customFormat="false" ht="12.8" hidden="false" customHeight="true" outlineLevel="0" collapsed="false">
      <c r="A725" s="16"/>
      <c r="D725" s="16"/>
      <c r="E725" s="16"/>
      <c r="F725" s="16"/>
      <c r="G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Y725" s="16"/>
    </row>
    <row r="726" customFormat="false" ht="12.8" hidden="false" customHeight="true" outlineLevel="0" collapsed="false">
      <c r="A726" s="16"/>
      <c r="D726" s="16"/>
      <c r="E726" s="16"/>
      <c r="F726" s="16"/>
      <c r="G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Y726" s="16"/>
    </row>
    <row r="727" customFormat="false" ht="12.8" hidden="false" customHeight="true" outlineLevel="0" collapsed="false">
      <c r="A727" s="16"/>
      <c r="D727" s="16"/>
      <c r="E727" s="16"/>
      <c r="F727" s="16"/>
      <c r="G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Y727" s="16"/>
    </row>
    <row r="728" customFormat="false" ht="12.8" hidden="false" customHeight="true" outlineLevel="0" collapsed="false">
      <c r="A728" s="16"/>
      <c r="D728" s="16"/>
      <c r="E728" s="16"/>
      <c r="F728" s="16"/>
      <c r="G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Y728" s="16"/>
    </row>
    <row r="729" customFormat="false" ht="12.8" hidden="false" customHeight="true" outlineLevel="0" collapsed="false">
      <c r="A729" s="16"/>
      <c r="D729" s="16"/>
      <c r="E729" s="16"/>
      <c r="F729" s="16"/>
      <c r="G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Y729" s="16"/>
    </row>
    <row r="730" customFormat="false" ht="12.8" hidden="false" customHeight="true" outlineLevel="0" collapsed="false">
      <c r="A730" s="16"/>
      <c r="D730" s="16"/>
      <c r="E730" s="16"/>
      <c r="F730" s="16"/>
      <c r="G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Y730" s="16"/>
    </row>
    <row r="731" customFormat="false" ht="12.8" hidden="false" customHeight="true" outlineLevel="0" collapsed="false">
      <c r="A731" s="16"/>
      <c r="D731" s="16"/>
      <c r="E731" s="16"/>
      <c r="F731" s="16"/>
      <c r="G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Y731" s="16"/>
    </row>
    <row r="732" customFormat="false" ht="12.8" hidden="false" customHeight="true" outlineLevel="0" collapsed="false">
      <c r="A732" s="16"/>
      <c r="D732" s="16"/>
      <c r="E732" s="16"/>
      <c r="F732" s="16"/>
      <c r="G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Y732" s="16"/>
    </row>
    <row r="733" customFormat="false" ht="12.8" hidden="false" customHeight="true" outlineLevel="0" collapsed="false">
      <c r="A733" s="16"/>
      <c r="D733" s="16"/>
      <c r="E733" s="16"/>
      <c r="F733" s="16"/>
      <c r="G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Y733" s="16"/>
    </row>
    <row r="734" customFormat="false" ht="12.8" hidden="false" customHeight="true" outlineLevel="0" collapsed="false">
      <c r="A734" s="16"/>
      <c r="D734" s="16"/>
      <c r="E734" s="16"/>
      <c r="F734" s="16"/>
      <c r="G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Y734" s="16"/>
    </row>
    <row r="735" customFormat="false" ht="12.8" hidden="false" customHeight="true" outlineLevel="0" collapsed="false">
      <c r="A735" s="16"/>
      <c r="D735" s="16"/>
      <c r="E735" s="16"/>
      <c r="F735" s="16"/>
      <c r="G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Y735" s="16"/>
    </row>
    <row r="736" customFormat="false" ht="12.8" hidden="false" customHeight="true" outlineLevel="0" collapsed="false">
      <c r="A736" s="16"/>
      <c r="D736" s="16"/>
      <c r="E736" s="16"/>
      <c r="F736" s="16"/>
      <c r="G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Y736" s="16"/>
    </row>
    <row r="737" customFormat="false" ht="12.8" hidden="false" customHeight="true" outlineLevel="0" collapsed="false">
      <c r="A737" s="16"/>
      <c r="D737" s="16"/>
      <c r="E737" s="16"/>
      <c r="F737" s="16"/>
      <c r="G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Y737" s="16"/>
    </row>
    <row r="738" customFormat="false" ht="12.8" hidden="false" customHeight="true" outlineLevel="0" collapsed="false">
      <c r="A738" s="16"/>
      <c r="D738" s="16"/>
      <c r="E738" s="16"/>
      <c r="F738" s="16"/>
      <c r="G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Y738" s="16"/>
    </row>
    <row r="739" customFormat="false" ht="12.8" hidden="false" customHeight="true" outlineLevel="0" collapsed="false">
      <c r="A739" s="16"/>
      <c r="D739" s="16"/>
      <c r="E739" s="16"/>
      <c r="F739" s="16"/>
      <c r="G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Y739" s="16"/>
    </row>
    <row r="740" customFormat="false" ht="12.8" hidden="false" customHeight="true" outlineLevel="0" collapsed="false">
      <c r="A740" s="16"/>
      <c r="D740" s="16"/>
      <c r="E740" s="16"/>
      <c r="F740" s="16"/>
      <c r="G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Y740" s="16"/>
    </row>
    <row r="741" customFormat="false" ht="12.8" hidden="false" customHeight="true" outlineLevel="0" collapsed="false">
      <c r="A741" s="16"/>
      <c r="D741" s="16"/>
      <c r="E741" s="16"/>
      <c r="F741" s="16"/>
      <c r="G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Y741" s="16"/>
    </row>
    <row r="742" customFormat="false" ht="12.8" hidden="false" customHeight="true" outlineLevel="0" collapsed="false">
      <c r="A742" s="16"/>
      <c r="D742" s="16"/>
      <c r="E742" s="16"/>
      <c r="F742" s="16"/>
      <c r="G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Y742" s="16"/>
    </row>
    <row r="743" customFormat="false" ht="12.8" hidden="false" customHeight="true" outlineLevel="0" collapsed="false">
      <c r="A743" s="16"/>
      <c r="D743" s="16"/>
      <c r="E743" s="16"/>
      <c r="F743" s="16"/>
      <c r="G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Y743" s="16"/>
    </row>
    <row r="744" customFormat="false" ht="12.8" hidden="false" customHeight="true" outlineLevel="0" collapsed="false">
      <c r="A744" s="16"/>
      <c r="D744" s="16"/>
      <c r="E744" s="16"/>
      <c r="F744" s="16"/>
      <c r="G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Y744" s="16"/>
    </row>
    <row r="745" customFormat="false" ht="12.8" hidden="false" customHeight="true" outlineLevel="0" collapsed="false">
      <c r="A745" s="16"/>
      <c r="D745" s="16"/>
      <c r="E745" s="16"/>
      <c r="F745" s="16"/>
      <c r="G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Y745" s="16"/>
    </row>
    <row r="746" customFormat="false" ht="12.8" hidden="false" customHeight="true" outlineLevel="0" collapsed="false">
      <c r="A746" s="16"/>
      <c r="D746" s="16"/>
      <c r="E746" s="16"/>
      <c r="F746" s="16"/>
      <c r="G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Y746" s="16"/>
    </row>
    <row r="747" customFormat="false" ht="12.8" hidden="false" customHeight="true" outlineLevel="0" collapsed="false">
      <c r="A747" s="16"/>
      <c r="D747" s="16"/>
      <c r="E747" s="16"/>
      <c r="F747" s="16"/>
      <c r="G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Y747" s="16"/>
    </row>
    <row r="748" customFormat="false" ht="12.8" hidden="false" customHeight="true" outlineLevel="0" collapsed="false">
      <c r="A748" s="16"/>
      <c r="D748" s="16"/>
      <c r="E748" s="16"/>
      <c r="F748" s="16"/>
      <c r="G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Y748" s="16"/>
    </row>
    <row r="749" customFormat="false" ht="12.8" hidden="false" customHeight="true" outlineLevel="0" collapsed="false">
      <c r="A749" s="16"/>
      <c r="D749" s="16"/>
      <c r="E749" s="16"/>
      <c r="F749" s="16"/>
      <c r="G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Y749" s="16"/>
    </row>
    <row r="750" customFormat="false" ht="12.8" hidden="false" customHeight="true" outlineLevel="0" collapsed="false">
      <c r="A750" s="16"/>
      <c r="D750" s="16"/>
      <c r="E750" s="16"/>
      <c r="F750" s="16"/>
      <c r="G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Y750" s="16"/>
    </row>
    <row r="751" customFormat="false" ht="12.8" hidden="false" customHeight="true" outlineLevel="0" collapsed="false">
      <c r="A751" s="16"/>
      <c r="D751" s="16"/>
      <c r="E751" s="16"/>
      <c r="F751" s="16"/>
      <c r="G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Y751" s="16"/>
    </row>
    <row r="752" customFormat="false" ht="12.8" hidden="false" customHeight="true" outlineLevel="0" collapsed="false">
      <c r="A752" s="16"/>
      <c r="D752" s="16"/>
      <c r="E752" s="16"/>
      <c r="F752" s="16"/>
      <c r="G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Y752" s="16"/>
    </row>
    <row r="753" customFormat="false" ht="12.8" hidden="false" customHeight="true" outlineLevel="0" collapsed="false">
      <c r="A753" s="16"/>
      <c r="D753" s="16"/>
      <c r="E753" s="16"/>
      <c r="F753" s="16"/>
      <c r="G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Y753" s="16"/>
    </row>
    <row r="754" customFormat="false" ht="12.8" hidden="false" customHeight="true" outlineLevel="0" collapsed="false">
      <c r="A754" s="16"/>
      <c r="D754" s="16"/>
      <c r="E754" s="16"/>
      <c r="F754" s="16"/>
      <c r="G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Y754" s="16"/>
    </row>
    <row r="755" customFormat="false" ht="12.8" hidden="false" customHeight="true" outlineLevel="0" collapsed="false">
      <c r="A755" s="16"/>
      <c r="D755" s="16"/>
      <c r="E755" s="16"/>
      <c r="F755" s="16"/>
      <c r="G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Y755" s="16"/>
    </row>
    <row r="756" customFormat="false" ht="12.8" hidden="false" customHeight="true" outlineLevel="0" collapsed="false">
      <c r="A756" s="16"/>
      <c r="D756" s="16"/>
      <c r="E756" s="16"/>
      <c r="F756" s="16"/>
      <c r="G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Y756" s="16"/>
    </row>
    <row r="757" customFormat="false" ht="12.8" hidden="false" customHeight="true" outlineLevel="0" collapsed="false">
      <c r="A757" s="16"/>
      <c r="D757" s="16"/>
      <c r="E757" s="16"/>
      <c r="F757" s="16"/>
      <c r="G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Y757" s="16"/>
    </row>
    <row r="758" customFormat="false" ht="12.8" hidden="false" customHeight="true" outlineLevel="0" collapsed="false">
      <c r="A758" s="16"/>
      <c r="D758" s="16"/>
      <c r="E758" s="16"/>
      <c r="F758" s="16"/>
      <c r="G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Y758" s="16"/>
    </row>
    <row r="759" customFormat="false" ht="12.8" hidden="false" customHeight="true" outlineLevel="0" collapsed="false">
      <c r="A759" s="16"/>
      <c r="D759" s="16"/>
      <c r="E759" s="16"/>
      <c r="F759" s="16"/>
      <c r="G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Y759" s="16"/>
    </row>
    <row r="760" customFormat="false" ht="12.8" hidden="false" customHeight="true" outlineLevel="0" collapsed="false">
      <c r="A760" s="16"/>
      <c r="D760" s="16"/>
      <c r="E760" s="16"/>
      <c r="F760" s="16"/>
      <c r="G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Y760" s="16"/>
    </row>
    <row r="761" customFormat="false" ht="12.8" hidden="false" customHeight="true" outlineLevel="0" collapsed="false">
      <c r="A761" s="16"/>
      <c r="D761" s="16"/>
      <c r="E761" s="16"/>
      <c r="F761" s="16"/>
      <c r="G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Y761" s="16"/>
    </row>
    <row r="762" customFormat="false" ht="12.8" hidden="false" customHeight="true" outlineLevel="0" collapsed="false">
      <c r="A762" s="16"/>
      <c r="D762" s="16"/>
      <c r="E762" s="16"/>
      <c r="F762" s="16"/>
      <c r="G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Y762" s="16"/>
    </row>
    <row r="763" customFormat="false" ht="12.8" hidden="false" customHeight="true" outlineLevel="0" collapsed="false">
      <c r="A763" s="16"/>
      <c r="D763" s="16"/>
      <c r="E763" s="16"/>
      <c r="F763" s="16"/>
      <c r="G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Y763" s="16"/>
    </row>
    <row r="764" customFormat="false" ht="12.8" hidden="false" customHeight="true" outlineLevel="0" collapsed="false">
      <c r="A764" s="16"/>
      <c r="D764" s="16"/>
      <c r="E764" s="16"/>
      <c r="F764" s="16"/>
      <c r="G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Y764" s="16"/>
    </row>
    <row r="765" customFormat="false" ht="12.8" hidden="false" customHeight="true" outlineLevel="0" collapsed="false">
      <c r="A765" s="16"/>
      <c r="D765" s="16"/>
      <c r="E765" s="16"/>
      <c r="F765" s="16"/>
      <c r="G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Y765" s="16"/>
    </row>
    <row r="766" customFormat="false" ht="12.8" hidden="false" customHeight="true" outlineLevel="0" collapsed="false">
      <c r="A766" s="16"/>
      <c r="D766" s="16"/>
      <c r="E766" s="16"/>
      <c r="F766" s="16"/>
      <c r="G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Y766" s="16"/>
    </row>
    <row r="767" customFormat="false" ht="12.8" hidden="false" customHeight="true" outlineLevel="0" collapsed="false">
      <c r="A767" s="16"/>
      <c r="D767" s="16"/>
      <c r="E767" s="16"/>
      <c r="F767" s="16"/>
      <c r="G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Y767" s="16"/>
    </row>
    <row r="768" customFormat="false" ht="12.8" hidden="false" customHeight="true" outlineLevel="0" collapsed="false">
      <c r="A768" s="16"/>
      <c r="D768" s="16"/>
      <c r="E768" s="16"/>
      <c r="F768" s="16"/>
      <c r="G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Y768" s="16"/>
    </row>
    <row r="769" customFormat="false" ht="12.8" hidden="false" customHeight="true" outlineLevel="0" collapsed="false">
      <c r="A769" s="16"/>
      <c r="D769" s="16"/>
      <c r="E769" s="16"/>
      <c r="F769" s="16"/>
      <c r="G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Y769" s="16"/>
    </row>
    <row r="770" customFormat="false" ht="12.8" hidden="false" customHeight="true" outlineLevel="0" collapsed="false">
      <c r="A770" s="16"/>
      <c r="D770" s="16"/>
      <c r="E770" s="16"/>
      <c r="F770" s="16"/>
      <c r="G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Y770" s="16"/>
    </row>
    <row r="771" customFormat="false" ht="12.8" hidden="false" customHeight="true" outlineLevel="0" collapsed="false">
      <c r="A771" s="16"/>
      <c r="D771" s="16"/>
      <c r="E771" s="16"/>
      <c r="F771" s="16"/>
      <c r="G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Y771" s="16"/>
    </row>
    <row r="772" customFormat="false" ht="12.8" hidden="false" customHeight="true" outlineLevel="0" collapsed="false">
      <c r="A772" s="16"/>
      <c r="D772" s="16"/>
      <c r="E772" s="16"/>
      <c r="F772" s="16"/>
      <c r="G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Y772" s="16"/>
    </row>
    <row r="773" customFormat="false" ht="12.8" hidden="false" customHeight="true" outlineLevel="0" collapsed="false">
      <c r="A773" s="16"/>
      <c r="D773" s="16"/>
      <c r="E773" s="16"/>
      <c r="F773" s="16"/>
      <c r="G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Y773" s="16"/>
    </row>
    <row r="774" customFormat="false" ht="12.8" hidden="false" customHeight="true" outlineLevel="0" collapsed="false">
      <c r="A774" s="16"/>
      <c r="D774" s="16"/>
      <c r="E774" s="16"/>
      <c r="F774" s="16"/>
      <c r="G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Y774" s="16"/>
    </row>
    <row r="775" customFormat="false" ht="12.8" hidden="false" customHeight="true" outlineLevel="0" collapsed="false">
      <c r="A775" s="16"/>
      <c r="D775" s="16"/>
      <c r="E775" s="16"/>
      <c r="F775" s="16"/>
      <c r="G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Y775" s="16"/>
    </row>
    <row r="776" customFormat="false" ht="12.8" hidden="false" customHeight="true" outlineLevel="0" collapsed="false">
      <c r="A776" s="16"/>
      <c r="D776" s="16"/>
      <c r="E776" s="16"/>
      <c r="F776" s="16"/>
      <c r="G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Y776" s="16"/>
    </row>
    <row r="777" customFormat="false" ht="12.8" hidden="false" customHeight="true" outlineLevel="0" collapsed="false">
      <c r="A777" s="16"/>
      <c r="D777" s="16"/>
      <c r="E777" s="16"/>
      <c r="F777" s="16"/>
      <c r="G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Y777" s="16"/>
    </row>
    <row r="778" customFormat="false" ht="12.8" hidden="false" customHeight="true" outlineLevel="0" collapsed="false">
      <c r="A778" s="16"/>
      <c r="D778" s="16"/>
      <c r="E778" s="16"/>
      <c r="F778" s="16"/>
      <c r="G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Y778" s="16"/>
    </row>
    <row r="779" customFormat="false" ht="12.8" hidden="false" customHeight="true" outlineLevel="0" collapsed="false">
      <c r="A779" s="16"/>
      <c r="D779" s="16"/>
      <c r="E779" s="16"/>
      <c r="F779" s="16"/>
      <c r="G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Y779" s="16"/>
    </row>
    <row r="780" customFormat="false" ht="12.8" hidden="false" customHeight="true" outlineLevel="0" collapsed="false">
      <c r="A780" s="16"/>
      <c r="D780" s="16"/>
      <c r="E780" s="16"/>
      <c r="F780" s="16"/>
      <c r="G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Y780" s="16"/>
    </row>
    <row r="781" customFormat="false" ht="12.8" hidden="false" customHeight="true" outlineLevel="0" collapsed="false">
      <c r="A781" s="16"/>
      <c r="D781" s="16"/>
      <c r="E781" s="16"/>
      <c r="F781" s="16"/>
      <c r="G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Y781" s="16"/>
    </row>
    <row r="782" customFormat="false" ht="12.8" hidden="false" customHeight="true" outlineLevel="0" collapsed="false">
      <c r="A782" s="16"/>
      <c r="D782" s="16"/>
      <c r="E782" s="16"/>
      <c r="F782" s="16"/>
      <c r="G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Y782" s="16"/>
    </row>
    <row r="783" customFormat="false" ht="12.8" hidden="false" customHeight="true" outlineLevel="0" collapsed="false">
      <c r="A783" s="16"/>
      <c r="D783" s="16"/>
      <c r="E783" s="16"/>
      <c r="F783" s="16"/>
      <c r="G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Y783" s="16"/>
    </row>
    <row r="784" customFormat="false" ht="12.8" hidden="false" customHeight="true" outlineLevel="0" collapsed="false">
      <c r="A784" s="16"/>
      <c r="D784" s="16"/>
      <c r="E784" s="16"/>
      <c r="F784" s="16"/>
      <c r="G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Y784" s="16"/>
    </row>
    <row r="785" customFormat="false" ht="12.8" hidden="false" customHeight="true" outlineLevel="0" collapsed="false">
      <c r="A785" s="16"/>
      <c r="D785" s="16"/>
      <c r="E785" s="16"/>
      <c r="F785" s="16"/>
      <c r="G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Y785" s="16"/>
    </row>
    <row r="786" customFormat="false" ht="12.8" hidden="false" customHeight="true" outlineLevel="0" collapsed="false">
      <c r="A786" s="16"/>
      <c r="D786" s="16"/>
      <c r="E786" s="16"/>
      <c r="F786" s="16"/>
      <c r="G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Y786" s="16"/>
    </row>
    <row r="787" customFormat="false" ht="12.8" hidden="false" customHeight="true" outlineLevel="0" collapsed="false">
      <c r="A787" s="16"/>
      <c r="D787" s="16"/>
      <c r="E787" s="16"/>
      <c r="F787" s="16"/>
      <c r="G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Y787" s="16"/>
    </row>
    <row r="788" customFormat="false" ht="12.8" hidden="false" customHeight="true" outlineLevel="0" collapsed="false">
      <c r="A788" s="16"/>
      <c r="D788" s="16"/>
      <c r="E788" s="16"/>
      <c r="F788" s="16"/>
      <c r="G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Y788" s="16"/>
    </row>
    <row r="789" customFormat="false" ht="12.8" hidden="false" customHeight="true" outlineLevel="0" collapsed="false">
      <c r="A789" s="16"/>
      <c r="D789" s="16"/>
      <c r="E789" s="16"/>
      <c r="F789" s="16"/>
      <c r="G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Y789" s="16"/>
    </row>
    <row r="790" customFormat="false" ht="12.8" hidden="false" customHeight="true" outlineLevel="0" collapsed="false">
      <c r="A790" s="16"/>
      <c r="D790" s="16"/>
      <c r="E790" s="16"/>
      <c r="F790" s="16"/>
      <c r="G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Y790" s="16"/>
    </row>
    <row r="791" customFormat="false" ht="12.8" hidden="false" customHeight="true" outlineLevel="0" collapsed="false">
      <c r="A791" s="16"/>
      <c r="D791" s="16"/>
      <c r="E791" s="16"/>
      <c r="F791" s="16"/>
      <c r="G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Y791" s="16"/>
    </row>
    <row r="792" customFormat="false" ht="12.8" hidden="false" customHeight="true" outlineLevel="0" collapsed="false">
      <c r="A792" s="16"/>
      <c r="D792" s="16"/>
      <c r="E792" s="16"/>
      <c r="F792" s="16"/>
      <c r="G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Y792" s="16"/>
    </row>
    <row r="793" customFormat="false" ht="12.8" hidden="false" customHeight="true" outlineLevel="0" collapsed="false">
      <c r="A793" s="16"/>
      <c r="D793" s="16"/>
      <c r="E793" s="16"/>
      <c r="F793" s="16"/>
      <c r="G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Y793" s="16"/>
    </row>
    <row r="794" customFormat="false" ht="12.8" hidden="false" customHeight="true" outlineLevel="0" collapsed="false">
      <c r="A794" s="16"/>
      <c r="D794" s="16"/>
      <c r="E794" s="16"/>
      <c r="F794" s="16"/>
      <c r="G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Y794" s="16"/>
    </row>
    <row r="795" customFormat="false" ht="12.8" hidden="false" customHeight="true" outlineLevel="0" collapsed="false">
      <c r="A795" s="16"/>
      <c r="D795" s="16"/>
      <c r="E795" s="16"/>
      <c r="F795" s="16"/>
      <c r="G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Y795" s="16"/>
    </row>
    <row r="796" customFormat="false" ht="12.8" hidden="false" customHeight="true" outlineLevel="0" collapsed="false">
      <c r="A796" s="16"/>
      <c r="D796" s="16"/>
      <c r="E796" s="16"/>
      <c r="F796" s="16"/>
      <c r="G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Y796" s="16"/>
    </row>
    <row r="797" customFormat="false" ht="12.8" hidden="false" customHeight="true" outlineLevel="0" collapsed="false">
      <c r="A797" s="16"/>
      <c r="D797" s="16"/>
      <c r="E797" s="16"/>
      <c r="F797" s="16"/>
      <c r="G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Y797" s="16"/>
    </row>
    <row r="798" customFormat="false" ht="12.8" hidden="false" customHeight="true" outlineLevel="0" collapsed="false">
      <c r="A798" s="16"/>
      <c r="D798" s="16"/>
      <c r="E798" s="16"/>
      <c r="F798" s="16"/>
      <c r="G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Y798" s="16"/>
    </row>
    <row r="799" customFormat="false" ht="12.8" hidden="false" customHeight="true" outlineLevel="0" collapsed="false">
      <c r="A799" s="16"/>
      <c r="D799" s="16"/>
      <c r="E799" s="16"/>
      <c r="F799" s="16"/>
      <c r="G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Y799" s="16"/>
    </row>
    <row r="800" customFormat="false" ht="12.8" hidden="false" customHeight="true" outlineLevel="0" collapsed="false">
      <c r="A800" s="16"/>
      <c r="D800" s="16"/>
      <c r="E800" s="16"/>
      <c r="F800" s="16"/>
      <c r="G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Y800" s="16"/>
    </row>
    <row r="801" customFormat="false" ht="12.8" hidden="false" customHeight="true" outlineLevel="0" collapsed="false">
      <c r="A801" s="16"/>
      <c r="D801" s="16"/>
      <c r="E801" s="16"/>
      <c r="F801" s="16"/>
      <c r="G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Y801" s="16"/>
    </row>
    <row r="802" customFormat="false" ht="12.8" hidden="false" customHeight="true" outlineLevel="0" collapsed="false">
      <c r="A802" s="16"/>
      <c r="D802" s="16"/>
      <c r="E802" s="16"/>
      <c r="F802" s="16"/>
      <c r="G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Y802" s="16"/>
    </row>
    <row r="803" customFormat="false" ht="12.8" hidden="false" customHeight="true" outlineLevel="0" collapsed="false">
      <c r="A803" s="16"/>
      <c r="D803" s="16"/>
      <c r="E803" s="16"/>
      <c r="F803" s="16"/>
      <c r="G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Y803" s="16"/>
    </row>
    <row r="804" customFormat="false" ht="12.8" hidden="false" customHeight="true" outlineLevel="0" collapsed="false">
      <c r="A804" s="16"/>
      <c r="D804" s="16"/>
      <c r="E804" s="16"/>
      <c r="F804" s="16"/>
      <c r="G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Y804" s="16"/>
    </row>
    <row r="805" customFormat="false" ht="12.8" hidden="false" customHeight="true" outlineLevel="0" collapsed="false">
      <c r="A805" s="16"/>
      <c r="D805" s="16"/>
      <c r="E805" s="16"/>
      <c r="F805" s="16"/>
      <c r="G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Y805" s="16"/>
    </row>
    <row r="806" customFormat="false" ht="12.8" hidden="false" customHeight="true" outlineLevel="0" collapsed="false">
      <c r="A806" s="16"/>
      <c r="D806" s="16"/>
      <c r="E806" s="16"/>
      <c r="F806" s="16"/>
      <c r="G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Y806" s="16"/>
    </row>
    <row r="807" customFormat="false" ht="12.8" hidden="false" customHeight="true" outlineLevel="0" collapsed="false">
      <c r="A807" s="16"/>
      <c r="D807" s="16"/>
      <c r="E807" s="16"/>
      <c r="F807" s="16"/>
      <c r="G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Y807" s="16"/>
    </row>
    <row r="808" customFormat="false" ht="12.8" hidden="false" customHeight="true" outlineLevel="0" collapsed="false">
      <c r="A808" s="16"/>
      <c r="D808" s="16"/>
      <c r="E808" s="16"/>
      <c r="F808" s="16"/>
      <c r="G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Y808" s="16"/>
    </row>
    <row r="809" customFormat="false" ht="12.8" hidden="false" customHeight="true" outlineLevel="0" collapsed="false">
      <c r="A809" s="16"/>
      <c r="D809" s="16"/>
      <c r="E809" s="16"/>
      <c r="F809" s="16"/>
      <c r="G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Y809" s="16"/>
    </row>
    <row r="810" customFormat="false" ht="12.8" hidden="false" customHeight="true" outlineLevel="0" collapsed="false">
      <c r="A810" s="16"/>
      <c r="D810" s="16"/>
      <c r="E810" s="16"/>
      <c r="F810" s="16"/>
      <c r="G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Y810" s="16"/>
    </row>
    <row r="811" customFormat="false" ht="12.8" hidden="false" customHeight="true" outlineLevel="0" collapsed="false">
      <c r="A811" s="16"/>
      <c r="D811" s="16"/>
      <c r="E811" s="16"/>
      <c r="F811" s="16"/>
      <c r="G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Y811" s="16"/>
    </row>
    <row r="812" customFormat="false" ht="12.8" hidden="false" customHeight="true" outlineLevel="0" collapsed="false">
      <c r="A812" s="16"/>
      <c r="D812" s="16"/>
      <c r="E812" s="16"/>
      <c r="F812" s="16"/>
      <c r="G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Y812" s="16"/>
    </row>
    <row r="813" customFormat="false" ht="12.8" hidden="false" customHeight="true" outlineLevel="0" collapsed="false">
      <c r="A813" s="16"/>
      <c r="D813" s="16"/>
      <c r="E813" s="16"/>
      <c r="F813" s="16"/>
      <c r="G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Y813" s="16"/>
    </row>
    <row r="814" customFormat="false" ht="12.8" hidden="false" customHeight="true" outlineLevel="0" collapsed="false">
      <c r="A814" s="16"/>
      <c r="D814" s="16"/>
      <c r="E814" s="16"/>
      <c r="F814" s="16"/>
      <c r="G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Y814" s="16"/>
    </row>
    <row r="815" customFormat="false" ht="12.8" hidden="false" customHeight="true" outlineLevel="0" collapsed="false">
      <c r="A815" s="16"/>
      <c r="D815" s="16"/>
      <c r="E815" s="16"/>
      <c r="F815" s="16"/>
      <c r="G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Y815" s="16"/>
    </row>
    <row r="816" customFormat="false" ht="12.8" hidden="false" customHeight="true" outlineLevel="0" collapsed="false">
      <c r="A816" s="16"/>
      <c r="D816" s="16"/>
      <c r="E816" s="16"/>
      <c r="F816" s="16"/>
      <c r="G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Y816" s="16"/>
    </row>
    <row r="817" customFormat="false" ht="12.8" hidden="false" customHeight="true" outlineLevel="0" collapsed="false">
      <c r="A817" s="16"/>
      <c r="D817" s="16"/>
      <c r="E817" s="16"/>
      <c r="F817" s="16"/>
      <c r="G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Y817" s="16"/>
    </row>
    <row r="818" customFormat="false" ht="12.8" hidden="false" customHeight="true" outlineLevel="0" collapsed="false">
      <c r="A818" s="16"/>
      <c r="D818" s="16"/>
      <c r="E818" s="16"/>
      <c r="F818" s="16"/>
      <c r="G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Y818" s="16"/>
    </row>
    <row r="819" customFormat="false" ht="12.8" hidden="false" customHeight="true" outlineLevel="0" collapsed="false">
      <c r="A819" s="16"/>
      <c r="D819" s="16"/>
      <c r="E819" s="16"/>
      <c r="F819" s="16"/>
      <c r="G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Y819" s="16"/>
    </row>
    <row r="820" customFormat="false" ht="12.8" hidden="false" customHeight="true" outlineLevel="0" collapsed="false">
      <c r="A820" s="16"/>
      <c r="D820" s="16"/>
      <c r="E820" s="16"/>
      <c r="F820" s="16"/>
      <c r="G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Y820" s="16"/>
    </row>
    <row r="821" customFormat="false" ht="12.8" hidden="false" customHeight="true" outlineLevel="0" collapsed="false">
      <c r="A821" s="16"/>
      <c r="D821" s="16"/>
      <c r="E821" s="16"/>
      <c r="F821" s="16"/>
      <c r="G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Y821" s="16"/>
    </row>
    <row r="822" customFormat="false" ht="12.8" hidden="false" customHeight="true" outlineLevel="0" collapsed="false">
      <c r="A822" s="16"/>
      <c r="D822" s="16"/>
      <c r="E822" s="16"/>
      <c r="F822" s="16"/>
      <c r="G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Y822" s="16"/>
    </row>
    <row r="823" customFormat="false" ht="12.8" hidden="false" customHeight="true" outlineLevel="0" collapsed="false">
      <c r="A823" s="16"/>
      <c r="D823" s="16"/>
      <c r="E823" s="16"/>
      <c r="F823" s="16"/>
      <c r="G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Y823" s="16"/>
    </row>
    <row r="824" customFormat="false" ht="12.8" hidden="false" customHeight="true" outlineLevel="0" collapsed="false">
      <c r="A824" s="16"/>
      <c r="D824" s="16"/>
      <c r="E824" s="16"/>
      <c r="F824" s="16"/>
      <c r="G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Y824" s="16"/>
    </row>
    <row r="825" customFormat="false" ht="12.8" hidden="false" customHeight="true" outlineLevel="0" collapsed="false">
      <c r="A825" s="16"/>
      <c r="D825" s="16"/>
      <c r="E825" s="16"/>
      <c r="F825" s="16"/>
      <c r="G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Y825" s="16"/>
    </row>
    <row r="826" customFormat="false" ht="12.8" hidden="false" customHeight="true" outlineLevel="0" collapsed="false">
      <c r="A826" s="16"/>
      <c r="D826" s="16"/>
      <c r="E826" s="16"/>
      <c r="F826" s="16"/>
      <c r="G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Y826" s="16"/>
    </row>
    <row r="827" customFormat="false" ht="12.8" hidden="false" customHeight="true" outlineLevel="0" collapsed="false">
      <c r="A827" s="16"/>
      <c r="D827" s="16"/>
      <c r="E827" s="16"/>
      <c r="F827" s="16"/>
      <c r="G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Y827" s="16"/>
    </row>
    <row r="828" customFormat="false" ht="12.8" hidden="false" customHeight="true" outlineLevel="0" collapsed="false">
      <c r="A828" s="16"/>
      <c r="D828" s="16"/>
      <c r="E828" s="16"/>
      <c r="F828" s="16"/>
      <c r="G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Y828" s="16"/>
    </row>
    <row r="829" customFormat="false" ht="12.8" hidden="false" customHeight="true" outlineLevel="0" collapsed="false">
      <c r="A829" s="16"/>
      <c r="D829" s="16"/>
      <c r="E829" s="16"/>
      <c r="F829" s="16"/>
      <c r="G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Y829" s="16"/>
    </row>
    <row r="830" customFormat="false" ht="12.8" hidden="false" customHeight="true" outlineLevel="0" collapsed="false">
      <c r="A830" s="16"/>
      <c r="D830" s="16"/>
      <c r="E830" s="16"/>
      <c r="F830" s="16"/>
      <c r="G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Y830" s="16"/>
    </row>
    <row r="831" customFormat="false" ht="12.8" hidden="false" customHeight="true" outlineLevel="0" collapsed="false">
      <c r="A831" s="16"/>
      <c r="D831" s="16"/>
      <c r="E831" s="16"/>
      <c r="F831" s="16"/>
      <c r="G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Y831" s="16"/>
    </row>
    <row r="832" customFormat="false" ht="12.8" hidden="false" customHeight="true" outlineLevel="0" collapsed="false">
      <c r="A832" s="16"/>
      <c r="D832" s="16"/>
      <c r="E832" s="16"/>
      <c r="F832" s="16"/>
      <c r="G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Y832" s="16"/>
    </row>
    <row r="833" customFormat="false" ht="12.8" hidden="false" customHeight="true" outlineLevel="0" collapsed="false">
      <c r="A833" s="16"/>
      <c r="D833" s="16"/>
      <c r="E833" s="16"/>
      <c r="F833" s="16"/>
      <c r="G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Y833" s="16"/>
    </row>
    <row r="834" customFormat="false" ht="12.8" hidden="false" customHeight="true" outlineLevel="0" collapsed="false">
      <c r="A834" s="16"/>
      <c r="D834" s="16"/>
      <c r="E834" s="16"/>
      <c r="F834" s="16"/>
      <c r="G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Y834" s="16"/>
    </row>
    <row r="835" customFormat="false" ht="12.8" hidden="false" customHeight="true" outlineLevel="0" collapsed="false">
      <c r="A835" s="16"/>
      <c r="D835" s="16"/>
      <c r="E835" s="16"/>
      <c r="F835" s="16"/>
      <c r="G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Y835" s="16"/>
    </row>
    <row r="836" customFormat="false" ht="12.8" hidden="false" customHeight="true" outlineLevel="0" collapsed="false">
      <c r="A836" s="16"/>
      <c r="D836" s="16"/>
      <c r="E836" s="16"/>
      <c r="F836" s="16"/>
      <c r="G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Y836" s="16"/>
    </row>
    <row r="837" customFormat="false" ht="12.8" hidden="false" customHeight="true" outlineLevel="0" collapsed="false">
      <c r="A837" s="16"/>
      <c r="D837" s="16"/>
      <c r="E837" s="16"/>
      <c r="F837" s="16"/>
      <c r="G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Y837" s="16"/>
    </row>
    <row r="838" customFormat="false" ht="12.8" hidden="false" customHeight="true" outlineLevel="0" collapsed="false">
      <c r="A838" s="16"/>
      <c r="D838" s="16"/>
      <c r="E838" s="16"/>
      <c r="F838" s="16"/>
      <c r="G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Y838" s="16"/>
    </row>
    <row r="839" customFormat="false" ht="12.8" hidden="false" customHeight="true" outlineLevel="0" collapsed="false">
      <c r="A839" s="16"/>
      <c r="D839" s="16"/>
      <c r="E839" s="16"/>
      <c r="F839" s="16"/>
      <c r="G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Y839" s="16"/>
    </row>
    <row r="840" customFormat="false" ht="12.8" hidden="false" customHeight="true" outlineLevel="0" collapsed="false">
      <c r="A840" s="16"/>
      <c r="D840" s="16"/>
      <c r="E840" s="16"/>
      <c r="F840" s="16"/>
      <c r="G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Y840" s="16"/>
    </row>
    <row r="841" customFormat="false" ht="12.8" hidden="false" customHeight="true" outlineLevel="0" collapsed="false">
      <c r="A841" s="16"/>
      <c r="D841" s="16"/>
      <c r="E841" s="16"/>
      <c r="F841" s="16"/>
      <c r="G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Y841" s="16"/>
    </row>
    <row r="842" customFormat="false" ht="12.8" hidden="false" customHeight="true" outlineLevel="0" collapsed="false">
      <c r="A842" s="16"/>
      <c r="D842" s="16"/>
      <c r="E842" s="16"/>
      <c r="F842" s="16"/>
      <c r="G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Y842" s="16"/>
    </row>
    <row r="843" customFormat="false" ht="12.8" hidden="false" customHeight="true" outlineLevel="0" collapsed="false">
      <c r="A843" s="16"/>
      <c r="D843" s="16"/>
      <c r="E843" s="16"/>
      <c r="F843" s="16"/>
      <c r="G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Y843" s="16"/>
    </row>
    <row r="844" customFormat="false" ht="12.8" hidden="false" customHeight="true" outlineLevel="0" collapsed="false">
      <c r="A844" s="16"/>
      <c r="D844" s="16"/>
      <c r="E844" s="16"/>
      <c r="F844" s="16"/>
      <c r="G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Y844" s="16"/>
    </row>
    <row r="845" customFormat="false" ht="12.8" hidden="false" customHeight="true" outlineLevel="0" collapsed="false">
      <c r="A845" s="16"/>
      <c r="D845" s="16"/>
      <c r="E845" s="16"/>
      <c r="F845" s="16"/>
      <c r="G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Y845" s="16"/>
    </row>
    <row r="846" customFormat="false" ht="12.8" hidden="false" customHeight="true" outlineLevel="0" collapsed="false">
      <c r="A846" s="16"/>
      <c r="D846" s="16"/>
      <c r="E846" s="16"/>
      <c r="F846" s="16"/>
      <c r="G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Y846" s="16"/>
    </row>
    <row r="847" customFormat="false" ht="12.8" hidden="false" customHeight="true" outlineLevel="0" collapsed="false">
      <c r="A847" s="16"/>
      <c r="D847" s="16"/>
      <c r="E847" s="16"/>
      <c r="F847" s="16"/>
      <c r="G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Y847" s="16"/>
    </row>
    <row r="848" customFormat="false" ht="12.8" hidden="false" customHeight="true" outlineLevel="0" collapsed="false">
      <c r="A848" s="16"/>
      <c r="D848" s="16"/>
      <c r="E848" s="16"/>
      <c r="F848" s="16"/>
      <c r="G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Y848" s="16"/>
    </row>
    <row r="849" customFormat="false" ht="12.8" hidden="false" customHeight="true" outlineLevel="0" collapsed="false">
      <c r="A849" s="16"/>
      <c r="D849" s="16"/>
      <c r="E849" s="16"/>
      <c r="F849" s="16"/>
      <c r="G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Y849" s="16"/>
    </row>
    <row r="850" customFormat="false" ht="12.8" hidden="false" customHeight="true" outlineLevel="0" collapsed="false">
      <c r="A850" s="16"/>
      <c r="D850" s="16"/>
      <c r="E850" s="16"/>
      <c r="F850" s="16"/>
      <c r="G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Y850" s="16"/>
    </row>
    <row r="851" customFormat="false" ht="12.8" hidden="false" customHeight="true" outlineLevel="0" collapsed="false">
      <c r="A851" s="16"/>
      <c r="D851" s="16"/>
      <c r="E851" s="16"/>
      <c r="F851" s="16"/>
      <c r="G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Y851" s="16"/>
    </row>
    <row r="852" customFormat="false" ht="12.8" hidden="false" customHeight="true" outlineLevel="0" collapsed="false">
      <c r="A852" s="16"/>
      <c r="D852" s="16"/>
      <c r="E852" s="16"/>
      <c r="F852" s="16"/>
      <c r="G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Y852" s="16"/>
    </row>
    <row r="853" customFormat="false" ht="12.8" hidden="false" customHeight="true" outlineLevel="0" collapsed="false">
      <c r="A853" s="16"/>
      <c r="D853" s="16"/>
      <c r="E853" s="16"/>
      <c r="F853" s="16"/>
      <c r="G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Y853" s="16"/>
    </row>
    <row r="854" customFormat="false" ht="12.8" hidden="false" customHeight="true" outlineLevel="0" collapsed="false">
      <c r="A854" s="16"/>
      <c r="D854" s="16"/>
      <c r="E854" s="16"/>
      <c r="F854" s="16"/>
      <c r="G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Y854" s="16"/>
    </row>
    <row r="855" customFormat="false" ht="12.8" hidden="false" customHeight="true" outlineLevel="0" collapsed="false">
      <c r="A855" s="16"/>
      <c r="D855" s="16"/>
      <c r="E855" s="16"/>
      <c r="F855" s="16"/>
      <c r="G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Y855" s="16"/>
    </row>
    <row r="856" customFormat="false" ht="12.8" hidden="false" customHeight="true" outlineLevel="0" collapsed="false">
      <c r="A856" s="16"/>
      <c r="D856" s="16"/>
      <c r="E856" s="16"/>
      <c r="F856" s="16"/>
      <c r="G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Y856" s="16"/>
    </row>
    <row r="857" customFormat="false" ht="12.8" hidden="false" customHeight="true" outlineLevel="0" collapsed="false">
      <c r="A857" s="16"/>
      <c r="D857" s="16"/>
      <c r="E857" s="16"/>
      <c r="F857" s="16"/>
      <c r="G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Y857" s="16"/>
    </row>
    <row r="858" customFormat="false" ht="12.8" hidden="false" customHeight="true" outlineLevel="0" collapsed="false">
      <c r="A858" s="16"/>
      <c r="D858" s="16"/>
      <c r="E858" s="16"/>
      <c r="F858" s="16"/>
      <c r="G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Y858" s="16"/>
    </row>
    <row r="859" customFormat="false" ht="12.8" hidden="false" customHeight="true" outlineLevel="0" collapsed="false">
      <c r="A859" s="16"/>
      <c r="D859" s="16"/>
      <c r="E859" s="16"/>
      <c r="F859" s="16"/>
      <c r="G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Y859" s="16"/>
    </row>
    <row r="860" customFormat="false" ht="12.8" hidden="false" customHeight="true" outlineLevel="0" collapsed="false">
      <c r="A860" s="16"/>
      <c r="D860" s="16"/>
      <c r="E860" s="16"/>
      <c r="F860" s="16"/>
      <c r="G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Y860" s="16"/>
    </row>
    <row r="861" customFormat="false" ht="12.8" hidden="false" customHeight="true" outlineLevel="0" collapsed="false">
      <c r="A861" s="16"/>
      <c r="D861" s="16"/>
      <c r="E861" s="16"/>
      <c r="F861" s="16"/>
      <c r="G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Y861" s="16"/>
    </row>
    <row r="862" customFormat="false" ht="12.8" hidden="false" customHeight="true" outlineLevel="0" collapsed="false">
      <c r="A862" s="16"/>
      <c r="D862" s="16"/>
      <c r="E862" s="16"/>
      <c r="F862" s="16"/>
      <c r="G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Y862" s="16"/>
    </row>
    <row r="863" customFormat="false" ht="12.8" hidden="false" customHeight="true" outlineLevel="0" collapsed="false">
      <c r="A863" s="16"/>
      <c r="D863" s="16"/>
      <c r="E863" s="16"/>
      <c r="F863" s="16"/>
      <c r="G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Y863" s="16"/>
    </row>
    <row r="864" customFormat="false" ht="12.8" hidden="false" customHeight="true" outlineLevel="0" collapsed="false">
      <c r="A864" s="16"/>
      <c r="D864" s="16"/>
      <c r="E864" s="16"/>
      <c r="F864" s="16"/>
      <c r="G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Y864" s="16"/>
    </row>
    <row r="865" customFormat="false" ht="12.8" hidden="false" customHeight="true" outlineLevel="0" collapsed="false">
      <c r="A865" s="16"/>
      <c r="D865" s="16"/>
      <c r="E865" s="16"/>
      <c r="F865" s="16"/>
      <c r="G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Y865" s="16"/>
    </row>
    <row r="866" customFormat="false" ht="12.8" hidden="false" customHeight="true" outlineLevel="0" collapsed="false">
      <c r="A866" s="16"/>
      <c r="D866" s="16"/>
      <c r="E866" s="16"/>
      <c r="F866" s="16"/>
      <c r="G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Y866" s="16"/>
    </row>
    <row r="867" customFormat="false" ht="12.8" hidden="false" customHeight="true" outlineLevel="0" collapsed="false">
      <c r="A867" s="16"/>
      <c r="D867" s="16"/>
      <c r="E867" s="16"/>
      <c r="F867" s="16"/>
      <c r="G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Y867" s="16"/>
    </row>
    <row r="868" customFormat="false" ht="12.8" hidden="false" customHeight="true" outlineLevel="0" collapsed="false">
      <c r="A868" s="16"/>
      <c r="D868" s="16"/>
      <c r="E868" s="16"/>
      <c r="F868" s="16"/>
      <c r="G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Y868" s="16"/>
    </row>
    <row r="869" customFormat="false" ht="12.8" hidden="false" customHeight="true" outlineLevel="0" collapsed="false">
      <c r="A869" s="16"/>
      <c r="D869" s="16"/>
      <c r="E869" s="16"/>
      <c r="F869" s="16"/>
      <c r="G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Y869" s="16"/>
    </row>
    <row r="870" customFormat="false" ht="12.8" hidden="false" customHeight="true" outlineLevel="0" collapsed="false">
      <c r="A870" s="16"/>
      <c r="D870" s="16"/>
      <c r="E870" s="16"/>
      <c r="F870" s="16"/>
      <c r="G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Y870" s="16"/>
    </row>
    <row r="871" customFormat="false" ht="12.8" hidden="false" customHeight="true" outlineLevel="0" collapsed="false">
      <c r="A871" s="16"/>
      <c r="D871" s="16"/>
      <c r="E871" s="16"/>
      <c r="F871" s="16"/>
      <c r="G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Y871" s="16"/>
    </row>
    <row r="872" customFormat="false" ht="12.8" hidden="false" customHeight="true" outlineLevel="0" collapsed="false">
      <c r="A872" s="16"/>
      <c r="D872" s="16"/>
      <c r="E872" s="16"/>
      <c r="F872" s="16"/>
      <c r="G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Y872" s="16"/>
    </row>
    <row r="873" customFormat="false" ht="12.8" hidden="false" customHeight="true" outlineLevel="0" collapsed="false">
      <c r="A873" s="16"/>
      <c r="D873" s="16"/>
      <c r="E873" s="16"/>
      <c r="F873" s="16"/>
      <c r="G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Y873" s="16"/>
    </row>
    <row r="874" customFormat="false" ht="12.8" hidden="false" customHeight="true" outlineLevel="0" collapsed="false">
      <c r="A874" s="16"/>
      <c r="D874" s="16"/>
      <c r="E874" s="16"/>
      <c r="F874" s="16"/>
      <c r="G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Y874" s="16"/>
    </row>
    <row r="875" customFormat="false" ht="12.8" hidden="false" customHeight="true" outlineLevel="0" collapsed="false">
      <c r="A875" s="16"/>
      <c r="D875" s="16"/>
      <c r="E875" s="16"/>
      <c r="F875" s="16"/>
      <c r="G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Y875" s="16"/>
    </row>
    <row r="876" customFormat="false" ht="12.8" hidden="false" customHeight="true" outlineLevel="0" collapsed="false">
      <c r="A876" s="16"/>
      <c r="D876" s="16"/>
      <c r="E876" s="16"/>
      <c r="F876" s="16"/>
      <c r="G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Y876" s="16"/>
    </row>
    <row r="877" customFormat="false" ht="12.8" hidden="false" customHeight="true" outlineLevel="0" collapsed="false">
      <c r="A877" s="16"/>
      <c r="D877" s="16"/>
      <c r="E877" s="16"/>
      <c r="F877" s="16"/>
      <c r="G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Y877" s="16"/>
    </row>
    <row r="878" customFormat="false" ht="12.8" hidden="false" customHeight="true" outlineLevel="0" collapsed="false">
      <c r="A878" s="16"/>
      <c r="D878" s="16"/>
      <c r="E878" s="16"/>
      <c r="F878" s="16"/>
      <c r="G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Y878" s="16"/>
    </row>
    <row r="879" customFormat="false" ht="12.8" hidden="false" customHeight="true" outlineLevel="0" collapsed="false">
      <c r="A879" s="16"/>
      <c r="D879" s="16"/>
      <c r="E879" s="16"/>
      <c r="F879" s="16"/>
      <c r="G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Y879" s="16"/>
    </row>
    <row r="880" customFormat="false" ht="12.8" hidden="false" customHeight="true" outlineLevel="0" collapsed="false">
      <c r="A880" s="16"/>
      <c r="D880" s="16"/>
      <c r="E880" s="16"/>
      <c r="F880" s="16"/>
      <c r="G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Y880" s="16"/>
    </row>
    <row r="881" customFormat="false" ht="12.8" hidden="false" customHeight="true" outlineLevel="0" collapsed="false">
      <c r="A881" s="16"/>
      <c r="D881" s="16"/>
      <c r="E881" s="16"/>
      <c r="F881" s="16"/>
      <c r="G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Y881" s="16"/>
    </row>
    <row r="882" customFormat="false" ht="12.8" hidden="false" customHeight="true" outlineLevel="0" collapsed="false">
      <c r="A882" s="16"/>
      <c r="D882" s="16"/>
      <c r="E882" s="16"/>
      <c r="F882" s="16"/>
      <c r="G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Y882" s="16"/>
    </row>
    <row r="883" customFormat="false" ht="12.8" hidden="false" customHeight="true" outlineLevel="0" collapsed="false">
      <c r="A883" s="16"/>
      <c r="D883" s="16"/>
      <c r="E883" s="16"/>
      <c r="F883" s="16"/>
      <c r="G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Y883" s="16"/>
    </row>
    <row r="884" customFormat="false" ht="12.8" hidden="false" customHeight="true" outlineLevel="0" collapsed="false">
      <c r="A884" s="16"/>
      <c r="D884" s="16"/>
      <c r="E884" s="16"/>
      <c r="F884" s="16"/>
      <c r="G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Y884" s="16"/>
    </row>
    <row r="885" customFormat="false" ht="12.8" hidden="false" customHeight="true" outlineLevel="0" collapsed="false">
      <c r="A885" s="16"/>
      <c r="D885" s="16"/>
      <c r="E885" s="16"/>
      <c r="F885" s="16"/>
      <c r="G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Y885" s="16"/>
    </row>
    <row r="886" customFormat="false" ht="12.8" hidden="false" customHeight="true" outlineLevel="0" collapsed="false">
      <c r="A886" s="16"/>
      <c r="D886" s="16"/>
      <c r="E886" s="16"/>
      <c r="F886" s="16"/>
      <c r="G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Y886" s="16"/>
    </row>
    <row r="887" customFormat="false" ht="12.8" hidden="false" customHeight="true" outlineLevel="0" collapsed="false">
      <c r="A887" s="16"/>
      <c r="D887" s="16"/>
      <c r="E887" s="16"/>
      <c r="F887" s="16"/>
      <c r="G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Y887" s="16"/>
    </row>
    <row r="888" customFormat="false" ht="12.8" hidden="false" customHeight="true" outlineLevel="0" collapsed="false">
      <c r="A888" s="16"/>
      <c r="D888" s="16"/>
      <c r="E888" s="16"/>
      <c r="F888" s="16"/>
      <c r="G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Y888" s="16"/>
    </row>
    <row r="889" customFormat="false" ht="12.8" hidden="false" customHeight="true" outlineLevel="0" collapsed="false">
      <c r="A889" s="16"/>
      <c r="D889" s="16"/>
      <c r="E889" s="16"/>
      <c r="F889" s="16"/>
      <c r="G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Y889" s="16"/>
    </row>
    <row r="890" customFormat="false" ht="12.8" hidden="false" customHeight="true" outlineLevel="0" collapsed="false">
      <c r="A890" s="16"/>
      <c r="D890" s="16"/>
      <c r="E890" s="16"/>
      <c r="F890" s="16"/>
      <c r="G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Y890" s="16"/>
    </row>
    <row r="891" customFormat="false" ht="12.8" hidden="false" customHeight="true" outlineLevel="0" collapsed="false">
      <c r="A891" s="16"/>
      <c r="D891" s="16"/>
      <c r="E891" s="16"/>
      <c r="F891" s="16"/>
      <c r="G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Y891" s="16"/>
    </row>
    <row r="892" customFormat="false" ht="12.8" hidden="false" customHeight="true" outlineLevel="0" collapsed="false">
      <c r="A892" s="16"/>
      <c r="D892" s="16"/>
      <c r="E892" s="16"/>
      <c r="F892" s="16"/>
      <c r="G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Y892" s="16"/>
    </row>
    <row r="893" customFormat="false" ht="12.8" hidden="false" customHeight="true" outlineLevel="0" collapsed="false">
      <c r="A893" s="16"/>
      <c r="D893" s="16"/>
      <c r="E893" s="16"/>
      <c r="F893" s="16"/>
      <c r="G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Y893" s="16"/>
    </row>
    <row r="894" customFormat="false" ht="12.8" hidden="false" customHeight="true" outlineLevel="0" collapsed="false">
      <c r="A894" s="16"/>
      <c r="D894" s="16"/>
      <c r="E894" s="16"/>
      <c r="F894" s="16"/>
      <c r="G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Y894" s="16"/>
    </row>
    <row r="895" customFormat="false" ht="12.8" hidden="false" customHeight="true" outlineLevel="0" collapsed="false">
      <c r="A895" s="16"/>
      <c r="D895" s="16"/>
      <c r="E895" s="16"/>
      <c r="F895" s="16"/>
      <c r="G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Y895" s="16"/>
    </row>
    <row r="896" customFormat="false" ht="12.8" hidden="false" customHeight="true" outlineLevel="0" collapsed="false">
      <c r="A896" s="16"/>
      <c r="D896" s="16"/>
      <c r="E896" s="16"/>
      <c r="F896" s="16"/>
      <c r="G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Y896" s="16"/>
    </row>
    <row r="897" customFormat="false" ht="12.8" hidden="false" customHeight="true" outlineLevel="0" collapsed="false">
      <c r="A897" s="16"/>
      <c r="D897" s="16"/>
      <c r="E897" s="16"/>
      <c r="F897" s="16"/>
      <c r="G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Y897" s="16"/>
    </row>
    <row r="898" customFormat="false" ht="12.8" hidden="false" customHeight="true" outlineLevel="0" collapsed="false">
      <c r="A898" s="16"/>
      <c r="D898" s="16"/>
      <c r="E898" s="16"/>
      <c r="F898" s="16"/>
      <c r="G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Y898" s="16"/>
    </row>
    <row r="899" customFormat="false" ht="12.8" hidden="false" customHeight="true" outlineLevel="0" collapsed="false">
      <c r="A899" s="16"/>
      <c r="D899" s="16"/>
      <c r="E899" s="16"/>
      <c r="F899" s="16"/>
      <c r="G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Y899" s="16"/>
    </row>
    <row r="900" customFormat="false" ht="12.8" hidden="false" customHeight="true" outlineLevel="0" collapsed="false">
      <c r="A900" s="16"/>
      <c r="D900" s="16"/>
      <c r="E900" s="16"/>
      <c r="F900" s="16"/>
      <c r="G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Y900" s="16"/>
    </row>
    <row r="901" customFormat="false" ht="12.8" hidden="false" customHeight="true" outlineLevel="0" collapsed="false">
      <c r="A901" s="16"/>
      <c r="D901" s="16"/>
      <c r="E901" s="16"/>
      <c r="F901" s="16"/>
      <c r="G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Y901" s="16"/>
    </row>
    <row r="902" customFormat="false" ht="12.8" hidden="false" customHeight="true" outlineLevel="0" collapsed="false">
      <c r="A902" s="16"/>
      <c r="D902" s="16"/>
      <c r="E902" s="16"/>
      <c r="F902" s="16"/>
      <c r="G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Y902" s="16"/>
    </row>
    <row r="903" customFormat="false" ht="12.8" hidden="false" customHeight="true" outlineLevel="0" collapsed="false">
      <c r="A903" s="16"/>
      <c r="D903" s="16"/>
      <c r="E903" s="16"/>
      <c r="F903" s="16"/>
      <c r="G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Y903" s="16"/>
    </row>
    <row r="904" customFormat="false" ht="12.8" hidden="false" customHeight="true" outlineLevel="0" collapsed="false">
      <c r="A904" s="16"/>
      <c r="D904" s="16"/>
      <c r="E904" s="16"/>
      <c r="F904" s="16"/>
      <c r="G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Y904" s="16"/>
    </row>
    <row r="905" customFormat="false" ht="12.8" hidden="false" customHeight="true" outlineLevel="0" collapsed="false">
      <c r="A905" s="16"/>
      <c r="D905" s="16"/>
      <c r="E905" s="16"/>
      <c r="F905" s="16"/>
      <c r="G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Y905" s="16"/>
    </row>
    <row r="906" customFormat="false" ht="12.8" hidden="false" customHeight="true" outlineLevel="0" collapsed="false">
      <c r="A906" s="16"/>
      <c r="D906" s="16"/>
      <c r="E906" s="16"/>
      <c r="F906" s="16"/>
      <c r="G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Y906" s="16"/>
    </row>
    <row r="907" customFormat="false" ht="12.8" hidden="false" customHeight="true" outlineLevel="0" collapsed="false">
      <c r="A907" s="16"/>
      <c r="D907" s="16"/>
      <c r="E907" s="16"/>
      <c r="F907" s="16"/>
      <c r="G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Y907" s="16"/>
    </row>
    <row r="908" customFormat="false" ht="12.8" hidden="false" customHeight="true" outlineLevel="0" collapsed="false">
      <c r="A908" s="16"/>
      <c r="D908" s="16"/>
      <c r="E908" s="16"/>
      <c r="F908" s="16"/>
      <c r="G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Y908" s="16"/>
    </row>
    <row r="909" customFormat="false" ht="12.8" hidden="false" customHeight="true" outlineLevel="0" collapsed="false">
      <c r="A909" s="16"/>
      <c r="D909" s="16"/>
      <c r="E909" s="16"/>
      <c r="F909" s="16"/>
      <c r="G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Y909" s="16"/>
    </row>
    <row r="910" customFormat="false" ht="12.8" hidden="false" customHeight="true" outlineLevel="0" collapsed="false">
      <c r="A910" s="16"/>
      <c r="D910" s="16"/>
      <c r="E910" s="16"/>
      <c r="F910" s="16"/>
      <c r="G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Y910" s="16"/>
    </row>
    <row r="911" customFormat="false" ht="12.8" hidden="false" customHeight="true" outlineLevel="0" collapsed="false">
      <c r="A911" s="16"/>
      <c r="D911" s="16"/>
      <c r="E911" s="16"/>
      <c r="F911" s="16"/>
      <c r="G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Y911" s="16"/>
    </row>
    <row r="912" customFormat="false" ht="12.8" hidden="false" customHeight="true" outlineLevel="0" collapsed="false">
      <c r="A912" s="16"/>
      <c r="D912" s="16"/>
      <c r="E912" s="16"/>
      <c r="F912" s="16"/>
      <c r="G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Y912" s="16"/>
    </row>
    <row r="913" customFormat="false" ht="12.8" hidden="false" customHeight="true" outlineLevel="0" collapsed="false">
      <c r="A913" s="16"/>
      <c r="D913" s="16"/>
      <c r="E913" s="16"/>
      <c r="F913" s="16"/>
      <c r="G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Y913" s="16"/>
    </row>
    <row r="914" customFormat="false" ht="12.8" hidden="false" customHeight="true" outlineLevel="0" collapsed="false">
      <c r="A914" s="16"/>
      <c r="D914" s="16"/>
      <c r="E914" s="16"/>
      <c r="F914" s="16"/>
      <c r="G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Y914" s="16"/>
    </row>
    <row r="915" customFormat="false" ht="12.8" hidden="false" customHeight="true" outlineLevel="0" collapsed="false">
      <c r="A915" s="16"/>
      <c r="D915" s="16"/>
      <c r="E915" s="16"/>
      <c r="F915" s="16"/>
      <c r="G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Y915" s="16"/>
    </row>
    <row r="916" customFormat="false" ht="12.8" hidden="false" customHeight="true" outlineLevel="0" collapsed="false">
      <c r="A916" s="16"/>
      <c r="D916" s="16"/>
      <c r="E916" s="16"/>
      <c r="F916" s="16"/>
      <c r="G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Y916" s="16"/>
    </row>
    <row r="917" customFormat="false" ht="12.8" hidden="false" customHeight="true" outlineLevel="0" collapsed="false">
      <c r="A917" s="16"/>
      <c r="D917" s="16"/>
      <c r="E917" s="16"/>
      <c r="F917" s="16"/>
      <c r="G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Y917" s="16"/>
    </row>
    <row r="918" customFormat="false" ht="12.8" hidden="false" customHeight="true" outlineLevel="0" collapsed="false">
      <c r="A918" s="16"/>
      <c r="D918" s="16"/>
      <c r="E918" s="16"/>
      <c r="F918" s="16"/>
      <c r="G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Y918" s="16"/>
    </row>
    <row r="919" customFormat="false" ht="12.8" hidden="false" customHeight="true" outlineLevel="0" collapsed="false">
      <c r="A919" s="16"/>
      <c r="D919" s="16"/>
      <c r="E919" s="16"/>
      <c r="F919" s="16"/>
      <c r="G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Y919" s="16"/>
    </row>
    <row r="920" customFormat="false" ht="12.8" hidden="false" customHeight="true" outlineLevel="0" collapsed="false">
      <c r="A920" s="16"/>
      <c r="D920" s="16"/>
      <c r="E920" s="16"/>
      <c r="F920" s="16"/>
      <c r="G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Y920" s="16"/>
    </row>
    <row r="921" customFormat="false" ht="12.8" hidden="false" customHeight="true" outlineLevel="0" collapsed="false">
      <c r="A921" s="16"/>
      <c r="D921" s="16"/>
      <c r="E921" s="16"/>
      <c r="F921" s="16"/>
      <c r="G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Y921" s="16"/>
    </row>
    <row r="922" customFormat="false" ht="12.8" hidden="false" customHeight="true" outlineLevel="0" collapsed="false">
      <c r="A922" s="16"/>
      <c r="D922" s="16"/>
      <c r="E922" s="16"/>
      <c r="F922" s="16"/>
      <c r="G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Y922" s="16"/>
    </row>
    <row r="923" customFormat="false" ht="12.8" hidden="false" customHeight="true" outlineLevel="0" collapsed="false">
      <c r="A923" s="16"/>
      <c r="D923" s="16"/>
      <c r="E923" s="16"/>
      <c r="F923" s="16"/>
      <c r="G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Y923" s="16"/>
    </row>
    <row r="924" customFormat="false" ht="12.8" hidden="false" customHeight="true" outlineLevel="0" collapsed="false">
      <c r="A924" s="16"/>
      <c r="D924" s="16"/>
      <c r="E924" s="16"/>
      <c r="F924" s="16"/>
      <c r="G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Y924" s="16"/>
    </row>
    <row r="925" customFormat="false" ht="12.8" hidden="false" customHeight="true" outlineLevel="0" collapsed="false">
      <c r="A925" s="16"/>
      <c r="D925" s="16"/>
      <c r="E925" s="16"/>
      <c r="F925" s="16"/>
      <c r="G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Y925" s="16"/>
    </row>
    <row r="926" customFormat="false" ht="12.8" hidden="false" customHeight="true" outlineLevel="0" collapsed="false">
      <c r="A926" s="16"/>
      <c r="D926" s="16"/>
      <c r="E926" s="16"/>
      <c r="F926" s="16"/>
      <c r="G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Y926" s="16"/>
    </row>
    <row r="927" customFormat="false" ht="12.8" hidden="false" customHeight="true" outlineLevel="0" collapsed="false">
      <c r="A927" s="16"/>
      <c r="D927" s="16"/>
      <c r="E927" s="16"/>
      <c r="F927" s="16"/>
      <c r="G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Y927" s="16"/>
    </row>
    <row r="928" customFormat="false" ht="12.8" hidden="false" customHeight="true" outlineLevel="0" collapsed="false">
      <c r="A928" s="16"/>
      <c r="D928" s="16"/>
      <c r="E928" s="16"/>
      <c r="F928" s="16"/>
      <c r="G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Y928" s="16"/>
    </row>
    <row r="929" customFormat="false" ht="12.8" hidden="false" customHeight="true" outlineLevel="0" collapsed="false">
      <c r="A929" s="16"/>
      <c r="D929" s="16"/>
      <c r="E929" s="16"/>
      <c r="F929" s="16"/>
      <c r="G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Y929" s="16"/>
    </row>
    <row r="930" customFormat="false" ht="12.8" hidden="false" customHeight="true" outlineLevel="0" collapsed="false">
      <c r="A930" s="16"/>
      <c r="D930" s="16"/>
      <c r="E930" s="16"/>
      <c r="F930" s="16"/>
      <c r="G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Y930" s="16"/>
    </row>
    <row r="931" customFormat="false" ht="12.8" hidden="false" customHeight="true" outlineLevel="0" collapsed="false">
      <c r="A931" s="16"/>
      <c r="D931" s="16"/>
      <c r="E931" s="16"/>
      <c r="F931" s="16"/>
      <c r="G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Y931" s="16"/>
    </row>
    <row r="932" customFormat="false" ht="12.8" hidden="false" customHeight="true" outlineLevel="0" collapsed="false">
      <c r="A932" s="16"/>
      <c r="D932" s="16"/>
      <c r="E932" s="16"/>
      <c r="F932" s="16"/>
      <c r="G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Y932" s="16"/>
    </row>
    <row r="933" customFormat="false" ht="12.8" hidden="false" customHeight="true" outlineLevel="0" collapsed="false">
      <c r="A933" s="16"/>
      <c r="D933" s="16"/>
      <c r="E933" s="16"/>
      <c r="F933" s="16"/>
      <c r="G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Y933" s="16"/>
    </row>
    <row r="934" customFormat="false" ht="12.8" hidden="false" customHeight="true" outlineLevel="0" collapsed="false">
      <c r="A934" s="16"/>
      <c r="D934" s="16"/>
      <c r="E934" s="16"/>
      <c r="F934" s="16"/>
      <c r="G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Y934" s="16"/>
    </row>
    <row r="935" customFormat="false" ht="12.8" hidden="false" customHeight="true" outlineLevel="0" collapsed="false">
      <c r="A935" s="16"/>
      <c r="D935" s="16"/>
      <c r="E935" s="16"/>
      <c r="F935" s="16"/>
      <c r="G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Y935" s="16"/>
    </row>
    <row r="936" customFormat="false" ht="12.8" hidden="false" customHeight="true" outlineLevel="0" collapsed="false">
      <c r="A936" s="16"/>
      <c r="D936" s="16"/>
      <c r="E936" s="16"/>
      <c r="F936" s="16"/>
      <c r="G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Y936" s="16"/>
    </row>
    <row r="937" customFormat="false" ht="12.8" hidden="false" customHeight="true" outlineLevel="0" collapsed="false">
      <c r="A937" s="16"/>
      <c r="D937" s="16"/>
      <c r="E937" s="16"/>
      <c r="F937" s="16"/>
      <c r="G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Y937" s="16"/>
    </row>
    <row r="938" customFormat="false" ht="12.8" hidden="false" customHeight="true" outlineLevel="0" collapsed="false">
      <c r="A938" s="16"/>
      <c r="D938" s="16"/>
      <c r="E938" s="16"/>
      <c r="F938" s="16"/>
      <c r="G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Y938" s="16"/>
    </row>
    <row r="939" customFormat="false" ht="12.8" hidden="false" customHeight="true" outlineLevel="0" collapsed="false">
      <c r="A939" s="16"/>
      <c r="D939" s="16"/>
      <c r="E939" s="16"/>
      <c r="F939" s="16"/>
      <c r="G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Y939" s="16"/>
    </row>
    <row r="940" customFormat="false" ht="12.8" hidden="false" customHeight="true" outlineLevel="0" collapsed="false">
      <c r="A940" s="16"/>
      <c r="D940" s="16"/>
      <c r="E940" s="16"/>
      <c r="F940" s="16"/>
      <c r="G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Y940" s="16"/>
    </row>
    <row r="941" customFormat="false" ht="12.8" hidden="false" customHeight="true" outlineLevel="0" collapsed="false">
      <c r="A941" s="16"/>
      <c r="D941" s="16"/>
      <c r="E941" s="16"/>
      <c r="F941" s="16"/>
      <c r="G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Y941" s="16"/>
    </row>
    <row r="942" customFormat="false" ht="12.8" hidden="false" customHeight="true" outlineLevel="0" collapsed="false">
      <c r="A942" s="16"/>
      <c r="D942" s="16"/>
      <c r="E942" s="16"/>
      <c r="F942" s="16"/>
      <c r="G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Y942" s="16"/>
    </row>
    <row r="943" customFormat="false" ht="12.8" hidden="false" customHeight="true" outlineLevel="0" collapsed="false">
      <c r="A943" s="16"/>
      <c r="D943" s="16"/>
      <c r="E943" s="16"/>
      <c r="F943" s="16"/>
      <c r="G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Y943" s="16"/>
    </row>
    <row r="944" customFormat="false" ht="12.8" hidden="false" customHeight="true" outlineLevel="0" collapsed="false">
      <c r="A944" s="16"/>
      <c r="D944" s="16"/>
      <c r="E944" s="16"/>
      <c r="F944" s="16"/>
      <c r="G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Y944" s="16"/>
    </row>
    <row r="945" customFormat="false" ht="12.8" hidden="false" customHeight="true" outlineLevel="0" collapsed="false">
      <c r="A945" s="16"/>
      <c r="D945" s="16"/>
      <c r="E945" s="16"/>
      <c r="F945" s="16"/>
      <c r="G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Y945" s="16"/>
    </row>
    <row r="946" customFormat="false" ht="12.8" hidden="false" customHeight="true" outlineLevel="0" collapsed="false">
      <c r="A946" s="16"/>
      <c r="D946" s="16"/>
      <c r="E946" s="16"/>
      <c r="F946" s="16"/>
      <c r="G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Y946" s="16"/>
    </row>
    <row r="947" customFormat="false" ht="12.8" hidden="false" customHeight="true" outlineLevel="0" collapsed="false">
      <c r="A947" s="16"/>
      <c r="D947" s="16"/>
      <c r="E947" s="16"/>
      <c r="F947" s="16"/>
      <c r="G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Y947" s="16"/>
    </row>
    <row r="948" customFormat="false" ht="12.8" hidden="false" customHeight="true" outlineLevel="0" collapsed="false">
      <c r="A948" s="16"/>
      <c r="D948" s="16"/>
      <c r="E948" s="16"/>
      <c r="F948" s="16"/>
      <c r="G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Y948" s="16"/>
    </row>
    <row r="949" customFormat="false" ht="12.8" hidden="false" customHeight="true" outlineLevel="0" collapsed="false">
      <c r="A949" s="16"/>
      <c r="D949" s="16"/>
      <c r="E949" s="16"/>
      <c r="F949" s="16"/>
      <c r="G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Y949" s="16"/>
    </row>
    <row r="950" customFormat="false" ht="12.8" hidden="false" customHeight="true" outlineLevel="0" collapsed="false">
      <c r="A950" s="16"/>
      <c r="D950" s="16"/>
      <c r="E950" s="16"/>
      <c r="F950" s="16"/>
      <c r="G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Y950" s="16"/>
    </row>
    <row r="951" customFormat="false" ht="12.8" hidden="false" customHeight="true" outlineLevel="0" collapsed="false">
      <c r="A951" s="16"/>
      <c r="D951" s="16"/>
      <c r="E951" s="16"/>
      <c r="F951" s="16"/>
      <c r="G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Y951" s="16"/>
    </row>
    <row r="952" customFormat="false" ht="12.8" hidden="false" customHeight="true" outlineLevel="0" collapsed="false">
      <c r="A952" s="16"/>
      <c r="D952" s="16"/>
      <c r="E952" s="16"/>
      <c r="F952" s="16"/>
      <c r="G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Y952" s="16"/>
    </row>
    <row r="953" customFormat="false" ht="12.8" hidden="false" customHeight="true" outlineLevel="0" collapsed="false">
      <c r="A953" s="16"/>
      <c r="D953" s="16"/>
      <c r="E953" s="16"/>
      <c r="F953" s="16"/>
      <c r="G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Y953" s="16"/>
    </row>
    <row r="954" customFormat="false" ht="12.8" hidden="false" customHeight="true" outlineLevel="0" collapsed="false">
      <c r="A954" s="16"/>
      <c r="D954" s="16"/>
      <c r="E954" s="16"/>
      <c r="F954" s="16"/>
      <c r="G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Y954" s="16"/>
    </row>
    <row r="955" customFormat="false" ht="12.8" hidden="false" customHeight="true" outlineLevel="0" collapsed="false">
      <c r="A955" s="16"/>
      <c r="D955" s="16"/>
      <c r="E955" s="16"/>
      <c r="F955" s="16"/>
      <c r="G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Y955" s="16"/>
    </row>
    <row r="956" customFormat="false" ht="12.8" hidden="false" customHeight="true" outlineLevel="0" collapsed="false">
      <c r="A956" s="16"/>
      <c r="D956" s="16"/>
      <c r="E956" s="16"/>
      <c r="F956" s="16"/>
      <c r="G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Y956" s="16"/>
    </row>
    <row r="957" customFormat="false" ht="12.8" hidden="false" customHeight="true" outlineLevel="0" collapsed="false">
      <c r="A957" s="16"/>
      <c r="D957" s="16"/>
      <c r="E957" s="16"/>
      <c r="F957" s="16"/>
      <c r="G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Y957" s="16"/>
    </row>
    <row r="958" customFormat="false" ht="12.8" hidden="false" customHeight="true" outlineLevel="0" collapsed="false">
      <c r="A958" s="16"/>
      <c r="D958" s="16"/>
      <c r="E958" s="16"/>
      <c r="F958" s="16"/>
      <c r="G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Y958" s="16"/>
    </row>
    <row r="959" customFormat="false" ht="12.8" hidden="false" customHeight="true" outlineLevel="0" collapsed="false">
      <c r="A959" s="16"/>
      <c r="D959" s="16"/>
      <c r="E959" s="16"/>
      <c r="F959" s="16"/>
      <c r="G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Y959" s="16"/>
    </row>
    <row r="960" customFormat="false" ht="12.8" hidden="false" customHeight="true" outlineLevel="0" collapsed="false">
      <c r="A960" s="16"/>
      <c r="D960" s="16"/>
      <c r="E960" s="16"/>
      <c r="F960" s="16"/>
      <c r="G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Y960" s="16"/>
    </row>
    <row r="961" customFormat="false" ht="12.8" hidden="false" customHeight="true" outlineLevel="0" collapsed="false">
      <c r="A961" s="16"/>
      <c r="D961" s="16"/>
      <c r="E961" s="16"/>
      <c r="F961" s="16"/>
      <c r="G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Y961" s="16"/>
    </row>
    <row r="962" customFormat="false" ht="12.8" hidden="false" customHeight="true" outlineLevel="0" collapsed="false">
      <c r="A962" s="16"/>
      <c r="D962" s="16"/>
      <c r="E962" s="16"/>
      <c r="F962" s="16"/>
      <c r="G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Y962" s="16"/>
    </row>
    <row r="963" customFormat="false" ht="12.8" hidden="false" customHeight="true" outlineLevel="0" collapsed="false">
      <c r="A963" s="16"/>
      <c r="D963" s="16"/>
      <c r="E963" s="16"/>
      <c r="F963" s="16"/>
      <c r="G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Y963" s="16"/>
    </row>
    <row r="964" customFormat="false" ht="12.8" hidden="false" customHeight="true" outlineLevel="0" collapsed="false">
      <c r="A964" s="16"/>
      <c r="D964" s="16"/>
      <c r="E964" s="16"/>
      <c r="F964" s="16"/>
      <c r="G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Y964" s="16"/>
    </row>
    <row r="965" customFormat="false" ht="12.8" hidden="false" customHeight="true" outlineLevel="0" collapsed="false">
      <c r="A965" s="16"/>
      <c r="D965" s="16"/>
      <c r="E965" s="16"/>
      <c r="F965" s="16"/>
      <c r="G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Y965" s="16"/>
    </row>
    <row r="966" customFormat="false" ht="12.8" hidden="false" customHeight="true" outlineLevel="0" collapsed="false">
      <c r="A966" s="16"/>
      <c r="D966" s="16"/>
      <c r="E966" s="16"/>
      <c r="F966" s="16"/>
      <c r="G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Y966" s="16"/>
    </row>
    <row r="967" customFormat="false" ht="12.8" hidden="false" customHeight="true" outlineLevel="0" collapsed="false">
      <c r="A967" s="16"/>
      <c r="D967" s="16"/>
      <c r="E967" s="16"/>
      <c r="F967" s="16"/>
      <c r="G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Y967" s="16"/>
    </row>
    <row r="968" customFormat="false" ht="12.8" hidden="false" customHeight="true" outlineLevel="0" collapsed="false">
      <c r="A968" s="16"/>
      <c r="D968" s="16"/>
      <c r="E968" s="16"/>
      <c r="F968" s="16"/>
      <c r="G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Y968" s="16"/>
    </row>
    <row r="969" customFormat="false" ht="12.8" hidden="false" customHeight="true" outlineLevel="0" collapsed="false">
      <c r="A969" s="16"/>
      <c r="D969" s="16"/>
      <c r="E969" s="16"/>
      <c r="F969" s="16"/>
      <c r="G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Y969" s="16"/>
    </row>
    <row r="970" customFormat="false" ht="12.8" hidden="false" customHeight="true" outlineLevel="0" collapsed="false">
      <c r="A970" s="16"/>
      <c r="D970" s="16"/>
      <c r="E970" s="16"/>
      <c r="F970" s="16"/>
      <c r="G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Y970" s="16"/>
    </row>
    <row r="971" customFormat="false" ht="12.8" hidden="false" customHeight="true" outlineLevel="0" collapsed="false">
      <c r="A971" s="16"/>
      <c r="D971" s="16"/>
      <c r="E971" s="16"/>
      <c r="F971" s="16"/>
      <c r="G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Y971" s="16"/>
    </row>
    <row r="972" customFormat="false" ht="12.8" hidden="false" customHeight="true" outlineLevel="0" collapsed="false">
      <c r="A972" s="16"/>
      <c r="D972" s="16"/>
      <c r="E972" s="16"/>
      <c r="F972" s="16"/>
      <c r="G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Y972" s="16"/>
    </row>
    <row r="973" customFormat="false" ht="12.8" hidden="false" customHeight="true" outlineLevel="0" collapsed="false">
      <c r="A973" s="16"/>
      <c r="D973" s="16"/>
      <c r="E973" s="16"/>
      <c r="F973" s="16"/>
      <c r="G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Y973" s="16"/>
    </row>
    <row r="974" customFormat="false" ht="12.8" hidden="false" customHeight="true" outlineLevel="0" collapsed="false">
      <c r="A974" s="16"/>
      <c r="D974" s="16"/>
      <c r="E974" s="16"/>
      <c r="F974" s="16"/>
      <c r="G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Y974" s="16"/>
    </row>
    <row r="975" customFormat="false" ht="12.8" hidden="false" customHeight="true" outlineLevel="0" collapsed="false">
      <c r="A975" s="16"/>
      <c r="D975" s="16"/>
      <c r="E975" s="16"/>
      <c r="F975" s="16"/>
      <c r="G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Y975" s="16"/>
    </row>
    <row r="976" customFormat="false" ht="12.8" hidden="false" customHeight="true" outlineLevel="0" collapsed="false">
      <c r="A976" s="16"/>
      <c r="D976" s="16"/>
      <c r="E976" s="16"/>
      <c r="F976" s="16"/>
      <c r="G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Y976" s="16"/>
    </row>
    <row r="977" customFormat="false" ht="12.8" hidden="false" customHeight="true" outlineLevel="0" collapsed="false">
      <c r="A977" s="16"/>
      <c r="D977" s="16"/>
      <c r="E977" s="16"/>
      <c r="F977" s="16"/>
      <c r="G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Y977" s="16"/>
    </row>
    <row r="978" customFormat="false" ht="12.8" hidden="false" customHeight="true" outlineLevel="0" collapsed="false">
      <c r="A978" s="16"/>
      <c r="D978" s="16"/>
      <c r="E978" s="16"/>
      <c r="F978" s="16"/>
      <c r="G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Y978" s="16"/>
    </row>
    <row r="979" customFormat="false" ht="12.8" hidden="false" customHeight="true" outlineLevel="0" collapsed="false">
      <c r="A979" s="16"/>
      <c r="D979" s="16"/>
      <c r="E979" s="16"/>
      <c r="F979" s="16"/>
      <c r="G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Y979" s="16"/>
    </row>
    <row r="980" customFormat="false" ht="12.8" hidden="false" customHeight="true" outlineLevel="0" collapsed="false">
      <c r="A980" s="16"/>
      <c r="D980" s="16"/>
      <c r="E980" s="16"/>
      <c r="F980" s="16"/>
      <c r="G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Y980" s="16"/>
    </row>
    <row r="981" customFormat="false" ht="12.8" hidden="false" customHeight="true" outlineLevel="0" collapsed="false">
      <c r="A981" s="16"/>
      <c r="D981" s="16"/>
      <c r="E981" s="16"/>
      <c r="F981" s="16"/>
      <c r="G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Y981" s="16"/>
    </row>
    <row r="982" customFormat="false" ht="12.8" hidden="false" customHeight="true" outlineLevel="0" collapsed="false">
      <c r="A982" s="16"/>
      <c r="D982" s="16"/>
      <c r="E982" s="16"/>
      <c r="F982" s="16"/>
      <c r="G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Y982" s="16"/>
    </row>
    <row r="983" customFormat="false" ht="12.8" hidden="false" customHeight="true" outlineLevel="0" collapsed="false">
      <c r="A983" s="16"/>
      <c r="D983" s="16"/>
      <c r="E983" s="16"/>
      <c r="F983" s="16"/>
      <c r="G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Y983" s="16"/>
    </row>
    <row r="984" customFormat="false" ht="12.8" hidden="false" customHeight="true" outlineLevel="0" collapsed="false">
      <c r="A984" s="16"/>
      <c r="D984" s="16"/>
      <c r="E984" s="16"/>
      <c r="F984" s="16"/>
      <c r="G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Y984" s="16"/>
    </row>
    <row r="985" customFormat="false" ht="12.8" hidden="false" customHeight="true" outlineLevel="0" collapsed="false">
      <c r="A985" s="16"/>
      <c r="D985" s="16"/>
      <c r="E985" s="16"/>
      <c r="F985" s="16"/>
      <c r="G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Y985" s="16"/>
    </row>
    <row r="986" customFormat="false" ht="12.8" hidden="false" customHeight="true" outlineLevel="0" collapsed="false">
      <c r="A986" s="16"/>
      <c r="D986" s="16"/>
      <c r="E986" s="16"/>
      <c r="F986" s="16"/>
      <c r="G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Y986" s="16"/>
    </row>
    <row r="987" customFormat="false" ht="12.8" hidden="false" customHeight="true" outlineLevel="0" collapsed="false">
      <c r="A987" s="16"/>
      <c r="D987" s="16"/>
      <c r="E987" s="16"/>
      <c r="F987" s="16"/>
      <c r="G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Y987" s="16"/>
    </row>
    <row r="988" customFormat="false" ht="12.8" hidden="false" customHeight="true" outlineLevel="0" collapsed="false">
      <c r="A988" s="16"/>
      <c r="D988" s="16"/>
      <c r="E988" s="16"/>
      <c r="F988" s="16"/>
      <c r="G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Y988" s="16"/>
    </row>
    <row r="989" customFormat="false" ht="12.8" hidden="false" customHeight="true" outlineLevel="0" collapsed="false">
      <c r="A989" s="16"/>
      <c r="D989" s="16"/>
      <c r="E989" s="16"/>
      <c r="F989" s="16"/>
      <c r="G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Y989" s="16"/>
    </row>
    <row r="990" customFormat="false" ht="12.8" hidden="false" customHeight="true" outlineLevel="0" collapsed="false">
      <c r="A990" s="16"/>
      <c r="D990" s="16"/>
      <c r="E990" s="16"/>
      <c r="F990" s="16"/>
      <c r="G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Y990" s="16"/>
    </row>
    <row r="991" customFormat="false" ht="12.8" hidden="false" customHeight="true" outlineLevel="0" collapsed="false">
      <c r="A991" s="16"/>
      <c r="D991" s="16"/>
      <c r="E991" s="16"/>
      <c r="F991" s="16"/>
      <c r="G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Y991" s="16"/>
    </row>
    <row r="992" customFormat="false" ht="12.8" hidden="false" customHeight="true" outlineLevel="0" collapsed="false">
      <c r="A992" s="16"/>
      <c r="D992" s="16"/>
      <c r="E992" s="16"/>
      <c r="F992" s="16"/>
      <c r="G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Y992" s="16"/>
    </row>
    <row r="993" customFormat="false" ht="12.8" hidden="false" customHeight="true" outlineLevel="0" collapsed="false">
      <c r="A993" s="16"/>
      <c r="D993" s="16"/>
      <c r="E993" s="16"/>
      <c r="F993" s="16"/>
      <c r="G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Y993" s="16"/>
    </row>
    <row r="994" customFormat="false" ht="12.8" hidden="false" customHeight="true" outlineLevel="0" collapsed="false">
      <c r="A994" s="16"/>
      <c r="D994" s="16"/>
      <c r="E994" s="16"/>
      <c r="F994" s="16"/>
      <c r="G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Y994" s="16"/>
    </row>
    <row r="995" customFormat="false" ht="12.8" hidden="false" customHeight="true" outlineLevel="0" collapsed="false">
      <c r="A995" s="16"/>
      <c r="D995" s="16"/>
      <c r="E995" s="16"/>
      <c r="F995" s="16"/>
      <c r="G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Y995" s="16"/>
    </row>
    <row r="996" customFormat="false" ht="12.8" hidden="false" customHeight="true" outlineLevel="0" collapsed="false">
      <c r="A996" s="16"/>
      <c r="D996" s="16"/>
      <c r="E996" s="16"/>
      <c r="F996" s="16"/>
      <c r="G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Y996" s="16"/>
    </row>
    <row r="997" customFormat="false" ht="12.8" hidden="false" customHeight="true" outlineLevel="0" collapsed="false">
      <c r="A997" s="16"/>
      <c r="D997" s="16"/>
      <c r="E997" s="16"/>
      <c r="F997" s="16"/>
      <c r="G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Y997" s="16"/>
    </row>
    <row r="998" customFormat="false" ht="12.8" hidden="false" customHeight="true" outlineLevel="0" collapsed="false">
      <c r="A998" s="16"/>
      <c r="D998" s="16"/>
      <c r="E998" s="16"/>
      <c r="F998" s="16"/>
      <c r="G998" s="16"/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Y998" s="16"/>
    </row>
    <row r="999" customFormat="false" ht="12.8" hidden="false" customHeight="true" outlineLevel="0" collapsed="false">
      <c r="A999" s="16"/>
      <c r="D999" s="16"/>
      <c r="E999" s="16"/>
      <c r="F999" s="16"/>
      <c r="G999" s="16"/>
      <c r="I999" s="16"/>
      <c r="J999" s="16"/>
      <c r="K999" s="16"/>
      <c r="L999" s="16"/>
      <c r="M999" s="16"/>
      <c r="N999" s="16"/>
      <c r="O999" s="16"/>
      <c r="P999" s="16"/>
      <c r="Q999" s="16"/>
      <c r="R999" s="16"/>
      <c r="S999" s="16"/>
      <c r="Y999" s="16"/>
    </row>
    <row r="1000" customFormat="false" ht="12.8" hidden="false" customHeight="true" outlineLevel="0" collapsed="false">
      <c r="A1000" s="16"/>
      <c r="D1000" s="16"/>
      <c r="E1000" s="16"/>
      <c r="F1000" s="16"/>
      <c r="G1000" s="16"/>
      <c r="I1000" s="16"/>
      <c r="J1000" s="16"/>
      <c r="K1000" s="16"/>
      <c r="L1000" s="16"/>
      <c r="M1000" s="16"/>
      <c r="N1000" s="16"/>
      <c r="O1000" s="16"/>
      <c r="P1000" s="16"/>
      <c r="Q1000" s="16"/>
      <c r="R1000" s="16"/>
      <c r="S1000" s="16"/>
      <c r="Y1000" s="16"/>
    </row>
    <row r="1001" customFormat="false" ht="12.8" hidden="false" customHeight="true" outlineLevel="0" collapsed="false">
      <c r="A1001" s="16"/>
      <c r="D1001" s="16"/>
      <c r="E1001" s="16"/>
      <c r="F1001" s="16"/>
      <c r="G1001" s="16"/>
      <c r="I1001" s="16"/>
      <c r="J1001" s="16"/>
      <c r="K1001" s="16"/>
      <c r="L1001" s="16"/>
      <c r="M1001" s="16"/>
      <c r="N1001" s="16"/>
      <c r="O1001" s="16"/>
      <c r="P1001" s="16"/>
      <c r="Q1001" s="16"/>
      <c r="R1001" s="16"/>
      <c r="S1001" s="16"/>
      <c r="Y1001" s="16"/>
    </row>
    <row r="1002" customFormat="false" ht="12.8" hidden="false" customHeight="true" outlineLevel="0" collapsed="false">
      <c r="A1002" s="16"/>
      <c r="D1002" s="16"/>
      <c r="E1002" s="16"/>
      <c r="F1002" s="16"/>
      <c r="G1002" s="16"/>
      <c r="I1002" s="16"/>
      <c r="J1002" s="16"/>
      <c r="K1002" s="16"/>
      <c r="L1002" s="16"/>
      <c r="M1002" s="16"/>
      <c r="N1002" s="16"/>
      <c r="O1002" s="16"/>
      <c r="P1002" s="16"/>
      <c r="Q1002" s="16"/>
      <c r="R1002" s="16"/>
      <c r="S1002" s="16"/>
      <c r="Y1002" s="16"/>
    </row>
    <row r="1003" customFormat="false" ht="12.8" hidden="false" customHeight="true" outlineLevel="0" collapsed="false">
      <c r="A1003" s="16"/>
      <c r="D1003" s="16"/>
      <c r="E1003" s="16"/>
      <c r="F1003" s="16"/>
      <c r="G1003" s="16"/>
      <c r="I1003" s="16"/>
      <c r="J1003" s="16"/>
      <c r="K1003" s="16"/>
      <c r="L1003" s="16"/>
      <c r="M1003" s="16"/>
      <c r="N1003" s="16"/>
      <c r="O1003" s="16"/>
      <c r="P1003" s="16"/>
      <c r="Q1003" s="16"/>
      <c r="R1003" s="16"/>
      <c r="S1003" s="16"/>
      <c r="Y1003" s="16"/>
    </row>
    <row r="1004" customFormat="false" ht="12.8" hidden="false" customHeight="true" outlineLevel="0" collapsed="false">
      <c r="A1004" s="16"/>
      <c r="D1004" s="16"/>
      <c r="E1004" s="16"/>
      <c r="F1004" s="16"/>
      <c r="G1004" s="16"/>
      <c r="I1004" s="16"/>
      <c r="J1004" s="16"/>
      <c r="K1004" s="16"/>
      <c r="L1004" s="16"/>
      <c r="M1004" s="16"/>
      <c r="N1004" s="16"/>
      <c r="O1004" s="16"/>
      <c r="P1004" s="16"/>
      <c r="Q1004" s="16"/>
      <c r="R1004" s="16"/>
      <c r="S1004" s="16"/>
      <c r="Y1004" s="16"/>
    </row>
    <row r="1005" customFormat="false" ht="12.8" hidden="false" customHeight="true" outlineLevel="0" collapsed="false">
      <c r="A1005" s="16"/>
      <c r="D1005" s="16"/>
      <c r="E1005" s="16"/>
      <c r="F1005" s="16"/>
      <c r="G1005" s="16"/>
      <c r="I1005" s="16"/>
      <c r="J1005" s="16"/>
      <c r="K1005" s="16"/>
      <c r="L1005" s="16"/>
      <c r="M1005" s="16"/>
      <c r="N1005" s="16"/>
      <c r="O1005" s="16"/>
      <c r="P1005" s="16"/>
      <c r="Q1005" s="16"/>
      <c r="R1005" s="16"/>
      <c r="S1005" s="16"/>
      <c r="Y1005" s="16"/>
    </row>
    <row r="1006" customFormat="false" ht="12.8" hidden="false" customHeight="true" outlineLevel="0" collapsed="false">
      <c r="A1006" s="16"/>
      <c r="D1006" s="16"/>
      <c r="E1006" s="16"/>
      <c r="F1006" s="16"/>
      <c r="G1006" s="16"/>
      <c r="I1006" s="16"/>
      <c r="J1006" s="16"/>
      <c r="K1006" s="16"/>
      <c r="L1006" s="16"/>
      <c r="M1006" s="16"/>
      <c r="N1006" s="16"/>
      <c r="O1006" s="16"/>
      <c r="P1006" s="16"/>
      <c r="Q1006" s="16"/>
      <c r="R1006" s="16"/>
      <c r="S1006" s="16"/>
      <c r="Y1006" s="16"/>
    </row>
    <row r="1007" customFormat="false" ht="12.8" hidden="false" customHeight="true" outlineLevel="0" collapsed="false">
      <c r="A1007" s="16"/>
      <c r="D1007" s="16"/>
      <c r="E1007" s="16"/>
      <c r="F1007" s="16"/>
      <c r="G1007" s="16"/>
      <c r="I1007" s="16"/>
      <c r="J1007" s="16"/>
      <c r="K1007" s="16"/>
      <c r="L1007" s="16"/>
      <c r="M1007" s="16"/>
      <c r="N1007" s="16"/>
      <c r="O1007" s="16"/>
      <c r="P1007" s="16"/>
      <c r="Q1007" s="16"/>
      <c r="R1007" s="16"/>
      <c r="S1007" s="16"/>
      <c r="Y1007" s="16"/>
    </row>
    <row r="1008" customFormat="false" ht="12.8" hidden="false" customHeight="true" outlineLevel="0" collapsed="false">
      <c r="A1008" s="16"/>
      <c r="D1008" s="16"/>
      <c r="E1008" s="16"/>
      <c r="F1008" s="16"/>
      <c r="G1008" s="16"/>
      <c r="I1008" s="16"/>
      <c r="J1008" s="16"/>
      <c r="K1008" s="16"/>
      <c r="L1008" s="16"/>
      <c r="M1008" s="16"/>
      <c r="N1008" s="16"/>
      <c r="O1008" s="16"/>
      <c r="P1008" s="16"/>
      <c r="Q1008" s="16"/>
      <c r="R1008" s="16"/>
      <c r="S1008" s="16"/>
      <c r="Y1008" s="16"/>
    </row>
    <row r="1009" customFormat="false" ht="12.8" hidden="false" customHeight="true" outlineLevel="0" collapsed="false">
      <c r="A1009" s="16"/>
      <c r="D1009" s="16"/>
      <c r="E1009" s="16"/>
      <c r="F1009" s="16"/>
      <c r="G1009" s="16"/>
      <c r="I1009" s="16"/>
      <c r="J1009" s="16"/>
      <c r="K1009" s="16"/>
      <c r="L1009" s="16"/>
      <c r="M1009" s="16"/>
      <c r="N1009" s="16"/>
      <c r="O1009" s="16"/>
      <c r="P1009" s="16"/>
      <c r="Q1009" s="16"/>
      <c r="R1009" s="16"/>
      <c r="S1009" s="16"/>
      <c r="Y1009" s="16"/>
    </row>
    <row r="1010" customFormat="false" ht="12.8" hidden="false" customHeight="true" outlineLevel="0" collapsed="false">
      <c r="A1010" s="16"/>
      <c r="D1010" s="16"/>
      <c r="E1010" s="16"/>
      <c r="F1010" s="16"/>
      <c r="G1010" s="16"/>
      <c r="I1010" s="16"/>
      <c r="J1010" s="16"/>
      <c r="K1010" s="16"/>
      <c r="L1010" s="16"/>
      <c r="M1010" s="16"/>
      <c r="N1010" s="16"/>
      <c r="O1010" s="16"/>
      <c r="P1010" s="16"/>
      <c r="Q1010" s="16"/>
      <c r="R1010" s="16"/>
      <c r="S1010" s="16"/>
      <c r="Y1010" s="16"/>
    </row>
    <row r="1011" customFormat="false" ht="12.8" hidden="false" customHeight="true" outlineLevel="0" collapsed="false">
      <c r="A1011" s="16"/>
      <c r="D1011" s="16"/>
      <c r="E1011" s="16"/>
      <c r="F1011" s="16"/>
      <c r="G1011" s="16"/>
      <c r="I1011" s="16"/>
      <c r="J1011" s="16"/>
      <c r="K1011" s="16"/>
      <c r="L1011" s="16"/>
      <c r="M1011" s="16"/>
      <c r="N1011" s="16"/>
      <c r="O1011" s="16"/>
      <c r="P1011" s="16"/>
      <c r="Q1011" s="16"/>
      <c r="R1011" s="16"/>
      <c r="S1011" s="16"/>
      <c r="Y1011" s="16"/>
    </row>
    <row r="1012" customFormat="false" ht="12.8" hidden="false" customHeight="true" outlineLevel="0" collapsed="false">
      <c r="A1012" s="16"/>
      <c r="D1012" s="16"/>
      <c r="E1012" s="16"/>
      <c r="F1012" s="16"/>
      <c r="G1012" s="16"/>
      <c r="I1012" s="16"/>
      <c r="J1012" s="16"/>
      <c r="K1012" s="16"/>
      <c r="L1012" s="16"/>
      <c r="M1012" s="16"/>
      <c r="N1012" s="16"/>
      <c r="O1012" s="16"/>
      <c r="P1012" s="16"/>
      <c r="Q1012" s="16"/>
      <c r="R1012" s="16"/>
      <c r="S1012" s="16"/>
      <c r="Y1012" s="16"/>
    </row>
    <row r="1013" customFormat="false" ht="12.8" hidden="false" customHeight="true" outlineLevel="0" collapsed="false">
      <c r="A1013" s="16"/>
      <c r="D1013" s="16"/>
      <c r="E1013" s="16"/>
      <c r="F1013" s="16"/>
      <c r="G1013" s="16"/>
      <c r="I1013" s="16"/>
      <c r="J1013" s="16"/>
      <c r="K1013" s="16"/>
      <c r="L1013" s="16"/>
      <c r="M1013" s="16"/>
      <c r="N1013" s="16"/>
      <c r="O1013" s="16"/>
      <c r="P1013" s="16"/>
      <c r="Q1013" s="16"/>
      <c r="R1013" s="16"/>
      <c r="S1013" s="16"/>
      <c r="Y1013" s="16"/>
    </row>
    <row r="1014" customFormat="false" ht="12.8" hidden="false" customHeight="true" outlineLevel="0" collapsed="false">
      <c r="A1014" s="16"/>
      <c r="D1014" s="16"/>
      <c r="E1014" s="16"/>
      <c r="F1014" s="16"/>
      <c r="G1014" s="16"/>
      <c r="I1014" s="16"/>
      <c r="J1014" s="16"/>
      <c r="K1014" s="16"/>
      <c r="L1014" s="16"/>
      <c r="M1014" s="16"/>
      <c r="N1014" s="16"/>
      <c r="O1014" s="16"/>
      <c r="P1014" s="16"/>
      <c r="Q1014" s="16"/>
      <c r="R1014" s="16"/>
      <c r="S1014" s="16"/>
      <c r="Y1014" s="16"/>
    </row>
    <row r="1015" customFormat="false" ht="12.8" hidden="false" customHeight="true" outlineLevel="0" collapsed="false">
      <c r="A1015" s="16"/>
      <c r="D1015" s="16"/>
      <c r="E1015" s="16"/>
      <c r="F1015" s="16"/>
      <c r="G1015" s="16"/>
      <c r="I1015" s="16"/>
      <c r="J1015" s="16"/>
      <c r="K1015" s="16"/>
      <c r="L1015" s="16"/>
      <c r="M1015" s="16"/>
      <c r="N1015" s="16"/>
      <c r="O1015" s="16"/>
      <c r="P1015" s="16"/>
      <c r="Q1015" s="16"/>
      <c r="R1015" s="16"/>
      <c r="S1015" s="16"/>
      <c r="Y1015" s="16"/>
    </row>
    <row r="1016" customFormat="false" ht="12.8" hidden="false" customHeight="true" outlineLevel="0" collapsed="false">
      <c r="A1016" s="16"/>
      <c r="D1016" s="16"/>
      <c r="E1016" s="16"/>
      <c r="F1016" s="16"/>
      <c r="G1016" s="16"/>
      <c r="I1016" s="16"/>
      <c r="J1016" s="16"/>
      <c r="K1016" s="16"/>
      <c r="L1016" s="16"/>
      <c r="M1016" s="16"/>
      <c r="N1016" s="16"/>
      <c r="O1016" s="16"/>
      <c r="P1016" s="16"/>
      <c r="Q1016" s="16"/>
      <c r="R1016" s="16"/>
      <c r="S1016" s="16"/>
      <c r="Y1016" s="16"/>
    </row>
    <row r="1017" customFormat="false" ht="12.8" hidden="false" customHeight="true" outlineLevel="0" collapsed="false">
      <c r="A1017" s="16"/>
      <c r="D1017" s="16"/>
      <c r="E1017" s="16"/>
      <c r="F1017" s="16"/>
      <c r="G1017" s="16"/>
      <c r="I1017" s="16"/>
      <c r="J1017" s="16"/>
      <c r="K1017" s="16"/>
      <c r="L1017" s="16"/>
      <c r="M1017" s="16"/>
      <c r="N1017" s="16"/>
      <c r="O1017" s="16"/>
      <c r="P1017" s="16"/>
      <c r="Q1017" s="16"/>
      <c r="R1017" s="16"/>
      <c r="S1017" s="16"/>
      <c r="Y1017" s="16"/>
    </row>
    <row r="1018" customFormat="false" ht="12.8" hidden="false" customHeight="true" outlineLevel="0" collapsed="false">
      <c r="A1018" s="16"/>
      <c r="D1018" s="16"/>
      <c r="E1018" s="16"/>
      <c r="F1018" s="16"/>
      <c r="G1018" s="16"/>
      <c r="I1018" s="16"/>
      <c r="J1018" s="16"/>
      <c r="K1018" s="16"/>
      <c r="L1018" s="16"/>
      <c r="M1018" s="16"/>
      <c r="N1018" s="16"/>
      <c r="O1018" s="16"/>
      <c r="P1018" s="16"/>
      <c r="Q1018" s="16"/>
      <c r="R1018" s="16"/>
      <c r="S1018" s="16"/>
      <c r="Y1018" s="16"/>
    </row>
    <row r="1019" customFormat="false" ht="12.8" hidden="false" customHeight="true" outlineLevel="0" collapsed="false">
      <c r="A1019" s="16"/>
      <c r="D1019" s="16"/>
      <c r="E1019" s="16"/>
      <c r="F1019" s="16"/>
      <c r="G1019" s="16"/>
      <c r="I1019" s="16"/>
      <c r="J1019" s="16"/>
      <c r="K1019" s="16"/>
      <c r="L1019" s="16"/>
      <c r="M1019" s="16"/>
      <c r="N1019" s="16"/>
      <c r="O1019" s="16"/>
      <c r="P1019" s="16"/>
      <c r="Q1019" s="16"/>
      <c r="R1019" s="16"/>
      <c r="S1019" s="16"/>
      <c r="Y1019" s="16"/>
    </row>
    <row r="1020" customFormat="false" ht="12.8" hidden="false" customHeight="true" outlineLevel="0" collapsed="false">
      <c r="A1020" s="16"/>
      <c r="D1020" s="16"/>
      <c r="E1020" s="16"/>
      <c r="F1020" s="16"/>
      <c r="G1020" s="16"/>
      <c r="I1020" s="16"/>
      <c r="J1020" s="16"/>
      <c r="K1020" s="16"/>
      <c r="L1020" s="16"/>
      <c r="M1020" s="16"/>
      <c r="N1020" s="16"/>
      <c r="O1020" s="16"/>
      <c r="P1020" s="16"/>
      <c r="Q1020" s="16"/>
      <c r="R1020" s="16"/>
      <c r="S1020" s="16"/>
      <c r="Y1020" s="16"/>
    </row>
    <row r="1021" customFormat="false" ht="12.8" hidden="false" customHeight="true" outlineLevel="0" collapsed="false">
      <c r="A1021" s="16"/>
      <c r="D1021" s="16"/>
      <c r="E1021" s="16"/>
      <c r="F1021" s="16"/>
      <c r="G1021" s="16"/>
      <c r="I1021" s="16"/>
      <c r="J1021" s="16"/>
      <c r="K1021" s="16"/>
      <c r="L1021" s="16"/>
      <c r="M1021" s="16"/>
      <c r="N1021" s="16"/>
      <c r="O1021" s="16"/>
      <c r="P1021" s="16"/>
      <c r="Q1021" s="16"/>
      <c r="R1021" s="16"/>
      <c r="S1021" s="16"/>
      <c r="Y1021" s="16"/>
    </row>
    <row r="1022" customFormat="false" ht="12.8" hidden="false" customHeight="true" outlineLevel="0" collapsed="false">
      <c r="A1022" s="16"/>
      <c r="D1022" s="16"/>
      <c r="E1022" s="16"/>
      <c r="F1022" s="16"/>
      <c r="G1022" s="16"/>
      <c r="I1022" s="16"/>
      <c r="J1022" s="16"/>
      <c r="K1022" s="16"/>
      <c r="L1022" s="16"/>
      <c r="M1022" s="16"/>
      <c r="N1022" s="16"/>
      <c r="O1022" s="16"/>
      <c r="P1022" s="16"/>
      <c r="Q1022" s="16"/>
      <c r="R1022" s="16"/>
      <c r="S1022" s="16"/>
      <c r="Y1022" s="16"/>
    </row>
    <row r="1023" customFormat="false" ht="12.8" hidden="false" customHeight="true" outlineLevel="0" collapsed="false">
      <c r="A1023" s="16"/>
      <c r="D1023" s="16"/>
      <c r="E1023" s="16"/>
      <c r="F1023" s="16"/>
      <c r="G1023" s="16"/>
      <c r="I1023" s="16"/>
      <c r="J1023" s="16"/>
      <c r="K1023" s="16"/>
      <c r="L1023" s="16"/>
      <c r="M1023" s="16"/>
      <c r="N1023" s="16"/>
      <c r="O1023" s="16"/>
      <c r="P1023" s="16"/>
      <c r="Q1023" s="16"/>
      <c r="R1023" s="16"/>
      <c r="S1023" s="16"/>
      <c r="Y1023" s="16"/>
    </row>
    <row r="1024" customFormat="false" ht="12.8" hidden="false" customHeight="true" outlineLevel="0" collapsed="false">
      <c r="A1024" s="16"/>
      <c r="D1024" s="16"/>
      <c r="E1024" s="16"/>
      <c r="F1024" s="16"/>
      <c r="G1024" s="16"/>
      <c r="I1024" s="16"/>
      <c r="J1024" s="16"/>
      <c r="K1024" s="16"/>
      <c r="L1024" s="16"/>
      <c r="M1024" s="16"/>
      <c r="N1024" s="16"/>
      <c r="O1024" s="16"/>
      <c r="P1024" s="16"/>
      <c r="Q1024" s="16"/>
      <c r="R1024" s="16"/>
      <c r="S1024" s="16"/>
      <c r="Y1024" s="16"/>
    </row>
    <row r="1025" customFormat="false" ht="12.8" hidden="false" customHeight="true" outlineLevel="0" collapsed="false">
      <c r="A1025" s="16"/>
      <c r="D1025" s="16"/>
      <c r="E1025" s="16"/>
      <c r="F1025" s="16"/>
      <c r="G1025" s="16"/>
      <c r="I1025" s="16"/>
      <c r="J1025" s="16"/>
      <c r="K1025" s="16"/>
      <c r="L1025" s="16"/>
      <c r="M1025" s="16"/>
      <c r="N1025" s="16"/>
      <c r="O1025" s="16"/>
      <c r="P1025" s="16"/>
      <c r="Q1025" s="16"/>
      <c r="R1025" s="16"/>
      <c r="S1025" s="16"/>
      <c r="Y1025" s="16"/>
    </row>
    <row r="1026" customFormat="false" ht="12.8" hidden="false" customHeight="true" outlineLevel="0" collapsed="false">
      <c r="A1026" s="16"/>
      <c r="D1026" s="16"/>
      <c r="E1026" s="16"/>
      <c r="F1026" s="16"/>
      <c r="G1026" s="16"/>
      <c r="I1026" s="16"/>
      <c r="J1026" s="16"/>
      <c r="K1026" s="16"/>
      <c r="L1026" s="16"/>
      <c r="M1026" s="16"/>
      <c r="N1026" s="16"/>
      <c r="O1026" s="16"/>
      <c r="P1026" s="16"/>
      <c r="Q1026" s="16"/>
      <c r="R1026" s="16"/>
      <c r="S1026" s="16"/>
      <c r="Y1026" s="16"/>
    </row>
    <row r="1027" customFormat="false" ht="12.8" hidden="false" customHeight="true" outlineLevel="0" collapsed="false">
      <c r="A1027" s="16"/>
      <c r="D1027" s="16"/>
      <c r="E1027" s="16"/>
      <c r="F1027" s="16"/>
      <c r="G1027" s="16"/>
      <c r="I1027" s="16"/>
      <c r="J1027" s="16"/>
      <c r="K1027" s="16"/>
      <c r="L1027" s="16"/>
      <c r="M1027" s="16"/>
      <c r="N1027" s="16"/>
      <c r="O1027" s="16"/>
      <c r="P1027" s="16"/>
      <c r="Q1027" s="16"/>
      <c r="R1027" s="16"/>
      <c r="S1027" s="16"/>
      <c r="Y1027" s="16"/>
    </row>
    <row r="1028" customFormat="false" ht="12.8" hidden="false" customHeight="true" outlineLevel="0" collapsed="false">
      <c r="A1028" s="16"/>
      <c r="D1028" s="16"/>
      <c r="E1028" s="16"/>
      <c r="F1028" s="16"/>
      <c r="G1028" s="16"/>
      <c r="I1028" s="16"/>
      <c r="J1028" s="16"/>
      <c r="K1028" s="16"/>
      <c r="L1028" s="16"/>
      <c r="M1028" s="16"/>
      <c r="N1028" s="16"/>
      <c r="O1028" s="16"/>
      <c r="P1028" s="16"/>
      <c r="Q1028" s="16"/>
      <c r="R1028" s="16"/>
      <c r="S1028" s="16"/>
      <c r="Y1028" s="16"/>
    </row>
    <row r="1029" customFormat="false" ht="12.8" hidden="false" customHeight="true" outlineLevel="0" collapsed="false">
      <c r="A1029" s="16"/>
      <c r="D1029" s="16"/>
      <c r="E1029" s="16"/>
      <c r="F1029" s="16"/>
      <c r="G1029" s="16"/>
      <c r="I1029" s="16"/>
      <c r="J1029" s="16"/>
      <c r="K1029" s="16"/>
      <c r="L1029" s="16"/>
      <c r="M1029" s="16"/>
      <c r="N1029" s="16"/>
      <c r="O1029" s="16"/>
      <c r="P1029" s="16"/>
      <c r="Q1029" s="16"/>
      <c r="R1029" s="16"/>
      <c r="S1029" s="16"/>
      <c r="Y1029" s="16"/>
    </row>
    <row r="1030" customFormat="false" ht="12.8" hidden="false" customHeight="true" outlineLevel="0" collapsed="false">
      <c r="A1030" s="16"/>
      <c r="D1030" s="16"/>
      <c r="E1030" s="16"/>
      <c r="F1030" s="16"/>
      <c r="G1030" s="16"/>
      <c r="I1030" s="16"/>
      <c r="J1030" s="16"/>
      <c r="K1030" s="16"/>
      <c r="L1030" s="16"/>
      <c r="M1030" s="16"/>
      <c r="N1030" s="16"/>
      <c r="O1030" s="16"/>
      <c r="P1030" s="16"/>
      <c r="Q1030" s="16"/>
      <c r="R1030" s="16"/>
      <c r="S1030" s="16"/>
      <c r="Y1030" s="16"/>
    </row>
    <row r="1031" customFormat="false" ht="12.8" hidden="false" customHeight="true" outlineLevel="0" collapsed="false">
      <c r="A1031" s="16"/>
      <c r="D1031" s="16"/>
      <c r="E1031" s="16"/>
      <c r="F1031" s="16"/>
      <c r="G1031" s="16"/>
      <c r="I1031" s="16"/>
      <c r="J1031" s="16"/>
      <c r="K1031" s="16"/>
      <c r="L1031" s="16"/>
      <c r="M1031" s="16"/>
      <c r="N1031" s="16"/>
      <c r="O1031" s="16"/>
      <c r="P1031" s="16"/>
      <c r="Q1031" s="16"/>
      <c r="R1031" s="16"/>
      <c r="S1031" s="16"/>
      <c r="Y1031" s="16"/>
    </row>
    <row r="1032" customFormat="false" ht="12.8" hidden="false" customHeight="true" outlineLevel="0" collapsed="false">
      <c r="A1032" s="16"/>
      <c r="D1032" s="16"/>
      <c r="E1032" s="16"/>
      <c r="F1032" s="16"/>
      <c r="G1032" s="16"/>
      <c r="I1032" s="16"/>
      <c r="J1032" s="16"/>
      <c r="K1032" s="16"/>
      <c r="L1032" s="16"/>
      <c r="M1032" s="16"/>
      <c r="N1032" s="16"/>
      <c r="O1032" s="16"/>
      <c r="P1032" s="16"/>
      <c r="Q1032" s="16"/>
      <c r="R1032" s="16"/>
      <c r="S1032" s="16"/>
      <c r="Y1032" s="16"/>
    </row>
    <row r="1033" customFormat="false" ht="12.8" hidden="false" customHeight="true" outlineLevel="0" collapsed="false">
      <c r="A1033" s="16"/>
      <c r="D1033" s="16"/>
      <c r="E1033" s="16"/>
      <c r="F1033" s="16"/>
      <c r="G1033" s="16"/>
      <c r="I1033" s="16"/>
      <c r="J1033" s="16"/>
      <c r="K1033" s="16"/>
      <c r="L1033" s="16"/>
      <c r="M1033" s="16"/>
      <c r="N1033" s="16"/>
      <c r="O1033" s="16"/>
      <c r="P1033" s="16"/>
      <c r="Q1033" s="16"/>
      <c r="R1033" s="16"/>
      <c r="S1033" s="16"/>
      <c r="Y1033" s="16"/>
    </row>
    <row r="1034" customFormat="false" ht="12.8" hidden="false" customHeight="true" outlineLevel="0" collapsed="false">
      <c r="A1034" s="16"/>
      <c r="D1034" s="16"/>
      <c r="E1034" s="16"/>
      <c r="F1034" s="16"/>
      <c r="G1034" s="16"/>
      <c r="I1034" s="16"/>
      <c r="J1034" s="16"/>
      <c r="K1034" s="16"/>
      <c r="L1034" s="16"/>
      <c r="M1034" s="16"/>
      <c r="N1034" s="16"/>
      <c r="O1034" s="16"/>
      <c r="P1034" s="16"/>
      <c r="Q1034" s="16"/>
      <c r="R1034" s="16"/>
      <c r="S1034" s="16"/>
      <c r="Y1034" s="16"/>
    </row>
    <row r="1035" customFormat="false" ht="12.8" hidden="false" customHeight="true" outlineLevel="0" collapsed="false">
      <c r="A1035" s="16"/>
      <c r="D1035" s="16"/>
      <c r="E1035" s="16"/>
      <c r="F1035" s="16"/>
      <c r="G1035" s="16"/>
      <c r="I1035" s="16"/>
      <c r="J1035" s="16"/>
      <c r="K1035" s="16"/>
      <c r="L1035" s="16"/>
      <c r="M1035" s="16"/>
      <c r="N1035" s="16"/>
      <c r="O1035" s="16"/>
      <c r="P1035" s="16"/>
      <c r="Q1035" s="16"/>
      <c r="R1035" s="16"/>
      <c r="S1035" s="16"/>
      <c r="Y1035" s="16"/>
    </row>
    <row r="1036" customFormat="false" ht="12.8" hidden="false" customHeight="true" outlineLevel="0" collapsed="false">
      <c r="A1036" s="16"/>
      <c r="D1036" s="16"/>
      <c r="E1036" s="16"/>
      <c r="F1036" s="16"/>
      <c r="G1036" s="16"/>
      <c r="I1036" s="16"/>
      <c r="J1036" s="16"/>
      <c r="K1036" s="16"/>
      <c r="L1036" s="16"/>
      <c r="M1036" s="16"/>
      <c r="N1036" s="16"/>
      <c r="O1036" s="16"/>
      <c r="P1036" s="16"/>
      <c r="Q1036" s="16"/>
      <c r="R1036" s="16"/>
      <c r="S1036" s="16"/>
      <c r="Y1036" s="16"/>
    </row>
    <row r="1037" customFormat="false" ht="12.8" hidden="false" customHeight="true" outlineLevel="0" collapsed="false">
      <c r="A1037" s="16"/>
      <c r="D1037" s="16"/>
      <c r="E1037" s="16"/>
      <c r="F1037" s="16"/>
      <c r="G1037" s="16"/>
      <c r="I1037" s="16"/>
      <c r="J1037" s="16"/>
      <c r="K1037" s="16"/>
      <c r="L1037" s="16"/>
      <c r="M1037" s="16"/>
      <c r="N1037" s="16"/>
      <c r="O1037" s="16"/>
      <c r="P1037" s="16"/>
      <c r="Q1037" s="16"/>
      <c r="R1037" s="16"/>
      <c r="S1037" s="16"/>
      <c r="Y1037" s="16"/>
    </row>
    <row r="1038" customFormat="false" ht="12.8" hidden="false" customHeight="true" outlineLevel="0" collapsed="false">
      <c r="A1038" s="16"/>
      <c r="D1038" s="16"/>
      <c r="E1038" s="16"/>
      <c r="F1038" s="16"/>
      <c r="G1038" s="16"/>
      <c r="I1038" s="16"/>
      <c r="J1038" s="16"/>
      <c r="K1038" s="16"/>
      <c r="L1038" s="16"/>
      <c r="M1038" s="16"/>
      <c r="N1038" s="16"/>
      <c r="O1038" s="16"/>
      <c r="P1038" s="16"/>
      <c r="Q1038" s="16"/>
      <c r="R1038" s="16"/>
      <c r="S1038" s="16"/>
      <c r="Y1038" s="16"/>
    </row>
    <row r="1039" customFormat="false" ht="12.8" hidden="false" customHeight="true" outlineLevel="0" collapsed="false">
      <c r="A1039" s="16"/>
      <c r="D1039" s="16"/>
      <c r="E1039" s="16"/>
      <c r="F1039" s="16"/>
      <c r="G1039" s="16"/>
      <c r="I1039" s="16"/>
      <c r="J1039" s="16"/>
      <c r="K1039" s="16"/>
      <c r="L1039" s="16"/>
      <c r="M1039" s="16"/>
      <c r="N1039" s="16"/>
      <c r="O1039" s="16"/>
      <c r="P1039" s="16"/>
      <c r="Q1039" s="16"/>
      <c r="R1039" s="16"/>
      <c r="S1039" s="16"/>
      <c r="Y1039" s="16"/>
    </row>
    <row r="1040" customFormat="false" ht="12.8" hidden="false" customHeight="true" outlineLevel="0" collapsed="false">
      <c r="A1040" s="16"/>
      <c r="D1040" s="16"/>
      <c r="E1040" s="16"/>
      <c r="F1040" s="16"/>
      <c r="G1040" s="16"/>
      <c r="I1040" s="16"/>
      <c r="J1040" s="16"/>
      <c r="K1040" s="16"/>
      <c r="L1040" s="16"/>
      <c r="M1040" s="16"/>
      <c r="N1040" s="16"/>
      <c r="O1040" s="16"/>
      <c r="P1040" s="16"/>
      <c r="Q1040" s="16"/>
      <c r="R1040" s="16"/>
      <c r="S1040" s="16"/>
      <c r="Y1040" s="16"/>
    </row>
    <row r="1041" customFormat="false" ht="12.8" hidden="false" customHeight="true" outlineLevel="0" collapsed="false">
      <c r="A1041" s="16"/>
      <c r="D1041" s="16"/>
      <c r="E1041" s="16"/>
      <c r="F1041" s="16"/>
      <c r="G1041" s="16"/>
      <c r="I1041" s="16"/>
      <c r="J1041" s="16"/>
      <c r="K1041" s="16"/>
      <c r="L1041" s="16"/>
      <c r="M1041" s="16"/>
      <c r="N1041" s="16"/>
      <c r="O1041" s="16"/>
      <c r="P1041" s="16"/>
      <c r="Q1041" s="16"/>
      <c r="R1041" s="16"/>
      <c r="S1041" s="16"/>
      <c r="Y1041" s="16"/>
    </row>
    <row r="1042" customFormat="false" ht="12.8" hidden="false" customHeight="true" outlineLevel="0" collapsed="false">
      <c r="A1042" s="16"/>
      <c r="D1042" s="16"/>
      <c r="E1042" s="16"/>
      <c r="F1042" s="16"/>
      <c r="G1042" s="16"/>
      <c r="I1042" s="16"/>
      <c r="J1042" s="16"/>
      <c r="K1042" s="16"/>
      <c r="L1042" s="16"/>
      <c r="M1042" s="16"/>
      <c r="N1042" s="16"/>
      <c r="O1042" s="16"/>
      <c r="P1042" s="16"/>
      <c r="Q1042" s="16"/>
      <c r="R1042" s="16"/>
      <c r="S1042" s="16"/>
      <c r="Y1042" s="16"/>
    </row>
    <row r="1043" customFormat="false" ht="12.8" hidden="false" customHeight="true" outlineLevel="0" collapsed="false">
      <c r="A1043" s="16"/>
      <c r="D1043" s="16"/>
      <c r="E1043" s="16"/>
      <c r="F1043" s="16"/>
      <c r="G1043" s="16"/>
      <c r="I1043" s="16"/>
      <c r="J1043" s="16"/>
      <c r="K1043" s="16"/>
      <c r="L1043" s="16"/>
      <c r="M1043" s="16"/>
      <c r="N1043" s="16"/>
      <c r="O1043" s="16"/>
      <c r="P1043" s="16"/>
      <c r="Q1043" s="16"/>
      <c r="R1043" s="16"/>
      <c r="S1043" s="16"/>
      <c r="Y1043" s="16"/>
    </row>
    <row r="1044" customFormat="false" ht="12.8" hidden="false" customHeight="true" outlineLevel="0" collapsed="false">
      <c r="A1044" s="16"/>
      <c r="D1044" s="16"/>
      <c r="E1044" s="16"/>
      <c r="F1044" s="16"/>
      <c r="G1044" s="16"/>
      <c r="I1044" s="16"/>
      <c r="J1044" s="16"/>
      <c r="K1044" s="16"/>
      <c r="L1044" s="16"/>
      <c r="M1044" s="16"/>
      <c r="N1044" s="16"/>
      <c r="O1044" s="16"/>
      <c r="P1044" s="16"/>
      <c r="Q1044" s="16"/>
      <c r="R1044" s="16"/>
      <c r="S1044" s="16"/>
      <c r="Y1044" s="16"/>
    </row>
    <row r="1045" customFormat="false" ht="12.8" hidden="false" customHeight="true" outlineLevel="0" collapsed="false">
      <c r="A1045" s="16"/>
      <c r="D1045" s="16"/>
      <c r="E1045" s="16"/>
      <c r="F1045" s="16"/>
      <c r="G1045" s="16"/>
      <c r="I1045" s="16"/>
      <c r="J1045" s="16"/>
      <c r="K1045" s="16"/>
      <c r="L1045" s="16"/>
      <c r="M1045" s="16"/>
      <c r="N1045" s="16"/>
      <c r="O1045" s="16"/>
      <c r="P1045" s="16"/>
      <c r="Q1045" s="16"/>
      <c r="R1045" s="16"/>
      <c r="S1045" s="16"/>
      <c r="Y1045" s="16"/>
    </row>
    <row r="1046" customFormat="false" ht="12.8" hidden="false" customHeight="true" outlineLevel="0" collapsed="false">
      <c r="A1046" s="16"/>
      <c r="D1046" s="16"/>
      <c r="E1046" s="16"/>
      <c r="F1046" s="16"/>
      <c r="G1046" s="16"/>
      <c r="I1046" s="16"/>
      <c r="J1046" s="16"/>
      <c r="K1046" s="16"/>
      <c r="L1046" s="16"/>
      <c r="M1046" s="16"/>
      <c r="N1046" s="16"/>
      <c r="O1046" s="16"/>
      <c r="P1046" s="16"/>
      <c r="Q1046" s="16"/>
      <c r="R1046" s="16"/>
      <c r="S1046" s="16"/>
      <c r="Y1046" s="16"/>
    </row>
    <row r="1047" customFormat="false" ht="12.8" hidden="false" customHeight="true" outlineLevel="0" collapsed="false">
      <c r="A1047" s="16"/>
      <c r="D1047" s="16"/>
      <c r="E1047" s="16"/>
      <c r="F1047" s="16"/>
      <c r="G1047" s="16"/>
      <c r="I1047" s="16"/>
      <c r="J1047" s="16"/>
      <c r="K1047" s="16"/>
      <c r="L1047" s="16"/>
      <c r="M1047" s="16"/>
      <c r="N1047" s="16"/>
      <c r="O1047" s="16"/>
      <c r="P1047" s="16"/>
      <c r="Q1047" s="16"/>
      <c r="R1047" s="16"/>
      <c r="S1047" s="16"/>
      <c r="Y1047" s="16"/>
    </row>
    <row r="1048" customFormat="false" ht="12.8" hidden="false" customHeight="true" outlineLevel="0" collapsed="false">
      <c r="A1048" s="16"/>
      <c r="D1048" s="16"/>
      <c r="E1048" s="16"/>
      <c r="F1048" s="16"/>
      <c r="G1048" s="16"/>
      <c r="I1048" s="16"/>
      <c r="J1048" s="16"/>
      <c r="K1048" s="16"/>
      <c r="L1048" s="16"/>
      <c r="M1048" s="16"/>
      <c r="N1048" s="16"/>
      <c r="O1048" s="16"/>
      <c r="P1048" s="16"/>
      <c r="Q1048" s="16"/>
      <c r="R1048" s="16"/>
      <c r="S1048" s="16"/>
      <c r="Y1048" s="16"/>
    </row>
    <row r="1049" customFormat="false" ht="12.8" hidden="false" customHeight="true" outlineLevel="0" collapsed="false">
      <c r="A1049" s="16"/>
      <c r="D1049" s="16"/>
      <c r="E1049" s="16"/>
      <c r="F1049" s="16"/>
      <c r="G1049" s="16"/>
      <c r="I1049" s="16"/>
      <c r="J1049" s="16"/>
      <c r="K1049" s="16"/>
      <c r="L1049" s="16"/>
      <c r="M1049" s="16"/>
      <c r="N1049" s="16"/>
      <c r="O1049" s="16"/>
      <c r="P1049" s="16"/>
      <c r="Q1049" s="16"/>
      <c r="R1049" s="16"/>
      <c r="S1049" s="16"/>
      <c r="Y1049" s="16"/>
    </row>
    <row r="1050" customFormat="false" ht="12.8" hidden="false" customHeight="true" outlineLevel="0" collapsed="false">
      <c r="A1050" s="16"/>
      <c r="D1050" s="16"/>
      <c r="E1050" s="16"/>
      <c r="F1050" s="16"/>
      <c r="G1050" s="16"/>
      <c r="I1050" s="16"/>
      <c r="J1050" s="16"/>
      <c r="K1050" s="16"/>
      <c r="L1050" s="16"/>
      <c r="M1050" s="16"/>
      <c r="N1050" s="16"/>
      <c r="O1050" s="16"/>
      <c r="P1050" s="16"/>
      <c r="Q1050" s="16"/>
      <c r="R1050" s="16"/>
      <c r="S1050" s="16"/>
      <c r="Y1050" s="16"/>
    </row>
    <row r="1051" customFormat="false" ht="12.8" hidden="false" customHeight="true" outlineLevel="0" collapsed="false">
      <c r="A1051" s="16"/>
      <c r="D1051" s="16"/>
      <c r="E1051" s="16"/>
      <c r="F1051" s="16"/>
      <c r="G1051" s="16"/>
      <c r="I1051" s="16"/>
      <c r="J1051" s="16"/>
      <c r="K1051" s="16"/>
      <c r="L1051" s="16"/>
      <c r="M1051" s="16"/>
      <c r="N1051" s="16"/>
      <c r="O1051" s="16"/>
      <c r="P1051" s="16"/>
      <c r="Q1051" s="16"/>
      <c r="R1051" s="16"/>
      <c r="S1051" s="16"/>
      <c r="Y1051" s="16"/>
    </row>
    <row r="1052" customFormat="false" ht="12.8" hidden="false" customHeight="true" outlineLevel="0" collapsed="false">
      <c r="A1052" s="16"/>
      <c r="D1052" s="16"/>
      <c r="E1052" s="16"/>
      <c r="F1052" s="16"/>
      <c r="G1052" s="16"/>
      <c r="I1052" s="16"/>
      <c r="J1052" s="16"/>
      <c r="K1052" s="16"/>
      <c r="L1052" s="16"/>
      <c r="M1052" s="16"/>
      <c r="N1052" s="16"/>
      <c r="O1052" s="16"/>
      <c r="P1052" s="16"/>
      <c r="Q1052" s="16"/>
      <c r="R1052" s="16"/>
      <c r="S1052" s="16"/>
      <c r="Y1052" s="16"/>
    </row>
    <row r="1053" customFormat="false" ht="12.8" hidden="false" customHeight="true" outlineLevel="0" collapsed="false">
      <c r="A1053" s="16"/>
      <c r="D1053" s="16"/>
      <c r="E1053" s="16"/>
      <c r="F1053" s="16"/>
      <c r="G1053" s="16"/>
      <c r="I1053" s="16"/>
      <c r="J1053" s="16"/>
      <c r="K1053" s="16"/>
      <c r="L1053" s="16"/>
      <c r="M1053" s="16"/>
      <c r="N1053" s="16"/>
      <c r="O1053" s="16"/>
      <c r="P1053" s="16"/>
      <c r="Q1053" s="16"/>
      <c r="R1053" s="16"/>
      <c r="S1053" s="16"/>
      <c r="Y1053" s="16"/>
    </row>
    <row r="1054" customFormat="false" ht="12.8" hidden="false" customHeight="true" outlineLevel="0" collapsed="false">
      <c r="A1054" s="16"/>
      <c r="D1054" s="16"/>
      <c r="E1054" s="16"/>
      <c r="F1054" s="16"/>
      <c r="G1054" s="16"/>
      <c r="I1054" s="16"/>
      <c r="J1054" s="16"/>
      <c r="K1054" s="16"/>
      <c r="L1054" s="16"/>
      <c r="M1054" s="16"/>
      <c r="N1054" s="16"/>
      <c r="O1054" s="16"/>
      <c r="P1054" s="16"/>
      <c r="Q1054" s="16"/>
      <c r="R1054" s="16"/>
      <c r="S1054" s="16"/>
      <c r="Y1054" s="16"/>
    </row>
    <row r="1055" customFormat="false" ht="12.8" hidden="false" customHeight="true" outlineLevel="0" collapsed="false">
      <c r="A1055" s="16"/>
      <c r="D1055" s="16"/>
      <c r="E1055" s="16"/>
      <c r="F1055" s="16"/>
      <c r="G1055" s="16"/>
      <c r="I1055" s="16"/>
      <c r="J1055" s="16"/>
      <c r="K1055" s="16"/>
      <c r="L1055" s="16"/>
      <c r="M1055" s="16"/>
      <c r="N1055" s="16"/>
      <c r="O1055" s="16"/>
      <c r="P1055" s="16"/>
      <c r="Q1055" s="16"/>
      <c r="R1055" s="16"/>
      <c r="S1055" s="16"/>
      <c r="Y1055" s="16"/>
    </row>
    <row r="1056" customFormat="false" ht="12.8" hidden="false" customHeight="true" outlineLevel="0" collapsed="false">
      <c r="A1056" s="16"/>
      <c r="D1056" s="16"/>
      <c r="E1056" s="16"/>
      <c r="F1056" s="16"/>
      <c r="G1056" s="16"/>
      <c r="I1056" s="16"/>
      <c r="J1056" s="16"/>
      <c r="K1056" s="16"/>
      <c r="L1056" s="16"/>
      <c r="M1056" s="16"/>
      <c r="N1056" s="16"/>
      <c r="O1056" s="16"/>
      <c r="P1056" s="16"/>
      <c r="Q1056" s="16"/>
      <c r="R1056" s="16"/>
      <c r="S1056" s="16"/>
      <c r="Y1056" s="16"/>
    </row>
    <row r="1057" customFormat="false" ht="12.8" hidden="false" customHeight="true" outlineLevel="0" collapsed="false">
      <c r="A1057" s="16"/>
      <c r="D1057" s="16"/>
      <c r="E1057" s="16"/>
      <c r="F1057" s="16"/>
      <c r="G1057" s="16"/>
      <c r="I1057" s="16"/>
      <c r="J1057" s="16"/>
      <c r="K1057" s="16"/>
      <c r="L1057" s="16"/>
      <c r="M1057" s="16"/>
      <c r="N1057" s="16"/>
      <c r="O1057" s="16"/>
      <c r="P1057" s="16"/>
      <c r="Q1057" s="16"/>
      <c r="R1057" s="16"/>
      <c r="S1057" s="16"/>
      <c r="Y1057" s="16"/>
    </row>
    <row r="1058" customFormat="false" ht="12.8" hidden="false" customHeight="true" outlineLevel="0" collapsed="false">
      <c r="A1058" s="16"/>
      <c r="D1058" s="16"/>
      <c r="E1058" s="16"/>
      <c r="F1058" s="16"/>
      <c r="G1058" s="16"/>
      <c r="I1058" s="16"/>
      <c r="J1058" s="16"/>
      <c r="K1058" s="16"/>
      <c r="L1058" s="16"/>
      <c r="M1058" s="16"/>
      <c r="N1058" s="16"/>
      <c r="O1058" s="16"/>
      <c r="P1058" s="16"/>
      <c r="Q1058" s="16"/>
      <c r="R1058" s="16"/>
      <c r="S1058" s="16"/>
      <c r="Y1058" s="16"/>
    </row>
    <row r="1059" customFormat="false" ht="12.8" hidden="false" customHeight="true" outlineLevel="0" collapsed="false">
      <c r="A1059" s="16"/>
      <c r="D1059" s="16"/>
      <c r="E1059" s="16"/>
      <c r="F1059" s="16"/>
      <c r="G1059" s="16"/>
      <c r="I1059" s="16"/>
      <c r="J1059" s="16"/>
      <c r="K1059" s="16"/>
      <c r="L1059" s="16"/>
      <c r="M1059" s="16"/>
      <c r="N1059" s="16"/>
      <c r="O1059" s="16"/>
      <c r="P1059" s="16"/>
      <c r="Q1059" s="16"/>
      <c r="R1059" s="16"/>
      <c r="S1059" s="16"/>
      <c r="Y1059" s="16"/>
    </row>
    <row r="1060" customFormat="false" ht="12.8" hidden="false" customHeight="true" outlineLevel="0" collapsed="false">
      <c r="A1060" s="16"/>
      <c r="D1060" s="16"/>
      <c r="E1060" s="16"/>
      <c r="F1060" s="16"/>
      <c r="G1060" s="16"/>
      <c r="I1060" s="16"/>
      <c r="J1060" s="16"/>
      <c r="K1060" s="16"/>
      <c r="L1060" s="16"/>
      <c r="M1060" s="16"/>
      <c r="N1060" s="16"/>
      <c r="O1060" s="16"/>
      <c r="P1060" s="16"/>
      <c r="Q1060" s="16"/>
      <c r="R1060" s="16"/>
      <c r="S1060" s="16"/>
      <c r="Y1060" s="16"/>
    </row>
    <row r="1061" customFormat="false" ht="12.8" hidden="false" customHeight="true" outlineLevel="0" collapsed="false">
      <c r="A1061" s="16"/>
      <c r="D1061" s="16"/>
      <c r="E1061" s="16"/>
      <c r="F1061" s="16"/>
      <c r="G1061" s="16"/>
      <c r="I1061" s="16"/>
      <c r="J1061" s="16"/>
      <c r="K1061" s="16"/>
      <c r="L1061" s="16"/>
      <c r="M1061" s="16"/>
      <c r="N1061" s="16"/>
      <c r="O1061" s="16"/>
      <c r="P1061" s="16"/>
      <c r="Q1061" s="16"/>
      <c r="R1061" s="16"/>
      <c r="S1061" s="16"/>
      <c r="Y1061" s="16"/>
    </row>
  </sheetData>
  <dataValidations count="5">
    <dataValidation allowBlank="true" errorStyle="stop" operator="equal" showDropDown="false" showErrorMessage="true" showInputMessage="false" sqref="B1:AMO1 U2:X59 AH7:AK7 AH25:AK25 AH33:AK33 AH37:AK37 AH41:AK44 AU42:AX42 AH46:AK49 AU46:AX46 AH52:AK57 AU53:AX53 AU57:AX57 AH59:AK59 U95:X1061" type="none">
      <formula1>0</formula1>
      <formula2>0</formula2>
    </dataValidation>
    <dataValidation allowBlank="true" errorStyle="stop" operator="equal" showDropDown="false" showErrorMessage="true" showInputMessage="false" sqref="B2:B59 B95:B1061" type="list">
      <formula1>define!$C:$C</formula1>
      <formula2>0</formula2>
    </dataValidation>
    <dataValidation allowBlank="true" errorStyle="stop" operator="equal" showDropDown="false" showErrorMessage="true" showInputMessage="false" sqref="C2:C59 C95:C1061" type="list">
      <formula1>define!$E:$E</formula1>
      <formula2>0</formula2>
    </dataValidation>
    <dataValidation allowBlank="true" errorStyle="stop" operator="equal" showDropDown="false" showErrorMessage="true" showInputMessage="false" sqref="H2:H59 H95:H1061" type="list">
      <formula1>define!$B:$B</formula1>
      <formula2>0</formula2>
    </dataValidation>
    <dataValidation allowBlank="true" errorStyle="stop" operator="equal" showDropDown="false" showErrorMessage="true" showInputMessage="false" sqref="T2:T54 AG7 AG25 AG33 AG37 AG41:AG44 AT42 AG46:AG49 AT46 AG52:AG56 AT53 T55:T59 AG59 T95:T1061" type="list">
      <formula1>define!$B:$B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&amp;C&amp;"Arial,標準"&amp;A</oddHeader>
    <oddFooter>&amp;C&amp;"Arial,標準"ページ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G20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F4" activeCellId="0" sqref="F4"/>
    </sheetView>
  </sheetViews>
  <sheetFormatPr defaultColWidth="12.8046875" defaultRowHeight="12.8" customHeight="true" zeroHeight="false" outlineLevelRow="0" outlineLevelCol="0"/>
  <cols>
    <col collapsed="false" customWidth="true" hidden="false" outlineLevel="0" max="1" min="1" style="1" width="4.21"/>
    <col collapsed="false" customWidth="true" hidden="false" outlineLevel="0" max="2" min="2" style="1" width="21.88"/>
    <col collapsed="false" customWidth="true" hidden="false" outlineLevel="0" max="3" min="3" style="1" width="23.25"/>
    <col collapsed="false" customWidth="true" hidden="false" outlineLevel="0" max="4" min="4" style="1" width="11.76"/>
    <col collapsed="false" customWidth="true" hidden="false" outlineLevel="0" max="5" min="5" style="1" width="4.21"/>
  </cols>
  <sheetData>
    <row r="1" customFormat="false" ht="12.8" hidden="false" customHeight="false" outlineLevel="0" collapsed="false">
      <c r="J1" s="20"/>
      <c r="L1" s="2" t="s">
        <v>707</v>
      </c>
      <c r="N1" s="2" t="s">
        <v>420</v>
      </c>
      <c r="W1" s="2" t="s">
        <v>420</v>
      </c>
    </row>
    <row r="2" customFormat="false" ht="12.8" hidden="false" customHeight="false" outlineLevel="0" collapsed="false">
      <c r="A2" s="2" t="s">
        <v>230</v>
      </c>
      <c r="B2" s="2" t="s">
        <v>708</v>
      </c>
      <c r="C2" s="2" t="s">
        <v>709</v>
      </c>
      <c r="D2" s="2" t="s">
        <v>710</v>
      </c>
      <c r="E2" s="2" t="s">
        <v>103</v>
      </c>
      <c r="F2" s="2" t="s">
        <v>711</v>
      </c>
      <c r="G2" s="2" t="s">
        <v>712</v>
      </c>
      <c r="H2" s="2" t="s">
        <v>419</v>
      </c>
      <c r="I2" s="2" t="s">
        <v>713</v>
      </c>
      <c r="J2" s="20" t="s">
        <v>714</v>
      </c>
      <c r="K2" s="2" t="s">
        <v>103</v>
      </c>
      <c r="L2" s="2" t="s">
        <v>713</v>
      </c>
      <c r="M2" s="2" t="s">
        <v>103</v>
      </c>
      <c r="O2" s="2" t="s">
        <v>16</v>
      </c>
      <c r="P2" s="2" t="s">
        <v>712</v>
      </c>
      <c r="Q2" s="2" t="s">
        <v>419</v>
      </c>
      <c r="R2" s="2" t="s">
        <v>713</v>
      </c>
      <c r="S2" s="2" t="s">
        <v>715</v>
      </c>
      <c r="T2" s="2" t="s">
        <v>103</v>
      </c>
      <c r="U2" s="2" t="s">
        <v>713</v>
      </c>
      <c r="V2" s="2" t="s">
        <v>103</v>
      </c>
      <c r="X2" s="2" t="s">
        <v>16</v>
      </c>
      <c r="Y2" s="2" t="s">
        <v>712</v>
      </c>
      <c r="Z2" s="2" t="s">
        <v>419</v>
      </c>
      <c r="AA2" s="2" t="s">
        <v>713</v>
      </c>
      <c r="AB2" s="2" t="s">
        <v>715</v>
      </c>
      <c r="AC2" s="2" t="s">
        <v>103</v>
      </c>
      <c r="AD2" s="2" t="s">
        <v>713</v>
      </c>
      <c r="AE2" s="2" t="s">
        <v>103</v>
      </c>
      <c r="AG2" s="2" t="s">
        <v>16</v>
      </c>
    </row>
    <row r="3" customFormat="false" ht="12.8" hidden="false" customHeight="false" outlineLevel="0" collapsed="false">
      <c r="A3" s="1" t="n">
        <f aca="false">ROW(A3)-3</f>
        <v>0</v>
      </c>
      <c r="B3" s="2" t="s">
        <v>716</v>
      </c>
      <c r="C3" s="1" t="s">
        <v>717</v>
      </c>
      <c r="D3" s="2" t="s">
        <v>465</v>
      </c>
      <c r="E3" s="1" t="n">
        <v>20</v>
      </c>
      <c r="F3" s="2" t="s">
        <v>251</v>
      </c>
    </row>
    <row r="4" customFormat="false" ht="12.8" hidden="false" customHeight="false" outlineLevel="0" collapsed="false">
      <c r="A4" s="1" t="n">
        <f aca="false">ROW(A4)-3</f>
        <v>1</v>
      </c>
      <c r="B4" s="2" t="s">
        <v>718</v>
      </c>
      <c r="C4" s="1" t="s">
        <v>719</v>
      </c>
      <c r="D4" s="2" t="s">
        <v>456</v>
      </c>
      <c r="E4" s="1" t="n">
        <v>8</v>
      </c>
      <c r="F4" s="2" t="s">
        <v>720</v>
      </c>
    </row>
    <row r="5" customFormat="false" ht="12.8" hidden="false" customHeight="false" outlineLevel="0" collapsed="false">
      <c r="A5" s="1" t="n">
        <f aca="false">ROW(A5)-3</f>
        <v>2</v>
      </c>
      <c r="B5" s="2" t="s">
        <v>721</v>
      </c>
      <c r="C5" s="1" t="s">
        <v>722</v>
      </c>
      <c r="D5" s="2" t="s">
        <v>71</v>
      </c>
      <c r="E5" s="1" t="n">
        <v>8</v>
      </c>
      <c r="F5" s="2" t="s">
        <v>720</v>
      </c>
    </row>
    <row r="6" customFormat="false" ht="12.8" hidden="false" customHeight="false" outlineLevel="0" collapsed="false">
      <c r="A6" s="1" t="n">
        <f aca="false">ROW(A6)-3</f>
        <v>3</v>
      </c>
      <c r="B6" s="2" t="s">
        <v>723</v>
      </c>
      <c r="C6" s="1" t="s">
        <v>724</v>
      </c>
      <c r="D6" s="2" t="s">
        <v>432</v>
      </c>
      <c r="E6" s="1" t="n">
        <v>6</v>
      </c>
      <c r="F6" s="2" t="s">
        <v>725</v>
      </c>
    </row>
    <row r="7" customFormat="false" ht="12.8" hidden="false" customHeight="false" outlineLevel="0" collapsed="false">
      <c r="A7" s="1" t="n">
        <f aca="false">ROW(A7)-3</f>
        <v>4</v>
      </c>
      <c r="B7" s="2" t="s">
        <v>726</v>
      </c>
      <c r="C7" s="1" t="s">
        <v>727</v>
      </c>
      <c r="D7" s="2" t="s">
        <v>471</v>
      </c>
      <c r="E7" s="1" t="n">
        <v>30</v>
      </c>
      <c r="F7" s="2" t="s">
        <v>728</v>
      </c>
    </row>
    <row r="8" customFormat="false" ht="12.8" hidden="false" customHeight="false" outlineLevel="0" collapsed="false">
      <c r="A8" s="1" t="n">
        <f aca="false">ROW(A8)-3</f>
        <v>5</v>
      </c>
      <c r="B8" s="2" t="s">
        <v>729</v>
      </c>
      <c r="C8" s="1" t="s">
        <v>730</v>
      </c>
      <c r="D8" s="2" t="s">
        <v>442</v>
      </c>
      <c r="E8" s="1" t="n">
        <v>10</v>
      </c>
      <c r="F8" s="2" t="s">
        <v>720</v>
      </c>
    </row>
    <row r="9" customFormat="false" ht="12.8" hidden="false" customHeight="false" outlineLevel="0" collapsed="false">
      <c r="A9" s="1" t="n">
        <f aca="false">ROW(A9)-3</f>
        <v>6</v>
      </c>
      <c r="B9" s="2" t="s">
        <v>731</v>
      </c>
      <c r="C9" s="1" t="s">
        <v>732</v>
      </c>
      <c r="D9" s="2" t="s">
        <v>503</v>
      </c>
      <c r="E9" s="1" t="n">
        <v>16</v>
      </c>
      <c r="F9" s="2" t="s">
        <v>733</v>
      </c>
    </row>
    <row r="10" customFormat="false" ht="12.8" hidden="false" customHeight="false" outlineLevel="0" collapsed="false">
      <c r="A10" s="1" t="n">
        <f aca="false">ROW(A10)-3</f>
        <v>7</v>
      </c>
      <c r="B10" s="2" t="s">
        <v>734</v>
      </c>
      <c r="C10" s="1" t="s">
        <v>735</v>
      </c>
      <c r="D10" s="2" t="s">
        <v>736</v>
      </c>
      <c r="E10" s="1" t="n">
        <v>10</v>
      </c>
      <c r="F10" s="2" t="s">
        <v>737</v>
      </c>
    </row>
    <row r="11" customFormat="false" ht="12.8" hidden="false" customHeight="false" outlineLevel="0" collapsed="false">
      <c r="A11" s="1" t="n">
        <f aca="false">ROW(A11)-3</f>
        <v>8</v>
      </c>
      <c r="B11" s="2" t="s">
        <v>738</v>
      </c>
      <c r="C11" s="1" t="s">
        <v>739</v>
      </c>
      <c r="D11" s="2" t="s">
        <v>628</v>
      </c>
      <c r="E11" s="1" t="n">
        <v>10</v>
      </c>
      <c r="F11" s="2" t="s">
        <v>737</v>
      </c>
    </row>
    <row r="12" customFormat="false" ht="12.8" hidden="false" customHeight="false" outlineLevel="0" collapsed="false">
      <c r="A12" s="1" t="n">
        <f aca="false">ROW(A12)-3</f>
        <v>9</v>
      </c>
      <c r="B12" s="2" t="s">
        <v>740</v>
      </c>
      <c r="C12" s="1" t="s">
        <v>741</v>
      </c>
      <c r="D12" s="2" t="s">
        <v>438</v>
      </c>
      <c r="E12" s="1" t="n">
        <v>10</v>
      </c>
      <c r="F12" s="2" t="s">
        <v>737</v>
      </c>
    </row>
    <row r="13" customFormat="false" ht="12.8" hidden="false" customHeight="false" outlineLevel="0" collapsed="false">
      <c r="A13" s="1" t="n">
        <f aca="false">ROW(A13)-3</f>
        <v>10</v>
      </c>
      <c r="B13" s="2" t="s">
        <v>742</v>
      </c>
      <c r="C13" s="1" t="s">
        <v>743</v>
      </c>
      <c r="D13" s="2" t="s">
        <v>582</v>
      </c>
      <c r="E13" s="1" t="n">
        <v>10</v>
      </c>
      <c r="F13" s="2" t="s">
        <v>737</v>
      </c>
    </row>
    <row r="14" customFormat="false" ht="12.8" hidden="false" customHeight="false" outlineLevel="0" collapsed="false">
      <c r="A14" s="1" t="n">
        <f aca="false">ROW(A14)-3</f>
        <v>11</v>
      </c>
      <c r="B14" s="2" t="s">
        <v>744</v>
      </c>
      <c r="C14" s="1" t="s">
        <v>745</v>
      </c>
      <c r="D14" s="2" t="s">
        <v>564</v>
      </c>
      <c r="E14" s="1" t="n">
        <v>10</v>
      </c>
      <c r="F14" s="2" t="s">
        <v>737</v>
      </c>
    </row>
    <row r="15" customFormat="false" ht="12.8" hidden="false" customHeight="false" outlineLevel="0" collapsed="false">
      <c r="A15" s="1" t="n">
        <f aca="false">ROW(A15)-3</f>
        <v>12</v>
      </c>
      <c r="B15" s="2" t="s">
        <v>746</v>
      </c>
      <c r="C15" s="1" t="s">
        <v>747</v>
      </c>
      <c r="D15" s="2" t="s">
        <v>748</v>
      </c>
      <c r="E15" s="1" t="n">
        <v>15</v>
      </c>
      <c r="F15" s="2" t="s">
        <v>748</v>
      </c>
    </row>
    <row r="16" customFormat="false" ht="12.8" hidden="false" customHeight="false" outlineLevel="0" collapsed="false">
      <c r="A16" s="1" t="n">
        <f aca="false">ROW(A16)-3</f>
        <v>13</v>
      </c>
      <c r="B16" s="2" t="s">
        <v>749</v>
      </c>
      <c r="C16" s="1" t="s">
        <v>750</v>
      </c>
      <c r="D16" s="2" t="s">
        <v>471</v>
      </c>
      <c r="E16" s="1" t="n">
        <v>30</v>
      </c>
      <c r="F16" s="2" t="s">
        <v>728</v>
      </c>
      <c r="G16" s="2" t="s">
        <v>435</v>
      </c>
      <c r="H16" s="2" t="s">
        <v>436</v>
      </c>
      <c r="I16" s="2" t="s">
        <v>751</v>
      </c>
      <c r="J16" s="2" t="s">
        <v>751</v>
      </c>
      <c r="K16" s="2" t="s">
        <v>751</v>
      </c>
      <c r="L16" s="2" t="s">
        <v>736</v>
      </c>
      <c r="M16" s="1" t="n">
        <v>15</v>
      </c>
      <c r="N16" s="1" t="n">
        <v>1</v>
      </c>
      <c r="O16" s="1" t="n">
        <v>1</v>
      </c>
      <c r="P16" s="2" t="s">
        <v>435</v>
      </c>
      <c r="Q16" s="2" t="s">
        <v>436</v>
      </c>
      <c r="R16" s="2" t="s">
        <v>751</v>
      </c>
      <c r="S16" s="2" t="s">
        <v>751</v>
      </c>
      <c r="T16" s="2" t="s">
        <v>751</v>
      </c>
      <c r="U16" s="2" t="s">
        <v>438</v>
      </c>
      <c r="V16" s="1" t="n">
        <v>15</v>
      </c>
      <c r="W16" s="1" t="n">
        <v>1</v>
      </c>
      <c r="X16" s="1" t="n">
        <v>1</v>
      </c>
      <c r="Y16" s="2" t="s">
        <v>453</v>
      </c>
      <c r="Z16" s="2" t="s">
        <v>436</v>
      </c>
    </row>
    <row r="17" customFormat="false" ht="12.8" hidden="false" customHeight="false" outlineLevel="0" collapsed="false">
      <c r="A17" s="1" t="n">
        <f aca="false">ROW(A17)-3</f>
        <v>14</v>
      </c>
      <c r="B17" s="2" t="s">
        <v>752</v>
      </c>
      <c r="C17" s="1" t="s">
        <v>753</v>
      </c>
      <c r="D17" s="2" t="s">
        <v>625</v>
      </c>
      <c r="E17" s="1" t="n">
        <v>16</v>
      </c>
      <c r="F17" s="2" t="s">
        <v>728</v>
      </c>
      <c r="G17" s="2" t="s">
        <v>435</v>
      </c>
      <c r="H17" s="2" t="s">
        <v>436</v>
      </c>
      <c r="I17" s="2" t="s">
        <v>469</v>
      </c>
      <c r="J17" s="2" t="s">
        <v>754</v>
      </c>
      <c r="K17" s="1" t="n">
        <v>115</v>
      </c>
      <c r="L17" s="2" t="s">
        <v>625</v>
      </c>
      <c r="M17" s="1" t="n">
        <v>30</v>
      </c>
      <c r="N17" s="1" t="n">
        <v>1</v>
      </c>
      <c r="O17" s="1" t="n">
        <v>1</v>
      </c>
      <c r="P17" s="2" t="s">
        <v>453</v>
      </c>
      <c r="Q17" s="2" t="s">
        <v>436</v>
      </c>
      <c r="R17" s="2" t="s">
        <v>751</v>
      </c>
      <c r="S17" s="2" t="s">
        <v>751</v>
      </c>
      <c r="T17" s="2" t="s">
        <v>751</v>
      </c>
      <c r="U17" s="2" t="s">
        <v>456</v>
      </c>
      <c r="V17" s="1" t="n">
        <v>12</v>
      </c>
      <c r="W17" s="1" t="n">
        <v>1</v>
      </c>
      <c r="X17" s="1" t="n">
        <v>1</v>
      </c>
    </row>
    <row r="18" customFormat="false" ht="12.8" hidden="false" customHeight="false" outlineLevel="0" collapsed="false">
      <c r="A18" s="1" t="n">
        <f aca="false">ROW(A18)-3</f>
        <v>15</v>
      </c>
      <c r="B18" s="2" t="s">
        <v>755</v>
      </c>
      <c r="C18" s="1" t="s">
        <v>756</v>
      </c>
      <c r="D18" s="2" t="s">
        <v>442</v>
      </c>
      <c r="E18" s="1" t="n">
        <v>10</v>
      </c>
      <c r="F18" s="2" t="s">
        <v>251</v>
      </c>
      <c r="G18" s="2" t="s">
        <v>453</v>
      </c>
      <c r="H18" s="2" t="s">
        <v>468</v>
      </c>
      <c r="I18" s="2" t="s">
        <v>751</v>
      </c>
      <c r="J18" s="2" t="s">
        <v>751</v>
      </c>
      <c r="K18" s="2" t="s">
        <v>751</v>
      </c>
      <c r="L18" s="2" t="s">
        <v>448</v>
      </c>
      <c r="M18" s="1" t="n">
        <v>8</v>
      </c>
      <c r="N18" s="1" t="n">
        <v>1</v>
      </c>
      <c r="O18" s="1" t="n">
        <v>3</v>
      </c>
    </row>
    <row r="19" customFormat="false" ht="12.8" hidden="false" customHeight="false" outlineLevel="0" collapsed="false">
      <c r="A19" s="1" t="n">
        <f aca="false">ROW(A19)-3</f>
        <v>16</v>
      </c>
      <c r="B19" s="2" t="s">
        <v>757</v>
      </c>
      <c r="C19" s="1" t="s">
        <v>758</v>
      </c>
      <c r="D19" s="2" t="s">
        <v>469</v>
      </c>
      <c r="E19" s="1" t="n">
        <v>8</v>
      </c>
      <c r="F19" s="2" t="s">
        <v>728</v>
      </c>
      <c r="G19" s="2" t="s">
        <v>453</v>
      </c>
      <c r="H19" s="2" t="s">
        <v>436</v>
      </c>
      <c r="I19" s="2" t="s">
        <v>751</v>
      </c>
      <c r="J19" s="2" t="s">
        <v>751</v>
      </c>
      <c r="K19" s="2" t="s">
        <v>751</v>
      </c>
      <c r="L19" s="2" t="s">
        <v>471</v>
      </c>
      <c r="M19" s="1" t="n">
        <v>45</v>
      </c>
      <c r="N19" s="1" t="n">
        <v>1</v>
      </c>
      <c r="O19" s="1" t="n">
        <v>1</v>
      </c>
      <c r="P19" s="2" t="s">
        <v>453</v>
      </c>
      <c r="Q19" s="2" t="s">
        <v>436</v>
      </c>
      <c r="R19" s="2" t="s">
        <v>751</v>
      </c>
      <c r="S19" s="2" t="s">
        <v>751</v>
      </c>
      <c r="T19" s="2" t="s">
        <v>751</v>
      </c>
      <c r="U19" s="2" t="s">
        <v>628</v>
      </c>
      <c r="V19" s="1" t="n">
        <v>25</v>
      </c>
      <c r="W19" s="1" t="n">
        <v>1</v>
      </c>
      <c r="X19" s="1" t="n">
        <v>1</v>
      </c>
    </row>
    <row r="20" customFormat="false" ht="12.8" hidden="false" customHeight="false" outlineLevel="0" collapsed="false">
      <c r="A20" s="1" t="n">
        <f aca="false">ROW(A20)-3</f>
        <v>17</v>
      </c>
      <c r="B20" s="2" t="s">
        <v>759</v>
      </c>
      <c r="C20" s="1" t="s">
        <v>760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&amp;C&amp;"Arial,標準"&amp;A</oddHeader>
    <oddFooter>&amp;C&amp;"Arial,標準"ページ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FD71"/>
  <sheetViews>
    <sheetView showFormulas="false" showGridLines="true" showRowColHeaders="true" showZeros="true" rightToLeft="false" tabSelected="false" showOutlineSymbols="true" defaultGridColor="true" view="normal" topLeftCell="A25" colorId="64" zoomScale="90" zoomScaleNormal="90" zoomScalePageLayoutView="100" workbookViewId="0">
      <selection pane="topLeft" activeCell="D71" activeCellId="0" sqref="D71"/>
    </sheetView>
  </sheetViews>
  <sheetFormatPr defaultColWidth="12.8046875" defaultRowHeight="12.8" customHeight="true" zeroHeight="false" outlineLevelRow="0" outlineLevelCol="0"/>
  <cols>
    <col collapsed="false" customWidth="true" hidden="false" outlineLevel="0" max="1" min="1" style="1" width="3.3"/>
    <col collapsed="false" customWidth="true" hidden="false" outlineLevel="0" max="4" min="3" style="1" width="8.98"/>
    <col collapsed="false" customWidth="true" hidden="false" outlineLevel="0" max="6" min="6" style="1" width="8.32"/>
    <col collapsed="false" customWidth="true" hidden="false" outlineLevel="0" max="7" min="7" style="1" width="11.32"/>
    <col collapsed="false" customWidth="true" hidden="false" outlineLevel="0" max="8" min="8" style="1" width="10.15"/>
    <col collapsed="false" customWidth="true" hidden="false" outlineLevel="0" max="9" min="9" style="1" width="5.68"/>
    <col collapsed="false" customWidth="true" hidden="false" outlineLevel="0" max="10" min="10" style="1" width="7.98"/>
    <col collapsed="false" customWidth="true" hidden="false" outlineLevel="0" max="11" min="11" style="1" width="7.31"/>
    <col collapsed="false" customWidth="true" hidden="false" outlineLevel="0" max="13" min="13" style="1" width="7.31"/>
    <col collapsed="false" customWidth="true" hidden="false" outlineLevel="0" max="15" min="15" style="1" width="8.15"/>
    <col collapsed="false" customWidth="true" hidden="false" outlineLevel="0" max="17" min="17" style="1" width="7.48"/>
    <col collapsed="false" customWidth="true" hidden="false" outlineLevel="0" max="18" min="18" style="1" width="7.31"/>
    <col collapsed="false" customWidth="true" hidden="false" outlineLevel="0" max="20" min="20" style="1" width="8.15"/>
    <col collapsed="false" customWidth="true" hidden="false" outlineLevel="0" max="21" min="21" style="1" width="12.66"/>
    <col collapsed="false" customWidth="true" hidden="false" outlineLevel="0" max="23" min="23" style="1" width="6.14"/>
    <col collapsed="false" customWidth="true" hidden="false" outlineLevel="0" max="24" min="24" style="1" width="9.65"/>
    <col collapsed="false" customWidth="true" hidden="false" outlineLevel="0" max="25" min="25" style="1" width="5.81"/>
    <col collapsed="false" customWidth="true" hidden="false" outlineLevel="0" max="32" min="26" style="1" width="8.32"/>
    <col collapsed="false" customWidth="true" hidden="false" outlineLevel="0" max="36" min="33" style="1" width="10.49"/>
    <col collapsed="false" customWidth="true" hidden="false" outlineLevel="0" max="37" min="37" style="1" width="9.99"/>
    <col collapsed="false" customWidth="true" hidden="false" outlineLevel="0" max="39" min="38" style="1" width="10.49"/>
    <col collapsed="false" customWidth="true" hidden="false" outlineLevel="0" max="40" min="40" style="1" width="5.31"/>
  </cols>
  <sheetData>
    <row r="1" customFormat="false" ht="12.8" hidden="false" customHeight="false" outlineLevel="0" collapsed="false">
      <c r="B1" s="1" t="s">
        <v>761</v>
      </c>
      <c r="K1" s="1" t="s">
        <v>436</v>
      </c>
      <c r="L1" s="1" t="s">
        <v>435</v>
      </c>
      <c r="M1" s="1" t="s">
        <v>445</v>
      </c>
      <c r="N1" s="1" t="s">
        <v>762</v>
      </c>
      <c r="P1" s="1" t="s">
        <v>763</v>
      </c>
      <c r="R1" s="1" t="s">
        <v>445</v>
      </c>
      <c r="S1" s="1" t="s">
        <v>762</v>
      </c>
      <c r="U1" s="1" t="s">
        <v>763</v>
      </c>
    </row>
    <row r="2" customFormat="false" ht="12.8" hidden="false" customHeight="false" outlineLevel="0" collapsed="false">
      <c r="B2" s="1" t="s">
        <v>764</v>
      </c>
      <c r="K2" s="1" t="s">
        <v>468</v>
      </c>
      <c r="L2" s="1" t="s">
        <v>453</v>
      </c>
      <c r="M2" s="1" t="s">
        <v>420</v>
      </c>
      <c r="N2" s="1" t="s">
        <v>765</v>
      </c>
      <c r="P2" s="1" t="s">
        <v>237</v>
      </c>
      <c r="R2" s="1" t="s">
        <v>420</v>
      </c>
      <c r="S2" s="1" t="s">
        <v>765</v>
      </c>
      <c r="U2" s="1" t="s">
        <v>237</v>
      </c>
    </row>
    <row r="3" customFormat="false" ht="12.8" hidden="false" customHeight="false" outlineLevel="0" collapsed="false">
      <c r="B3" s="1" t="s">
        <v>766</v>
      </c>
      <c r="K3" s="1" t="s">
        <v>674</v>
      </c>
      <c r="L3" s="1" t="s">
        <v>420</v>
      </c>
      <c r="M3" s="1" t="s">
        <v>674</v>
      </c>
      <c r="N3" s="1" t="s">
        <v>767</v>
      </c>
      <c r="P3" s="1" t="s">
        <v>768</v>
      </c>
      <c r="R3" s="1" t="s">
        <v>674</v>
      </c>
      <c r="S3" s="1" t="s">
        <v>767</v>
      </c>
      <c r="U3" s="1" t="s">
        <v>768</v>
      </c>
    </row>
    <row r="4" customFormat="false" ht="12.8" hidden="false" customHeight="false" outlineLevel="0" collapsed="false">
      <c r="B4" s="1" t="s">
        <v>769</v>
      </c>
    </row>
    <row r="5" customFormat="false" ht="12.8" hidden="false" customHeight="false" outlineLevel="0" collapsed="false">
      <c r="B5" s="1" t="s">
        <v>445</v>
      </c>
    </row>
    <row r="6" s="21" customFormat="true" ht="12.8" hidden="false" customHeight="false" outlineLevel="0" collapsed="false">
      <c r="A6" s="21" t="s">
        <v>230</v>
      </c>
      <c r="B6" s="21" t="s">
        <v>770</v>
      </c>
      <c r="C6" s="21" t="s">
        <v>771</v>
      </c>
      <c r="D6" s="21" t="s">
        <v>772</v>
      </c>
      <c r="E6" s="21" t="s">
        <v>415</v>
      </c>
      <c r="F6" s="21" t="s">
        <v>710</v>
      </c>
      <c r="G6" s="21" t="s">
        <v>773</v>
      </c>
      <c r="H6" s="21" t="s">
        <v>774</v>
      </c>
      <c r="I6" s="21" t="s">
        <v>416</v>
      </c>
      <c r="J6" s="21" t="s">
        <v>417</v>
      </c>
      <c r="K6" s="21" t="s">
        <v>419</v>
      </c>
      <c r="L6" s="21" t="s">
        <v>775</v>
      </c>
      <c r="M6" s="21" t="s">
        <v>776</v>
      </c>
      <c r="N6" s="21" t="s">
        <v>714</v>
      </c>
      <c r="O6" s="21" t="s">
        <v>777</v>
      </c>
      <c r="P6" s="21" t="s">
        <v>778</v>
      </c>
      <c r="Q6" s="21" t="s">
        <v>779</v>
      </c>
      <c r="R6" s="21" t="s">
        <v>776</v>
      </c>
      <c r="S6" s="21" t="s">
        <v>714</v>
      </c>
      <c r="T6" s="21" t="s">
        <v>777</v>
      </c>
      <c r="U6" s="21" t="s">
        <v>778</v>
      </c>
      <c r="V6" s="21" t="s">
        <v>780</v>
      </c>
      <c r="W6" s="21" t="s">
        <v>776</v>
      </c>
      <c r="X6" s="21" t="s">
        <v>781</v>
      </c>
      <c r="Y6" s="21" t="s">
        <v>782</v>
      </c>
      <c r="Z6" s="21" t="s">
        <v>783</v>
      </c>
      <c r="AA6" s="21" t="s">
        <v>784</v>
      </c>
      <c r="AB6" s="21" t="s">
        <v>785</v>
      </c>
      <c r="AC6" s="21" t="s">
        <v>786</v>
      </c>
      <c r="AD6" s="21" t="s">
        <v>787</v>
      </c>
      <c r="AE6" s="21" t="s">
        <v>788</v>
      </c>
      <c r="AF6" s="21" t="s">
        <v>789</v>
      </c>
      <c r="AG6" s="21" t="s">
        <v>790</v>
      </c>
      <c r="AH6" s="21" t="s">
        <v>791</v>
      </c>
      <c r="AI6" s="21" t="s">
        <v>792</v>
      </c>
      <c r="AJ6" s="21" t="s">
        <v>793</v>
      </c>
      <c r="AK6" s="21" t="s">
        <v>794</v>
      </c>
      <c r="AL6" s="21" t="s">
        <v>795</v>
      </c>
      <c r="AM6" s="21" t="s">
        <v>796</v>
      </c>
      <c r="AN6" s="21" t="s">
        <v>16</v>
      </c>
      <c r="XFC6" s="1"/>
      <c r="XFD6" s="1"/>
    </row>
    <row r="7" customFormat="false" ht="12.8" hidden="false" customHeight="false" outlineLevel="0" collapsed="false">
      <c r="A7" s="1" t="n">
        <f aca="false">ROW(A7)-ROW(A7)</f>
        <v>0</v>
      </c>
      <c r="B7" s="1" t="s">
        <v>761</v>
      </c>
      <c r="C7" s="1" t="n">
        <v>0</v>
      </c>
      <c r="E7" s="1" t="s">
        <v>797</v>
      </c>
      <c r="F7" s="1" t="s">
        <v>798</v>
      </c>
      <c r="H7" s="1" t="n">
        <v>0</v>
      </c>
      <c r="I7" s="16" t="s">
        <v>799</v>
      </c>
      <c r="J7" s="22" t="b">
        <f aca="false">FALSE()</f>
        <v>0</v>
      </c>
      <c r="K7" s="1" t="s">
        <v>436</v>
      </c>
      <c r="L7" s="1" t="s">
        <v>435</v>
      </c>
      <c r="M7" s="1" t="s">
        <v>445</v>
      </c>
      <c r="N7" s="1" t="s">
        <v>711</v>
      </c>
      <c r="O7" s="1" t="s">
        <v>446</v>
      </c>
      <c r="P7" s="1" t="s">
        <v>800</v>
      </c>
      <c r="Q7" s="1" t="s">
        <v>801</v>
      </c>
      <c r="R7" s="1" t="s">
        <v>445</v>
      </c>
      <c r="S7" s="1" t="s">
        <v>802</v>
      </c>
      <c r="T7" s="1" t="s">
        <v>646</v>
      </c>
      <c r="U7" s="1" t="n">
        <v>3</v>
      </c>
      <c r="V7" s="1" t="s">
        <v>803</v>
      </c>
      <c r="Z7" s="1" t="n">
        <v>32</v>
      </c>
      <c r="AA7" s="1" t="n">
        <v>37.3</v>
      </c>
      <c r="AB7" s="1" t="n">
        <v>42.6</v>
      </c>
      <c r="AC7" s="1" t="n">
        <v>48</v>
      </c>
      <c r="AD7" s="1" t="n">
        <v>53.3</v>
      </c>
      <c r="AE7" s="1" t="n">
        <v>58.6</v>
      </c>
      <c r="AF7" s="1" t="n">
        <v>64</v>
      </c>
    </row>
    <row r="8" customFormat="false" ht="12.8" hidden="false" customHeight="false" outlineLevel="0" collapsed="false">
      <c r="A8" s="1" t="n">
        <f aca="false">A7+1</f>
        <v>1</v>
      </c>
      <c r="B8" s="1" t="s">
        <v>764</v>
      </c>
      <c r="C8" s="1" t="n">
        <v>0</v>
      </c>
      <c r="E8" s="1" t="s">
        <v>804</v>
      </c>
      <c r="F8" s="1" t="s">
        <v>798</v>
      </c>
      <c r="H8" s="1" t="n">
        <v>0</v>
      </c>
      <c r="J8" s="1" t="b">
        <f aca="false">FALSE()</f>
        <v>0</v>
      </c>
      <c r="K8" s="1" t="s">
        <v>436</v>
      </c>
      <c r="L8" s="1" t="s">
        <v>435</v>
      </c>
      <c r="M8" s="1" t="s">
        <v>445</v>
      </c>
      <c r="N8" s="1" t="s">
        <v>711</v>
      </c>
      <c r="O8" s="1" t="s">
        <v>446</v>
      </c>
      <c r="P8" s="1" t="s">
        <v>805</v>
      </c>
    </row>
    <row r="9" customFormat="false" ht="12.8" hidden="false" customHeight="false" outlineLevel="0" collapsed="false">
      <c r="A9" s="1" t="n">
        <f aca="false">A8+1</f>
        <v>2</v>
      </c>
      <c r="B9" s="1" t="s">
        <v>761</v>
      </c>
      <c r="C9" s="1" t="n">
        <v>1</v>
      </c>
      <c r="E9" s="1" t="s">
        <v>806</v>
      </c>
      <c r="F9" s="1" t="s">
        <v>798</v>
      </c>
      <c r="H9" s="1" t="n">
        <v>1</v>
      </c>
      <c r="J9" s="1" t="b">
        <f aca="false">TRUE()</f>
        <v>1</v>
      </c>
      <c r="K9" s="1" t="s">
        <v>436</v>
      </c>
      <c r="L9" s="1" t="s">
        <v>435</v>
      </c>
      <c r="M9" s="1" t="s">
        <v>445</v>
      </c>
      <c r="N9" s="1" t="s">
        <v>711</v>
      </c>
      <c r="O9" s="1" t="s">
        <v>446</v>
      </c>
      <c r="P9" s="1" t="s">
        <v>800</v>
      </c>
      <c r="V9" s="1" t="s">
        <v>448</v>
      </c>
      <c r="Z9" s="1" t="n">
        <v>25</v>
      </c>
      <c r="AA9" s="1" t="n">
        <v>29.1</v>
      </c>
      <c r="AB9" s="1" t="n">
        <v>33.3</v>
      </c>
      <c r="AC9" s="1" t="n">
        <v>37.5</v>
      </c>
      <c r="AD9" s="1" t="n">
        <v>41.6</v>
      </c>
      <c r="AE9" s="1" t="n">
        <v>45.8</v>
      </c>
      <c r="AF9" s="1" t="n">
        <v>50</v>
      </c>
    </row>
    <row r="10" customFormat="false" ht="12.8" hidden="false" customHeight="false" outlineLevel="0" collapsed="false">
      <c r="A10" s="1" t="n">
        <f aca="false">A9+1</f>
        <v>3</v>
      </c>
      <c r="B10" s="1" t="s">
        <v>764</v>
      </c>
      <c r="C10" s="1" t="n">
        <v>1</v>
      </c>
      <c r="E10" s="1" t="s">
        <v>807</v>
      </c>
      <c r="F10" s="1" t="s">
        <v>798</v>
      </c>
      <c r="H10" s="1" t="n">
        <v>2</v>
      </c>
      <c r="J10" s="1" t="b">
        <f aca="false">TRUE()</f>
        <v>1</v>
      </c>
      <c r="K10" s="1" t="s">
        <v>436</v>
      </c>
      <c r="L10" s="1" t="s">
        <v>420</v>
      </c>
      <c r="M10" s="1" t="s">
        <v>445</v>
      </c>
      <c r="N10" s="1" t="s">
        <v>711</v>
      </c>
      <c r="O10" s="1" t="s">
        <v>446</v>
      </c>
      <c r="P10" s="1" t="s">
        <v>514</v>
      </c>
      <c r="V10" s="1" t="s">
        <v>448</v>
      </c>
      <c r="Z10" s="1" t="n">
        <v>50</v>
      </c>
    </row>
    <row r="11" customFormat="false" ht="12.8" hidden="false" customHeight="false" outlineLevel="0" collapsed="false">
      <c r="A11" s="1" t="n">
        <f aca="false">A10+1</f>
        <v>4</v>
      </c>
      <c r="B11" s="1" t="s">
        <v>761</v>
      </c>
      <c r="C11" s="1" t="n">
        <v>2</v>
      </c>
      <c r="E11" s="1" t="s">
        <v>808</v>
      </c>
      <c r="F11" s="1" t="s">
        <v>809</v>
      </c>
      <c r="H11" s="1" t="n">
        <v>1</v>
      </c>
      <c r="J11" s="1" t="b">
        <f aca="false">TRUE()</f>
        <v>1</v>
      </c>
      <c r="K11" s="1" t="s">
        <v>674</v>
      </c>
      <c r="L11" s="1" t="s">
        <v>453</v>
      </c>
      <c r="Z11" s="1" t="n">
        <v>20</v>
      </c>
      <c r="AA11" s="1" t="n">
        <v>25</v>
      </c>
      <c r="AB11" s="1" t="n">
        <v>30</v>
      </c>
      <c r="AC11" s="1" t="n">
        <v>34</v>
      </c>
      <c r="AD11" s="1" t="n">
        <v>36</v>
      </c>
      <c r="AE11" s="1" t="n">
        <v>38</v>
      </c>
      <c r="AF11" s="1" t="n">
        <v>40</v>
      </c>
    </row>
    <row r="12" customFormat="false" ht="12.8" hidden="false" customHeight="false" outlineLevel="0" collapsed="false">
      <c r="A12" s="1" t="n">
        <f aca="false">A11+1</f>
        <v>5</v>
      </c>
      <c r="B12" s="1" t="s">
        <v>764</v>
      </c>
      <c r="C12" s="1" t="n">
        <v>2</v>
      </c>
      <c r="E12" s="1" t="s">
        <v>810</v>
      </c>
      <c r="F12" s="1" t="s">
        <v>798</v>
      </c>
      <c r="H12" s="1" t="n">
        <v>1</v>
      </c>
      <c r="J12" s="1" t="b">
        <f aca="false">TRUE()</f>
        <v>1</v>
      </c>
      <c r="K12" s="1" t="s">
        <v>468</v>
      </c>
      <c r="L12" s="1" t="s">
        <v>420</v>
      </c>
      <c r="M12" s="1" t="s">
        <v>674</v>
      </c>
      <c r="N12" s="1" t="n">
        <f aca="false">A11</f>
        <v>4</v>
      </c>
      <c r="O12" s="1" t="s">
        <v>446</v>
      </c>
      <c r="P12" s="1" t="n">
        <v>1</v>
      </c>
      <c r="V12" s="1" t="s">
        <v>628</v>
      </c>
      <c r="Z12" s="1" t="n">
        <v>25</v>
      </c>
    </row>
    <row r="13" customFormat="false" ht="12.8" hidden="false" customHeight="false" outlineLevel="0" collapsed="false">
      <c r="A13" s="1" t="n">
        <f aca="false">A12+1</f>
        <v>6</v>
      </c>
      <c r="B13" s="1" t="s">
        <v>761</v>
      </c>
      <c r="C13" s="1" t="n">
        <v>3</v>
      </c>
      <c r="E13" s="1" t="s">
        <v>811</v>
      </c>
      <c r="F13" s="1" t="s">
        <v>798</v>
      </c>
      <c r="H13" s="1" t="n">
        <v>1</v>
      </c>
      <c r="J13" s="1" t="b">
        <f aca="false">TRUE()</f>
        <v>1</v>
      </c>
      <c r="K13" s="1" t="s">
        <v>436</v>
      </c>
      <c r="L13" s="1" t="s">
        <v>453</v>
      </c>
      <c r="V13" s="1" t="s">
        <v>448</v>
      </c>
      <c r="Z13" s="1" t="n">
        <v>30</v>
      </c>
      <c r="AA13" s="1" t="n">
        <v>35</v>
      </c>
      <c r="AB13" s="1" t="n">
        <v>40</v>
      </c>
      <c r="AC13" s="1" t="n">
        <v>45</v>
      </c>
      <c r="AD13" s="1" t="n">
        <v>50</v>
      </c>
      <c r="AE13" s="1" t="n">
        <v>55</v>
      </c>
      <c r="AF13" s="1" t="n">
        <v>60</v>
      </c>
    </row>
    <row r="14" customFormat="false" ht="12.8" hidden="false" customHeight="false" outlineLevel="0" collapsed="false">
      <c r="A14" s="1" t="n">
        <f aca="false">A13+1</f>
        <v>7</v>
      </c>
      <c r="B14" s="1" t="s">
        <v>764</v>
      </c>
      <c r="C14" s="1" t="n">
        <v>3</v>
      </c>
      <c r="E14" s="1" t="s">
        <v>812</v>
      </c>
      <c r="F14" s="1" t="s">
        <v>798</v>
      </c>
      <c r="H14" s="1" t="n">
        <v>2</v>
      </c>
      <c r="J14" s="1" t="b">
        <f aca="false">TRUE()</f>
        <v>1</v>
      </c>
      <c r="K14" s="1" t="s">
        <v>436</v>
      </c>
      <c r="L14" s="1" t="s">
        <v>420</v>
      </c>
      <c r="M14" s="1" t="s">
        <v>445</v>
      </c>
      <c r="N14" s="1" t="s">
        <v>563</v>
      </c>
      <c r="V14" s="1" t="s">
        <v>448</v>
      </c>
      <c r="Z14" s="1" t="n">
        <v>35</v>
      </c>
    </row>
    <row r="15" customFormat="false" ht="12.8" hidden="false" customHeight="false" outlineLevel="0" collapsed="false">
      <c r="A15" s="1" t="n">
        <f aca="false">A14+1</f>
        <v>8</v>
      </c>
      <c r="B15" s="1" t="s">
        <v>761</v>
      </c>
      <c r="C15" s="1" t="n">
        <v>4</v>
      </c>
      <c r="E15" s="1" t="s">
        <v>813</v>
      </c>
      <c r="F15" s="1" t="s">
        <v>798</v>
      </c>
      <c r="H15" s="1" t="n">
        <v>1</v>
      </c>
      <c r="J15" s="1" t="b">
        <f aca="false">TRUE()</f>
        <v>1</v>
      </c>
      <c r="K15" s="1" t="s">
        <v>436</v>
      </c>
      <c r="L15" s="1" t="s">
        <v>435</v>
      </c>
      <c r="M15" s="1" t="s">
        <v>445</v>
      </c>
      <c r="N15" s="1" t="s">
        <v>814</v>
      </c>
      <c r="V15" s="1" t="s">
        <v>448</v>
      </c>
      <c r="Z15" s="1" t="n">
        <v>35</v>
      </c>
      <c r="AA15" s="1" t="n">
        <v>40.8</v>
      </c>
      <c r="AB15" s="1" t="n">
        <v>46.6</v>
      </c>
      <c r="AC15" s="1" t="n">
        <v>52.5</v>
      </c>
      <c r="AD15" s="1" t="n">
        <v>58.3</v>
      </c>
      <c r="AE15" s="1" t="n">
        <v>64.1</v>
      </c>
      <c r="AF15" s="1" t="n">
        <v>70</v>
      </c>
    </row>
    <row r="16" customFormat="false" ht="12.8" hidden="false" customHeight="false" outlineLevel="0" collapsed="false">
      <c r="A16" s="1" t="n">
        <f aca="false">A15+1</f>
        <v>9</v>
      </c>
      <c r="B16" s="1" t="s">
        <v>764</v>
      </c>
      <c r="C16" s="1" t="n">
        <v>4</v>
      </c>
      <c r="E16" s="1" t="s">
        <v>815</v>
      </c>
      <c r="F16" s="1" t="s">
        <v>798</v>
      </c>
      <c r="H16" s="1" t="n">
        <v>1</v>
      </c>
      <c r="J16" s="1" t="b">
        <f aca="false">TRUE()</f>
        <v>1</v>
      </c>
      <c r="K16" s="1" t="s">
        <v>436</v>
      </c>
      <c r="L16" s="1" t="s">
        <v>435</v>
      </c>
      <c r="V16" s="1" t="s">
        <v>736</v>
      </c>
      <c r="Z16" s="1" t="n">
        <v>10</v>
      </c>
    </row>
    <row r="17" customFormat="false" ht="12.8" hidden="false" customHeight="false" outlineLevel="0" collapsed="false">
      <c r="A17" s="1" t="n">
        <f aca="false">A16+1</f>
        <v>10</v>
      </c>
      <c r="B17" s="1" t="s">
        <v>764</v>
      </c>
      <c r="C17" s="1" t="n">
        <v>4</v>
      </c>
      <c r="D17" s="1" t="n">
        <f aca="false">A16</f>
        <v>9</v>
      </c>
      <c r="F17" s="1" t="s">
        <v>798</v>
      </c>
      <c r="H17" s="1" t="n">
        <v>1</v>
      </c>
      <c r="J17" s="1" t="b">
        <f aca="false">TRUE()</f>
        <v>1</v>
      </c>
      <c r="K17" s="1" t="s">
        <v>436</v>
      </c>
      <c r="L17" s="1" t="s">
        <v>435</v>
      </c>
      <c r="M17" s="1" t="s">
        <v>674</v>
      </c>
      <c r="N17" s="1" t="s">
        <v>816</v>
      </c>
      <c r="O17" s="1" t="s">
        <v>446</v>
      </c>
      <c r="P17" s="1" t="b">
        <f aca="false">TRUE()</f>
        <v>1</v>
      </c>
      <c r="V17" s="1" t="s">
        <v>736</v>
      </c>
      <c r="Z17" s="1" t="n">
        <v>22.5</v>
      </c>
    </row>
    <row r="18" customFormat="false" ht="12.8" hidden="false" customHeight="false" outlineLevel="0" collapsed="false">
      <c r="A18" s="1" t="n">
        <f aca="false">A17+1</f>
        <v>11</v>
      </c>
      <c r="B18" s="1" t="s">
        <v>761</v>
      </c>
      <c r="C18" s="1" t="n">
        <v>5</v>
      </c>
      <c r="E18" s="1" t="s">
        <v>817</v>
      </c>
      <c r="F18" s="1" t="s">
        <v>798</v>
      </c>
      <c r="H18" s="1" t="n">
        <v>1</v>
      </c>
      <c r="J18" s="1" t="b">
        <f aca="false">TRUE()</f>
        <v>1</v>
      </c>
      <c r="K18" s="1" t="s">
        <v>436</v>
      </c>
      <c r="L18" s="1" t="s">
        <v>435</v>
      </c>
      <c r="M18" s="1" t="s">
        <v>445</v>
      </c>
      <c r="N18" s="1" t="s">
        <v>711</v>
      </c>
      <c r="O18" s="1" t="s">
        <v>446</v>
      </c>
      <c r="P18" s="1" t="s">
        <v>818</v>
      </c>
      <c r="V18" s="1" t="s">
        <v>448</v>
      </c>
      <c r="Z18" s="1" t="n">
        <v>18.7</v>
      </c>
      <c r="AA18" s="1" t="n">
        <v>21.8</v>
      </c>
      <c r="AB18" s="1" t="n">
        <v>25</v>
      </c>
      <c r="AC18" s="1" t="n">
        <v>28.1</v>
      </c>
      <c r="AD18" s="1" t="n">
        <v>31.2</v>
      </c>
      <c r="AE18" s="1" t="n">
        <v>34.3</v>
      </c>
      <c r="AF18" s="1" t="n">
        <v>37.5</v>
      </c>
    </row>
    <row r="19" customFormat="false" ht="12.8" hidden="false" customHeight="false" outlineLevel="0" collapsed="false">
      <c r="A19" s="1" t="n">
        <f aca="false">A18+1</f>
        <v>12</v>
      </c>
      <c r="B19" s="1" t="s">
        <v>764</v>
      </c>
      <c r="C19" s="1" t="n">
        <v>5</v>
      </c>
      <c r="E19" s="1" t="s">
        <v>819</v>
      </c>
      <c r="F19" s="1" t="s">
        <v>798</v>
      </c>
      <c r="H19" s="1" t="n">
        <v>1</v>
      </c>
      <c r="J19" s="1" t="b">
        <f aca="false">TRUE()</f>
        <v>1</v>
      </c>
      <c r="K19" s="1" t="s">
        <v>436</v>
      </c>
      <c r="L19" s="1" t="s">
        <v>435</v>
      </c>
      <c r="M19" s="1" t="s">
        <v>674</v>
      </c>
      <c r="N19" s="1" t="s">
        <v>816</v>
      </c>
      <c r="O19" s="1" t="s">
        <v>446</v>
      </c>
      <c r="P19" s="1" t="b">
        <f aca="false">TRUE()</f>
        <v>1</v>
      </c>
      <c r="V19" s="1" t="s">
        <v>448</v>
      </c>
      <c r="Z19" s="1" t="n">
        <v>35</v>
      </c>
    </row>
    <row r="20" customFormat="false" ht="12.8" hidden="false" customHeight="false" outlineLevel="0" collapsed="false">
      <c r="A20" s="1" t="n">
        <f aca="false">A19+1</f>
        <v>13</v>
      </c>
      <c r="B20" s="1" t="s">
        <v>761</v>
      </c>
      <c r="C20" s="1" t="n">
        <v>6</v>
      </c>
      <c r="E20" s="1" t="s">
        <v>820</v>
      </c>
      <c r="F20" s="1" t="s">
        <v>798</v>
      </c>
      <c r="H20" s="1" t="n">
        <v>1</v>
      </c>
      <c r="J20" s="1" t="b">
        <f aca="false">TRUE()</f>
        <v>1</v>
      </c>
      <c r="K20" s="1" t="s">
        <v>436</v>
      </c>
      <c r="L20" s="1" t="s">
        <v>435</v>
      </c>
      <c r="M20" s="1" t="s">
        <v>445</v>
      </c>
      <c r="N20" s="1" t="s">
        <v>710</v>
      </c>
      <c r="O20" s="1" t="s">
        <v>446</v>
      </c>
      <c r="P20" s="1" t="s">
        <v>265</v>
      </c>
      <c r="V20" s="1" t="s">
        <v>448</v>
      </c>
      <c r="Z20" s="1" t="n">
        <v>12</v>
      </c>
      <c r="AA20" s="1" t="n">
        <v>14</v>
      </c>
      <c r="AB20" s="1" t="n">
        <v>16</v>
      </c>
      <c r="AC20" s="1" t="n">
        <v>18</v>
      </c>
      <c r="AD20" s="1" t="n">
        <v>20</v>
      </c>
      <c r="AE20" s="1" t="n">
        <v>22</v>
      </c>
      <c r="AF20" s="1" t="n">
        <v>24</v>
      </c>
    </row>
    <row r="21" customFormat="false" ht="12.8" hidden="false" customHeight="false" outlineLevel="0" collapsed="false">
      <c r="A21" s="1" t="n">
        <f aca="false">A20+1</f>
        <v>14</v>
      </c>
      <c r="B21" s="1" t="s">
        <v>761</v>
      </c>
      <c r="C21" s="1" t="n">
        <v>6</v>
      </c>
      <c r="D21" s="1" t="n">
        <f aca="false">A20</f>
        <v>13</v>
      </c>
      <c r="F21" s="1" t="s">
        <v>798</v>
      </c>
      <c r="H21" s="1" t="n">
        <v>1</v>
      </c>
      <c r="J21" s="1" t="b">
        <f aca="false">TRUE()</f>
        <v>1</v>
      </c>
      <c r="K21" s="1" t="s">
        <v>436</v>
      </c>
      <c r="L21" s="1" t="s">
        <v>435</v>
      </c>
      <c r="M21" s="1" t="s">
        <v>445</v>
      </c>
      <c r="N21" s="1" t="s">
        <v>710</v>
      </c>
      <c r="O21" s="1" t="s">
        <v>446</v>
      </c>
      <c r="P21" s="1" t="s">
        <v>265</v>
      </c>
      <c r="V21" s="1" t="s">
        <v>448</v>
      </c>
      <c r="Z21" s="1" t="n">
        <v>20</v>
      </c>
      <c r="AA21" s="1" t="n">
        <v>23.3</v>
      </c>
      <c r="AB21" s="1" t="n">
        <v>26.6</v>
      </c>
      <c r="AC21" s="1" t="n">
        <v>30</v>
      </c>
      <c r="AD21" s="1" t="n">
        <v>33.3</v>
      </c>
      <c r="AE21" s="1" t="n">
        <v>36.6</v>
      </c>
      <c r="AF21" s="1" t="n">
        <v>40</v>
      </c>
    </row>
    <row r="22" customFormat="false" ht="12.8" hidden="false" customHeight="false" outlineLevel="0" collapsed="false">
      <c r="A22" s="1" t="n">
        <f aca="false">A21+1</f>
        <v>15</v>
      </c>
      <c r="B22" s="1" t="s">
        <v>764</v>
      </c>
      <c r="C22" s="1" t="n">
        <v>6</v>
      </c>
      <c r="E22" s="1" t="s">
        <v>821</v>
      </c>
      <c r="F22" s="1" t="s">
        <v>798</v>
      </c>
      <c r="H22" s="1" t="n">
        <v>0</v>
      </c>
      <c r="J22" s="1" t="b">
        <f aca="false">FALSE()</f>
        <v>0</v>
      </c>
    </row>
    <row r="23" customFormat="false" ht="12.8" hidden="false" customHeight="false" outlineLevel="0" collapsed="false">
      <c r="A23" s="1" t="n">
        <f aca="false">A22+1</f>
        <v>16</v>
      </c>
      <c r="B23" s="1" t="s">
        <v>761</v>
      </c>
      <c r="C23" s="1" t="n">
        <v>7</v>
      </c>
      <c r="E23" s="1" t="s">
        <v>822</v>
      </c>
      <c r="F23" s="1" t="s">
        <v>798</v>
      </c>
      <c r="H23" s="1" t="n">
        <v>1</v>
      </c>
      <c r="J23" s="1" t="b">
        <f aca="false">TRUE()</f>
        <v>1</v>
      </c>
      <c r="K23" s="1" t="s">
        <v>436</v>
      </c>
      <c r="L23" s="1" t="s">
        <v>435</v>
      </c>
      <c r="V23" s="1" t="s">
        <v>442</v>
      </c>
      <c r="W23" s="1" t="s">
        <v>95</v>
      </c>
      <c r="Z23" s="1" t="n">
        <v>40</v>
      </c>
      <c r="AA23" s="1" t="n">
        <v>46</v>
      </c>
      <c r="AB23" s="1" t="n">
        <v>52</v>
      </c>
      <c r="AC23" s="1" t="n">
        <v>60</v>
      </c>
      <c r="AD23" s="1" t="n">
        <v>66</v>
      </c>
      <c r="AE23" s="1" t="n">
        <v>72</v>
      </c>
      <c r="AF23" s="1" t="n">
        <v>80</v>
      </c>
    </row>
    <row r="24" customFormat="false" ht="12.8" hidden="false" customHeight="false" outlineLevel="0" collapsed="false">
      <c r="A24" s="1" t="n">
        <f aca="false">A23+1</f>
        <v>17</v>
      </c>
      <c r="B24" s="1" t="s">
        <v>761</v>
      </c>
      <c r="C24" s="1" t="n">
        <v>7</v>
      </c>
      <c r="D24" s="1" t="n">
        <f aca="false">A23</f>
        <v>16</v>
      </c>
      <c r="F24" s="1" t="s">
        <v>798</v>
      </c>
      <c r="H24" s="1" t="n">
        <v>1</v>
      </c>
      <c r="J24" s="1" t="b">
        <f aca="false">FALSE()</f>
        <v>0</v>
      </c>
      <c r="K24" s="1" t="s">
        <v>468</v>
      </c>
      <c r="L24" s="1" t="s">
        <v>453</v>
      </c>
      <c r="V24" s="1" t="s">
        <v>748</v>
      </c>
      <c r="Z24" s="1" t="n">
        <v>15</v>
      </c>
      <c r="AA24" s="1" t="n">
        <v>17.5</v>
      </c>
      <c r="AB24" s="1" t="n">
        <v>20</v>
      </c>
      <c r="AC24" s="1" t="n">
        <v>22.5</v>
      </c>
      <c r="AD24" s="1" t="n">
        <v>25</v>
      </c>
      <c r="AE24" s="1" t="n">
        <v>27.5</v>
      </c>
      <c r="AF24" s="1" t="n">
        <v>30</v>
      </c>
    </row>
    <row r="25" customFormat="false" ht="12.8" hidden="false" customHeight="false" outlineLevel="0" collapsed="false">
      <c r="A25" s="1" t="n">
        <f aca="false">A24+1</f>
        <v>18</v>
      </c>
      <c r="B25" s="1" t="s">
        <v>764</v>
      </c>
      <c r="C25" s="1" t="n">
        <v>7</v>
      </c>
      <c r="E25" s="1" t="s">
        <v>823</v>
      </c>
      <c r="F25" s="1" t="s">
        <v>798</v>
      </c>
      <c r="H25" s="1" t="n">
        <v>1</v>
      </c>
      <c r="J25" s="1" t="b">
        <f aca="false">TRUE()</f>
        <v>1</v>
      </c>
      <c r="K25" s="1" t="s">
        <v>468</v>
      </c>
      <c r="L25" s="1" t="s">
        <v>453</v>
      </c>
      <c r="M25" s="1" t="s">
        <v>420</v>
      </c>
      <c r="N25" s="1" t="n">
        <f aca="false">A24</f>
        <v>17</v>
      </c>
      <c r="O25" s="1" t="s">
        <v>446</v>
      </c>
      <c r="P25" s="1" t="n">
        <v>1</v>
      </c>
      <c r="V25" s="1" t="s">
        <v>456</v>
      </c>
      <c r="Z25" s="1" t="n">
        <v>16</v>
      </c>
    </row>
    <row r="26" customFormat="false" ht="12.8" hidden="false" customHeight="false" outlineLevel="0" collapsed="false">
      <c r="A26" s="1" t="n">
        <f aca="false">A25+1</f>
        <v>19</v>
      </c>
      <c r="B26" s="1" t="s">
        <v>761</v>
      </c>
      <c r="C26" s="1" t="n">
        <v>8</v>
      </c>
      <c r="E26" s="1" t="s">
        <v>824</v>
      </c>
      <c r="F26" s="1" t="s">
        <v>798</v>
      </c>
      <c r="H26" s="1" t="n">
        <v>1</v>
      </c>
      <c r="J26" s="1" t="b">
        <f aca="false">FALSE()</f>
        <v>0</v>
      </c>
      <c r="K26" s="1" t="s">
        <v>436</v>
      </c>
      <c r="L26" s="1" t="s">
        <v>453</v>
      </c>
      <c r="M26" s="1" t="s">
        <v>445</v>
      </c>
      <c r="N26" s="1" t="s">
        <v>711</v>
      </c>
      <c r="O26" s="1" t="s">
        <v>446</v>
      </c>
      <c r="P26" s="1" t="s">
        <v>563</v>
      </c>
      <c r="V26" s="1" t="s">
        <v>803</v>
      </c>
      <c r="Z26" s="1" t="n">
        <v>30</v>
      </c>
      <c r="AA26" s="1" t="n">
        <v>35</v>
      </c>
      <c r="AB26" s="1" t="n">
        <v>40</v>
      </c>
      <c r="AC26" s="1" t="n">
        <v>45</v>
      </c>
      <c r="AD26" s="1" t="n">
        <v>50</v>
      </c>
      <c r="AE26" s="1" t="n">
        <v>55</v>
      </c>
      <c r="AF26" s="1" t="n">
        <v>60</v>
      </c>
    </row>
    <row r="27" customFormat="false" ht="12.8" hidden="false" customHeight="false" outlineLevel="0" collapsed="false">
      <c r="A27" s="1" t="n">
        <f aca="false">A26+1</f>
        <v>20</v>
      </c>
      <c r="B27" s="1" t="s">
        <v>764</v>
      </c>
      <c r="C27" s="1" t="n">
        <v>8</v>
      </c>
      <c r="E27" s="1" t="s">
        <v>825</v>
      </c>
      <c r="F27" s="1" t="s">
        <v>798</v>
      </c>
      <c r="H27" s="1" t="n">
        <v>2</v>
      </c>
      <c r="J27" s="1" t="b">
        <f aca="false">TRUE()</f>
        <v>1</v>
      </c>
      <c r="K27" s="1" t="s">
        <v>674</v>
      </c>
      <c r="L27" s="1" t="s">
        <v>453</v>
      </c>
      <c r="M27" s="1" t="s">
        <v>674</v>
      </c>
      <c r="N27" s="1" t="s">
        <v>816</v>
      </c>
      <c r="O27" s="1" t="s">
        <v>446</v>
      </c>
      <c r="P27" s="1" t="b">
        <f aca="false">TRUE()</f>
        <v>1</v>
      </c>
      <c r="Q27" s="1" t="s">
        <v>801</v>
      </c>
      <c r="R27" s="1" t="s">
        <v>445</v>
      </c>
      <c r="S27" s="1" t="s">
        <v>711</v>
      </c>
      <c r="T27" s="1" t="s">
        <v>446</v>
      </c>
      <c r="U27" s="1" t="s">
        <v>826</v>
      </c>
      <c r="V27" s="1" t="s">
        <v>448</v>
      </c>
      <c r="Z27" s="1" t="n">
        <v>35</v>
      </c>
    </row>
    <row r="28" customFormat="false" ht="12.8" hidden="false" customHeight="false" outlineLevel="0" collapsed="false">
      <c r="A28" s="1" t="n">
        <f aca="false">A27+1</f>
        <v>21</v>
      </c>
      <c r="B28" s="1" t="s">
        <v>761</v>
      </c>
      <c r="C28" s="1" t="n">
        <v>9</v>
      </c>
      <c r="E28" s="1" t="s">
        <v>827</v>
      </c>
      <c r="F28" s="1" t="s">
        <v>798</v>
      </c>
      <c r="H28" s="1" t="n">
        <v>8</v>
      </c>
      <c r="J28" s="1" t="b">
        <f aca="false">FALSE()</f>
        <v>0</v>
      </c>
      <c r="K28" s="1" t="s">
        <v>436</v>
      </c>
      <c r="L28" s="1" t="s">
        <v>453</v>
      </c>
      <c r="M28" s="1" t="s">
        <v>445</v>
      </c>
      <c r="N28" s="1" t="s">
        <v>711</v>
      </c>
      <c r="O28" s="1" t="s">
        <v>446</v>
      </c>
      <c r="P28" s="1" t="s">
        <v>256</v>
      </c>
    </row>
    <row r="29" customFormat="false" ht="12.8" hidden="false" customHeight="false" outlineLevel="0" collapsed="false">
      <c r="A29" s="1" t="n">
        <f aca="false">A28+1</f>
        <v>22</v>
      </c>
      <c r="B29" s="1" t="s">
        <v>764</v>
      </c>
      <c r="C29" s="1" t="n">
        <v>9</v>
      </c>
      <c r="E29" s="1" t="s">
        <v>828</v>
      </c>
      <c r="F29" s="1" t="s">
        <v>809</v>
      </c>
      <c r="H29" s="1" t="n">
        <v>2</v>
      </c>
      <c r="J29" s="1" t="b">
        <f aca="false">FALSE()</f>
        <v>0</v>
      </c>
      <c r="K29" s="1" t="s">
        <v>674</v>
      </c>
      <c r="L29" s="1" t="s">
        <v>435</v>
      </c>
      <c r="M29" s="1" t="s">
        <v>674</v>
      </c>
      <c r="N29" s="1" t="s">
        <v>829</v>
      </c>
      <c r="O29" s="1" t="s">
        <v>446</v>
      </c>
      <c r="P29" s="1" t="n">
        <v>5</v>
      </c>
    </row>
    <row r="30" customFormat="false" ht="12.8" hidden="false" customHeight="false" outlineLevel="0" collapsed="false">
      <c r="A30" s="1" t="n">
        <f aca="false">A29+1</f>
        <v>23</v>
      </c>
      <c r="B30" s="1" t="s">
        <v>761</v>
      </c>
      <c r="C30" s="1" t="n">
        <v>10</v>
      </c>
      <c r="E30" s="1" t="s">
        <v>830</v>
      </c>
      <c r="F30" s="1" t="s">
        <v>798</v>
      </c>
      <c r="H30" s="1" t="n">
        <v>1</v>
      </c>
      <c r="J30" s="1" t="b">
        <f aca="false">FALSE()</f>
        <v>0</v>
      </c>
      <c r="K30" s="1" t="s">
        <v>436</v>
      </c>
      <c r="L30" s="1" t="s">
        <v>435</v>
      </c>
      <c r="M30" s="1" t="s">
        <v>445</v>
      </c>
      <c r="N30" s="1" t="s">
        <v>711</v>
      </c>
      <c r="O30" s="1" t="s">
        <v>446</v>
      </c>
      <c r="P30" s="1" t="s">
        <v>831</v>
      </c>
      <c r="V30" s="1" t="s">
        <v>803</v>
      </c>
      <c r="Z30" s="1" t="n">
        <v>40</v>
      </c>
      <c r="AA30" s="1" t="n">
        <v>46.6</v>
      </c>
      <c r="AB30" s="1" t="n">
        <v>53.3</v>
      </c>
      <c r="AC30" s="1" t="n">
        <v>60</v>
      </c>
      <c r="AD30" s="1" t="n">
        <v>66.6</v>
      </c>
      <c r="AE30" s="1" t="n">
        <v>73.3</v>
      </c>
      <c r="AF30" s="1" t="n">
        <v>80</v>
      </c>
    </row>
    <row r="31" customFormat="false" ht="12.8" hidden="false" customHeight="false" outlineLevel="0" collapsed="false">
      <c r="A31" s="1" t="n">
        <f aca="false">A30+1</f>
        <v>24</v>
      </c>
      <c r="B31" s="1" t="s">
        <v>761</v>
      </c>
      <c r="C31" s="1" t="n">
        <v>10</v>
      </c>
      <c r="D31" s="1" t="n">
        <f aca="false">A30</f>
        <v>23</v>
      </c>
      <c r="F31" s="1" t="s">
        <v>809</v>
      </c>
      <c r="H31" s="1" t="n">
        <v>1</v>
      </c>
      <c r="J31" s="1" t="b">
        <f aca="false">TRUE()</f>
        <v>1</v>
      </c>
      <c r="K31" s="1" t="s">
        <v>674</v>
      </c>
      <c r="L31" s="1" t="s">
        <v>453</v>
      </c>
      <c r="V31" s="1" t="s">
        <v>832</v>
      </c>
      <c r="Z31" s="1" t="n">
        <v>25</v>
      </c>
    </row>
    <row r="32" customFormat="false" ht="12.8" hidden="false" customHeight="false" outlineLevel="0" collapsed="false">
      <c r="A32" s="1" t="n">
        <f aca="false">A31+1</f>
        <v>25</v>
      </c>
      <c r="B32" s="1" t="s">
        <v>764</v>
      </c>
      <c r="C32" s="1" t="n">
        <v>10</v>
      </c>
      <c r="E32" s="1" t="s">
        <v>833</v>
      </c>
      <c r="F32" s="1" t="s">
        <v>809</v>
      </c>
      <c r="H32" s="1" t="n">
        <v>1</v>
      </c>
      <c r="J32" s="1" t="b">
        <f aca="false">TRUE()</f>
        <v>1</v>
      </c>
      <c r="K32" s="1" t="s">
        <v>674</v>
      </c>
      <c r="L32" s="1" t="s">
        <v>453</v>
      </c>
      <c r="V32" s="1" t="s">
        <v>834</v>
      </c>
      <c r="Z32" s="1" t="n">
        <v>35</v>
      </c>
    </row>
    <row r="33" customFormat="false" ht="12.8" hidden="false" customHeight="false" outlineLevel="0" collapsed="false">
      <c r="A33" s="1" t="n">
        <f aca="false">A32+1</f>
        <v>26</v>
      </c>
      <c r="B33" s="1" t="s">
        <v>761</v>
      </c>
      <c r="C33" s="1" t="n">
        <v>11</v>
      </c>
      <c r="E33" s="1" t="s">
        <v>835</v>
      </c>
      <c r="F33" s="1" t="s">
        <v>798</v>
      </c>
      <c r="H33" s="1" t="n">
        <v>1</v>
      </c>
      <c r="J33" s="1" t="b">
        <f aca="false">TRUE()</f>
        <v>1</v>
      </c>
      <c r="K33" s="1" t="s">
        <v>436</v>
      </c>
      <c r="L33" s="1" t="s">
        <v>435</v>
      </c>
      <c r="M33" s="1" t="s">
        <v>445</v>
      </c>
      <c r="N33" s="1" t="s">
        <v>711</v>
      </c>
      <c r="O33" s="1" t="s">
        <v>446</v>
      </c>
      <c r="P33" s="1" t="s">
        <v>836</v>
      </c>
      <c r="V33" s="1" t="s">
        <v>625</v>
      </c>
      <c r="Z33" s="1" t="n">
        <v>50</v>
      </c>
      <c r="AA33" s="1" t="n">
        <v>58.3</v>
      </c>
      <c r="AB33" s="1" t="n">
        <v>66.6</v>
      </c>
      <c r="AC33" s="1" t="n">
        <v>75</v>
      </c>
      <c r="AD33" s="1" t="n">
        <v>83.3</v>
      </c>
      <c r="AE33" s="1" t="n">
        <v>91.6</v>
      </c>
      <c r="AF33" s="1" t="n">
        <v>100</v>
      </c>
    </row>
    <row r="34" customFormat="false" ht="12.8" hidden="false" customHeight="false" outlineLevel="0" collapsed="false">
      <c r="A34" s="1" t="n">
        <f aca="false">A33+1</f>
        <v>27</v>
      </c>
      <c r="B34" s="1" t="s">
        <v>764</v>
      </c>
      <c r="C34" s="1" t="n">
        <v>11</v>
      </c>
      <c r="E34" s="1" t="s">
        <v>837</v>
      </c>
      <c r="F34" s="1" t="s">
        <v>798</v>
      </c>
      <c r="H34" s="1" t="n">
        <v>10</v>
      </c>
      <c r="J34" s="1" t="b">
        <f aca="false">TRUE()</f>
        <v>1</v>
      </c>
      <c r="K34" s="1" t="s">
        <v>436</v>
      </c>
      <c r="L34" s="1" t="s">
        <v>420</v>
      </c>
      <c r="M34" s="1" t="s">
        <v>445</v>
      </c>
      <c r="N34" s="1" t="s">
        <v>838</v>
      </c>
      <c r="O34" s="1" t="s">
        <v>446</v>
      </c>
      <c r="P34" s="1" t="s">
        <v>838</v>
      </c>
      <c r="V34" s="1" t="s">
        <v>582</v>
      </c>
      <c r="Z34" s="1" t="n">
        <v>3</v>
      </c>
    </row>
    <row r="35" customFormat="false" ht="12.8" hidden="false" customHeight="false" outlineLevel="0" collapsed="false">
      <c r="A35" s="1" t="n">
        <f aca="false">A34+1</f>
        <v>28</v>
      </c>
      <c r="B35" s="1" t="s">
        <v>761</v>
      </c>
      <c r="C35" s="1" t="n">
        <v>12</v>
      </c>
      <c r="E35" s="1" t="s">
        <v>839</v>
      </c>
      <c r="F35" s="1" t="s">
        <v>798</v>
      </c>
      <c r="H35" s="1" t="n">
        <v>1</v>
      </c>
      <c r="J35" s="1" t="b">
        <f aca="false">TRUE()</f>
        <v>1</v>
      </c>
      <c r="K35" s="1" t="s">
        <v>840</v>
      </c>
      <c r="L35" s="1" t="s">
        <v>453</v>
      </c>
      <c r="M35" s="1" t="s">
        <v>841</v>
      </c>
      <c r="N35" s="1" t="s">
        <v>842</v>
      </c>
      <c r="O35" s="1" t="s">
        <v>843</v>
      </c>
      <c r="P35" s="1" t="n">
        <v>12</v>
      </c>
      <c r="V35" s="1" t="s">
        <v>844</v>
      </c>
      <c r="W35" s="1" t="s">
        <v>844</v>
      </c>
      <c r="Z35" s="1" t="n">
        <v>31</v>
      </c>
      <c r="AA35" s="1" t="n">
        <v>32.5</v>
      </c>
      <c r="AB35" s="1" t="n">
        <v>34</v>
      </c>
      <c r="AC35" s="1" t="n">
        <v>35.2</v>
      </c>
      <c r="AD35" s="1" t="n">
        <v>35.8</v>
      </c>
      <c r="AE35" s="1" t="n">
        <v>36.4</v>
      </c>
      <c r="AF35" s="1" t="n">
        <v>37</v>
      </c>
      <c r="AN35" s="1" t="n">
        <v>30</v>
      </c>
    </row>
    <row r="36" customFormat="false" ht="12.8" hidden="false" customHeight="false" outlineLevel="0" collapsed="false">
      <c r="A36" s="1" t="n">
        <f aca="false">A35+1</f>
        <v>29</v>
      </c>
      <c r="B36" s="1" t="s">
        <v>764</v>
      </c>
      <c r="C36" s="1" t="n">
        <v>12</v>
      </c>
      <c r="E36" s="1" t="s">
        <v>845</v>
      </c>
      <c r="F36" s="1" t="s">
        <v>798</v>
      </c>
      <c r="H36" s="1" t="n">
        <v>1</v>
      </c>
      <c r="J36" s="1" t="b">
        <f aca="false">TRUE()</f>
        <v>1</v>
      </c>
      <c r="K36" s="1" t="s">
        <v>468</v>
      </c>
      <c r="L36" s="1" t="s">
        <v>435</v>
      </c>
      <c r="M36" s="1" t="s">
        <v>674</v>
      </c>
      <c r="N36" s="1" t="s">
        <v>829</v>
      </c>
      <c r="O36" s="1" t="s">
        <v>446</v>
      </c>
      <c r="P36" s="1" t="n">
        <v>5</v>
      </c>
      <c r="V36" s="1" t="s">
        <v>438</v>
      </c>
      <c r="Z36" s="1" t="n">
        <v>10</v>
      </c>
    </row>
    <row r="37" customFormat="false" ht="12.8" hidden="false" customHeight="false" outlineLevel="0" collapsed="false">
      <c r="A37" s="1" t="n">
        <f aca="false">A36+1</f>
        <v>30</v>
      </c>
      <c r="B37" s="1" t="s">
        <v>761</v>
      </c>
      <c r="C37" s="1" t="n">
        <v>13</v>
      </c>
      <c r="E37" s="1" t="s">
        <v>846</v>
      </c>
      <c r="F37" s="1" t="s">
        <v>798</v>
      </c>
      <c r="H37" s="1" t="n">
        <v>1</v>
      </c>
      <c r="J37" s="1" t="b">
        <f aca="false">TRUE()</f>
        <v>1</v>
      </c>
      <c r="K37" s="1" t="s">
        <v>436</v>
      </c>
      <c r="L37" s="1" t="s">
        <v>435</v>
      </c>
      <c r="M37" s="1" t="s">
        <v>445</v>
      </c>
      <c r="N37" s="1" t="s">
        <v>711</v>
      </c>
      <c r="O37" s="1" t="s">
        <v>446</v>
      </c>
      <c r="P37" s="1" t="s">
        <v>847</v>
      </c>
      <c r="V37" s="1" t="s">
        <v>448</v>
      </c>
      <c r="Z37" s="1" t="n">
        <v>20</v>
      </c>
      <c r="AA37" s="1" t="n">
        <v>23.3</v>
      </c>
      <c r="AB37" s="1" t="n">
        <v>26.6</v>
      </c>
      <c r="AC37" s="1" t="n">
        <v>30</v>
      </c>
      <c r="AD37" s="1" t="n">
        <v>33.3</v>
      </c>
      <c r="AE37" s="1" t="n">
        <v>36.6</v>
      </c>
      <c r="AF37" s="1" t="n">
        <v>40</v>
      </c>
    </row>
    <row r="38" customFormat="false" ht="12.8" hidden="false" customHeight="false" outlineLevel="0" collapsed="false">
      <c r="A38" s="1" t="n">
        <f aca="false">A37+1</f>
        <v>31</v>
      </c>
      <c r="B38" s="1" t="s">
        <v>761</v>
      </c>
      <c r="C38" s="1" t="n">
        <v>13</v>
      </c>
      <c r="D38" s="1" t="n">
        <f aca="false">A37</f>
        <v>30</v>
      </c>
      <c r="F38" s="1" t="s">
        <v>798</v>
      </c>
      <c r="H38" s="1" t="n">
        <v>1</v>
      </c>
      <c r="J38" s="1" t="b">
        <f aca="false">TRUE()</f>
        <v>1</v>
      </c>
      <c r="K38" s="1" t="s">
        <v>436</v>
      </c>
      <c r="L38" s="1" t="s">
        <v>435</v>
      </c>
      <c r="M38" s="1" t="s">
        <v>674</v>
      </c>
      <c r="N38" s="1" t="s">
        <v>816</v>
      </c>
      <c r="O38" s="1" t="s">
        <v>446</v>
      </c>
      <c r="P38" s="1" t="b">
        <f aca="false">TRUE()</f>
        <v>1</v>
      </c>
      <c r="V38" s="1" t="s">
        <v>448</v>
      </c>
      <c r="Z38" s="1" t="n">
        <v>20</v>
      </c>
      <c r="AA38" s="1" t="n">
        <v>23.3</v>
      </c>
      <c r="AB38" s="1" t="n">
        <v>26.6</v>
      </c>
      <c r="AC38" s="1" t="n">
        <v>30</v>
      </c>
      <c r="AD38" s="1" t="n">
        <v>33.3</v>
      </c>
      <c r="AE38" s="1" t="n">
        <v>36.6</v>
      </c>
      <c r="AF38" s="1" t="n">
        <v>40</v>
      </c>
    </row>
    <row r="39" customFormat="false" ht="12.8" hidden="false" customHeight="false" outlineLevel="0" collapsed="false">
      <c r="A39" s="1" t="n">
        <f aca="false">A38+1</f>
        <v>32</v>
      </c>
      <c r="B39" s="1" t="s">
        <v>764</v>
      </c>
      <c r="C39" s="1" t="n">
        <v>13</v>
      </c>
      <c r="E39" s="1" t="s">
        <v>848</v>
      </c>
      <c r="F39" s="1" t="s">
        <v>798</v>
      </c>
      <c r="H39" s="1" t="n">
        <v>1</v>
      </c>
      <c r="J39" s="1" t="b">
        <f aca="false">TRUE()</f>
        <v>1</v>
      </c>
      <c r="K39" s="1" t="s">
        <v>436</v>
      </c>
      <c r="L39" s="1" t="s">
        <v>453</v>
      </c>
      <c r="M39" s="1" t="s">
        <v>445</v>
      </c>
      <c r="N39" s="1" t="s">
        <v>838</v>
      </c>
      <c r="P39" s="1" t="s">
        <v>838</v>
      </c>
      <c r="V39" s="1" t="s">
        <v>456</v>
      </c>
      <c r="Z39" s="1" t="n">
        <v>30</v>
      </c>
    </row>
    <row r="40" customFormat="false" ht="12.8" hidden="false" customHeight="false" outlineLevel="0" collapsed="false">
      <c r="A40" s="1" t="n">
        <f aca="false">A39+1</f>
        <v>33</v>
      </c>
      <c r="B40" s="1" t="s">
        <v>761</v>
      </c>
      <c r="C40" s="1" t="n">
        <v>14</v>
      </c>
      <c r="E40" s="1" t="s">
        <v>849</v>
      </c>
      <c r="F40" s="1" t="s">
        <v>798</v>
      </c>
      <c r="H40" s="1" t="n">
        <v>1</v>
      </c>
      <c r="J40" s="1" t="b">
        <f aca="false">TRUE()</f>
        <v>1</v>
      </c>
      <c r="K40" s="1" t="s">
        <v>840</v>
      </c>
      <c r="L40" s="1" t="s">
        <v>453</v>
      </c>
      <c r="V40" s="1" t="s">
        <v>442</v>
      </c>
      <c r="W40" s="1" t="s">
        <v>72</v>
      </c>
      <c r="Z40" s="1" t="n">
        <v>10</v>
      </c>
      <c r="AA40" s="1" t="n">
        <v>12.5</v>
      </c>
      <c r="AB40" s="1" t="n">
        <v>15</v>
      </c>
      <c r="AC40" s="1" t="n">
        <v>17</v>
      </c>
      <c r="AD40" s="1" t="n">
        <v>18</v>
      </c>
      <c r="AE40" s="1" t="n">
        <v>19</v>
      </c>
      <c r="AF40" s="1" t="n">
        <v>20</v>
      </c>
      <c r="AN40" s="1" t="n">
        <v>500</v>
      </c>
    </row>
    <row r="41" customFormat="false" ht="12.8" hidden="false" customHeight="false" outlineLevel="0" collapsed="false">
      <c r="A41" s="1" t="n">
        <f aca="false">A40+1</f>
        <v>34</v>
      </c>
      <c r="B41" s="1" t="s">
        <v>761</v>
      </c>
      <c r="C41" s="1" t="n">
        <v>14</v>
      </c>
      <c r="D41" s="1" t="n">
        <f aca="false">A40</f>
        <v>33</v>
      </c>
      <c r="F41" s="1" t="s">
        <v>798</v>
      </c>
      <c r="H41" s="1" t="n">
        <v>1</v>
      </c>
      <c r="J41" s="1" t="b">
        <f aca="false">TRUE()</f>
        <v>1</v>
      </c>
      <c r="K41" s="1" t="s">
        <v>468</v>
      </c>
      <c r="L41" s="1" t="s">
        <v>453</v>
      </c>
      <c r="V41" s="1" t="s">
        <v>442</v>
      </c>
      <c r="W41" s="1" t="s">
        <v>72</v>
      </c>
      <c r="Z41" s="1" t="n">
        <v>10</v>
      </c>
      <c r="AA41" s="1" t="n">
        <v>12.5</v>
      </c>
      <c r="AB41" s="1" t="n">
        <v>15</v>
      </c>
      <c r="AC41" s="1" t="n">
        <v>17</v>
      </c>
      <c r="AD41" s="1" t="n">
        <v>18</v>
      </c>
      <c r="AE41" s="1" t="n">
        <v>19</v>
      </c>
      <c r="AF41" s="1" t="n">
        <v>20</v>
      </c>
      <c r="AN41" s="1" t="n">
        <v>500</v>
      </c>
    </row>
    <row r="42" customFormat="false" ht="12.8" hidden="false" customHeight="false" outlineLevel="0" collapsed="false">
      <c r="A42" s="1" t="n">
        <f aca="false">A41+1</f>
        <v>35</v>
      </c>
      <c r="B42" s="1" t="s">
        <v>764</v>
      </c>
      <c r="C42" s="1" t="n">
        <v>14</v>
      </c>
      <c r="E42" s="1" t="s">
        <v>850</v>
      </c>
      <c r="F42" s="1" t="s">
        <v>798</v>
      </c>
      <c r="H42" s="1" t="n">
        <v>1</v>
      </c>
      <c r="J42" s="1" t="b">
        <f aca="false">TRUE()</f>
        <v>1</v>
      </c>
      <c r="K42" s="1" t="s">
        <v>468</v>
      </c>
      <c r="L42" s="1" t="s">
        <v>453</v>
      </c>
      <c r="V42" s="1" t="s">
        <v>582</v>
      </c>
      <c r="Z42" s="1" t="n">
        <v>20</v>
      </c>
    </row>
    <row r="43" customFormat="false" ht="12.8" hidden="false" customHeight="false" outlineLevel="0" collapsed="false">
      <c r="A43" s="1" t="n">
        <f aca="false">A42+1</f>
        <v>36</v>
      </c>
      <c r="B43" s="1" t="s">
        <v>761</v>
      </c>
      <c r="C43" s="1" t="n">
        <v>15</v>
      </c>
      <c r="E43" s="16" t="s">
        <v>851</v>
      </c>
      <c r="F43" s="1" t="s">
        <v>798</v>
      </c>
      <c r="H43" s="1" t="n">
        <v>1</v>
      </c>
      <c r="J43" s="1" t="b">
        <f aca="false">FALSE()</f>
        <v>0</v>
      </c>
      <c r="K43" s="1" t="s">
        <v>436</v>
      </c>
      <c r="L43" s="1" t="s">
        <v>453</v>
      </c>
      <c r="Z43" s="1" t="n">
        <v>140</v>
      </c>
      <c r="AA43" s="1" t="n">
        <v>150</v>
      </c>
      <c r="AB43" s="1" t="n">
        <v>160</v>
      </c>
      <c r="AC43" s="1" t="n">
        <v>170</v>
      </c>
      <c r="AD43" s="1" t="n">
        <v>180</v>
      </c>
      <c r="AE43" s="1" t="n">
        <v>190</v>
      </c>
      <c r="AF43" s="1" t="n">
        <v>200</v>
      </c>
    </row>
    <row r="44" customFormat="false" ht="12.8" hidden="false" customHeight="false" outlineLevel="0" collapsed="false">
      <c r="A44" s="1" t="n">
        <f aca="false">A43+1</f>
        <v>37</v>
      </c>
      <c r="B44" s="1" t="s">
        <v>764</v>
      </c>
      <c r="C44" s="1" t="n">
        <v>15</v>
      </c>
      <c r="E44" s="1" t="s">
        <v>852</v>
      </c>
      <c r="F44" s="1" t="s">
        <v>798</v>
      </c>
      <c r="H44" s="1" t="n">
        <v>1</v>
      </c>
      <c r="J44" s="1" t="b">
        <f aca="false">FALSE()</f>
        <v>0</v>
      </c>
      <c r="K44" s="1" t="s">
        <v>436</v>
      </c>
      <c r="L44" s="1" t="s">
        <v>435</v>
      </c>
    </row>
    <row r="45" customFormat="false" ht="12.8" hidden="false" customHeight="false" outlineLevel="0" collapsed="false">
      <c r="A45" s="1" t="n">
        <f aca="false">A44+1</f>
        <v>38</v>
      </c>
      <c r="B45" s="1" t="s">
        <v>761</v>
      </c>
      <c r="C45" s="1" t="n">
        <v>16</v>
      </c>
      <c r="E45" s="1" t="s">
        <v>853</v>
      </c>
      <c r="F45" s="1" t="s">
        <v>798</v>
      </c>
      <c r="H45" s="1" t="n">
        <v>20</v>
      </c>
      <c r="J45" s="1" t="b">
        <f aca="false">FALSE()</f>
        <v>0</v>
      </c>
      <c r="K45" s="1" t="s">
        <v>436</v>
      </c>
      <c r="L45" s="1" t="s">
        <v>420</v>
      </c>
      <c r="Z45" s="1" t="n">
        <v>2</v>
      </c>
      <c r="AA45" s="1" t="n">
        <v>2.3</v>
      </c>
      <c r="AB45" s="1" t="n">
        <v>2.6</v>
      </c>
      <c r="AC45" s="1" t="n">
        <v>3</v>
      </c>
      <c r="AD45" s="1" t="n">
        <v>3.3</v>
      </c>
      <c r="AE45" s="1" t="n">
        <v>3.6</v>
      </c>
      <c r="AF45" s="1" t="n">
        <v>4</v>
      </c>
    </row>
    <row r="46" customFormat="false" ht="12.8" hidden="false" customHeight="false" outlineLevel="0" collapsed="false">
      <c r="A46" s="1" t="n">
        <f aca="false">A45+1</f>
        <v>39</v>
      </c>
      <c r="B46" s="1" t="s">
        <v>764</v>
      </c>
      <c r="C46" s="1" t="n">
        <v>16</v>
      </c>
      <c r="E46" s="1" t="s">
        <v>854</v>
      </c>
      <c r="F46" s="1" t="s">
        <v>798</v>
      </c>
      <c r="J46" s="1" t="b">
        <f aca="false">TRUE()</f>
        <v>1</v>
      </c>
      <c r="K46" s="1" t="s">
        <v>468</v>
      </c>
      <c r="L46" s="1" t="s">
        <v>435</v>
      </c>
      <c r="M46" s="1" t="s">
        <v>420</v>
      </c>
      <c r="N46" s="1" t="n">
        <f aca="false">A45</f>
        <v>38</v>
      </c>
      <c r="O46" s="1" t="s">
        <v>446</v>
      </c>
      <c r="P46" s="1" t="n">
        <v>20</v>
      </c>
      <c r="V46" s="1" t="s">
        <v>448</v>
      </c>
      <c r="Z46" s="1" t="n">
        <v>18</v>
      </c>
    </row>
    <row r="47" customFormat="false" ht="12.8" hidden="false" customHeight="false" outlineLevel="0" collapsed="false">
      <c r="A47" s="1" t="n">
        <f aca="false">A46+1</f>
        <v>40</v>
      </c>
      <c r="B47" s="1" t="s">
        <v>761</v>
      </c>
      <c r="C47" s="1" t="n">
        <v>17</v>
      </c>
      <c r="E47" s="1" t="s">
        <v>855</v>
      </c>
      <c r="F47" s="1" t="s">
        <v>809</v>
      </c>
      <c r="H47" s="1" t="n">
        <v>20</v>
      </c>
      <c r="J47" s="1" t="b">
        <f aca="false">TRUE()</f>
        <v>1</v>
      </c>
      <c r="K47" s="1" t="s">
        <v>674</v>
      </c>
      <c r="L47" s="1" t="s">
        <v>435</v>
      </c>
      <c r="M47" s="1" t="s">
        <v>674</v>
      </c>
      <c r="N47" s="1" t="s">
        <v>816</v>
      </c>
      <c r="O47" s="1" t="s">
        <v>446</v>
      </c>
      <c r="P47" s="1" t="b">
        <f aca="false">TRUE()</f>
        <v>1</v>
      </c>
      <c r="V47" s="1" t="s">
        <v>834</v>
      </c>
      <c r="Z47" s="1" t="n">
        <v>2</v>
      </c>
      <c r="AA47" s="1" t="n">
        <v>2.4</v>
      </c>
      <c r="AB47" s="1" t="n">
        <v>2.7</v>
      </c>
      <c r="AC47" s="1" t="n">
        <v>3</v>
      </c>
      <c r="AD47" s="1" t="n">
        <v>3.4</v>
      </c>
      <c r="AE47" s="1" t="n">
        <v>3.7</v>
      </c>
      <c r="AF47" s="1" t="n">
        <v>4</v>
      </c>
    </row>
    <row r="48" customFormat="false" ht="12.8" hidden="false" customHeight="false" outlineLevel="0" collapsed="false">
      <c r="A48" s="1" t="n">
        <f aca="false">A47+1</f>
        <v>41</v>
      </c>
      <c r="B48" s="1" t="s">
        <v>764</v>
      </c>
      <c r="C48" s="1" t="n">
        <v>17</v>
      </c>
      <c r="E48" s="1" t="s">
        <v>856</v>
      </c>
      <c r="F48" s="1" t="s">
        <v>798</v>
      </c>
      <c r="J48" s="1" t="b">
        <f aca="false">FALSE()</f>
        <v>0</v>
      </c>
      <c r="K48" s="1" t="s">
        <v>436</v>
      </c>
      <c r="L48" s="1" t="s">
        <v>435</v>
      </c>
      <c r="M48" s="1" t="s">
        <v>445</v>
      </c>
      <c r="N48" s="1" t="s">
        <v>711</v>
      </c>
      <c r="O48" s="1" t="s">
        <v>446</v>
      </c>
      <c r="P48" s="1" t="s">
        <v>239</v>
      </c>
      <c r="V48" s="1" t="s">
        <v>803</v>
      </c>
      <c r="Z48" s="1" t="n">
        <v>20</v>
      </c>
    </row>
    <row r="49" customFormat="false" ht="12.8" hidden="false" customHeight="false" outlineLevel="0" collapsed="false">
      <c r="A49" s="1" t="n">
        <f aca="false">A48+1</f>
        <v>42</v>
      </c>
      <c r="B49" s="1" t="s">
        <v>764</v>
      </c>
      <c r="C49" s="1" t="n">
        <v>17</v>
      </c>
      <c r="D49" s="1" t="n">
        <f aca="false">A48</f>
        <v>41</v>
      </c>
      <c r="F49" s="1" t="s">
        <v>798</v>
      </c>
      <c r="J49" s="1" t="b">
        <f aca="false">TRUE()</f>
        <v>1</v>
      </c>
      <c r="K49" s="1" t="s">
        <v>436</v>
      </c>
      <c r="L49" s="1" t="s">
        <v>435</v>
      </c>
      <c r="M49" s="1" t="s">
        <v>841</v>
      </c>
      <c r="N49" s="1" t="s">
        <v>96</v>
      </c>
      <c r="O49" s="1" t="s">
        <v>646</v>
      </c>
      <c r="P49" s="1" t="n">
        <v>120</v>
      </c>
      <c r="V49" s="1" t="s">
        <v>857</v>
      </c>
      <c r="W49" s="1" t="s">
        <v>96</v>
      </c>
      <c r="X49" s="1" t="n">
        <v>120</v>
      </c>
      <c r="Y49" s="1" t="n">
        <v>1</v>
      </c>
      <c r="Z49" s="1" t="n">
        <v>6</v>
      </c>
      <c r="AN49" s="1" t="n">
        <v>600</v>
      </c>
    </row>
    <row r="50" customFormat="false" ht="12.8" hidden="false" customHeight="false" outlineLevel="0" collapsed="false">
      <c r="B50" s="1" t="s">
        <v>761</v>
      </c>
      <c r="C50" s="1" t="n">
        <v>18</v>
      </c>
      <c r="E50" s="1" t="s">
        <v>858</v>
      </c>
      <c r="F50" s="1" t="s">
        <v>809</v>
      </c>
      <c r="H50" s="1" t="n">
        <v>1</v>
      </c>
      <c r="J50" s="1" t="b">
        <f aca="false">FALSE()</f>
        <v>0</v>
      </c>
      <c r="K50" s="1" t="s">
        <v>468</v>
      </c>
      <c r="L50" s="1" t="s">
        <v>435</v>
      </c>
      <c r="M50" s="1" t="s">
        <v>674</v>
      </c>
      <c r="N50" s="1" t="s">
        <v>829</v>
      </c>
      <c r="O50" s="1" t="s">
        <v>446</v>
      </c>
      <c r="P50" s="1" t="n">
        <v>1</v>
      </c>
      <c r="V50" s="1" t="s">
        <v>859</v>
      </c>
      <c r="Z50" s="1" t="n">
        <v>20</v>
      </c>
      <c r="AA50" s="1" t="n">
        <v>25</v>
      </c>
      <c r="AB50" s="1" t="n">
        <v>28</v>
      </c>
      <c r="AC50" s="1" t="n">
        <v>31</v>
      </c>
      <c r="AD50" s="1" t="n">
        <v>34</v>
      </c>
      <c r="AE50" s="1" t="n">
        <v>37</v>
      </c>
      <c r="AF50" s="1" t="n">
        <v>40</v>
      </c>
    </row>
    <row r="51" customFormat="false" ht="12.8" hidden="false" customHeight="false" outlineLevel="0" collapsed="false">
      <c r="B51" s="1" t="s">
        <v>761</v>
      </c>
      <c r="C51" s="1" t="n">
        <v>18</v>
      </c>
      <c r="D51" s="1" t="n">
        <f aca="false">A50</f>
        <v>0</v>
      </c>
      <c r="F51" s="1" t="s">
        <v>809</v>
      </c>
      <c r="H51" s="1" t="n">
        <v>1</v>
      </c>
      <c r="J51" s="1" t="b">
        <f aca="false">FALSE()</f>
        <v>0</v>
      </c>
      <c r="K51" s="1" t="s">
        <v>468</v>
      </c>
      <c r="L51" s="1" t="s">
        <v>435</v>
      </c>
      <c r="M51" s="1" t="s">
        <v>674</v>
      </c>
      <c r="N51" s="1" t="s">
        <v>829</v>
      </c>
      <c r="O51" s="1" t="s">
        <v>446</v>
      </c>
      <c r="P51" s="1" t="n">
        <v>1</v>
      </c>
      <c r="V51" s="1" t="s">
        <v>859</v>
      </c>
      <c r="Z51" s="1" t="n">
        <v>0.1</v>
      </c>
      <c r="AA51" s="1" t="n">
        <v>0.11</v>
      </c>
      <c r="AB51" s="1" t="n">
        <v>0.12</v>
      </c>
      <c r="AC51" s="1" t="n">
        <v>0.13</v>
      </c>
      <c r="AD51" s="1" t="n">
        <v>0.14</v>
      </c>
      <c r="AE51" s="1" t="n">
        <v>0.15</v>
      </c>
      <c r="AF51" s="1" t="n">
        <v>0.16</v>
      </c>
    </row>
    <row r="52" customFormat="false" ht="12.8" hidden="false" customHeight="false" outlineLevel="0" collapsed="false">
      <c r="B52" s="1" t="s">
        <v>764</v>
      </c>
      <c r="C52" s="1" t="n">
        <v>18</v>
      </c>
      <c r="E52" s="1" t="s">
        <v>860</v>
      </c>
      <c r="F52" s="1" t="s">
        <v>798</v>
      </c>
      <c r="H52" s="1" t="n">
        <v>1</v>
      </c>
      <c r="J52" s="1" t="b">
        <f aca="false">FALSE()</f>
        <v>0</v>
      </c>
      <c r="K52" s="1" t="s">
        <v>436</v>
      </c>
      <c r="L52" s="1" t="s">
        <v>453</v>
      </c>
      <c r="V52" s="1" t="s">
        <v>861</v>
      </c>
      <c r="Z52" s="1" t="n">
        <v>20</v>
      </c>
    </row>
    <row r="53" customFormat="false" ht="12.8" hidden="false" customHeight="false" outlineLevel="0" collapsed="false">
      <c r="B53" s="1" t="s">
        <v>764</v>
      </c>
      <c r="C53" s="1" t="n">
        <v>18</v>
      </c>
      <c r="D53" s="1" t="n">
        <f aca="false">A52</f>
        <v>0</v>
      </c>
      <c r="F53" s="1" t="s">
        <v>798</v>
      </c>
      <c r="H53" s="1" t="n">
        <v>1</v>
      </c>
      <c r="J53" s="1" t="b">
        <f aca="false">FALSE()</f>
        <v>0</v>
      </c>
      <c r="K53" s="1" t="s">
        <v>436</v>
      </c>
      <c r="L53" s="1" t="s">
        <v>435</v>
      </c>
      <c r="M53" s="1" t="s">
        <v>424</v>
      </c>
      <c r="N53" s="1" t="s">
        <v>418</v>
      </c>
      <c r="O53" s="1" t="s">
        <v>446</v>
      </c>
      <c r="P53" s="1" t="b">
        <f aca="false">TRUE()</f>
        <v>1</v>
      </c>
      <c r="Q53" s="1" t="s">
        <v>801</v>
      </c>
      <c r="R53" s="1" t="s">
        <v>674</v>
      </c>
      <c r="S53" s="1" t="s">
        <v>829</v>
      </c>
      <c r="T53" s="1" t="s">
        <v>843</v>
      </c>
      <c r="U53" s="1" t="n">
        <v>0</v>
      </c>
      <c r="V53" s="1" t="s">
        <v>861</v>
      </c>
      <c r="Z53" s="1" t="n">
        <v>15</v>
      </c>
    </row>
    <row r="54" customFormat="false" ht="12.8" hidden="false" customHeight="false" outlineLevel="0" collapsed="false">
      <c r="B54" s="1" t="s">
        <v>761</v>
      </c>
      <c r="C54" s="1" t="n">
        <v>19</v>
      </c>
      <c r="E54" s="1" t="s">
        <v>862</v>
      </c>
      <c r="F54" s="1" t="s">
        <v>798</v>
      </c>
      <c r="G54" s="1" t="s">
        <v>863</v>
      </c>
      <c r="H54" s="1" t="n">
        <v>1</v>
      </c>
      <c r="J54" s="1" t="b">
        <f aca="false">FALSE()</f>
        <v>0</v>
      </c>
      <c r="K54" s="1" t="s">
        <v>436</v>
      </c>
      <c r="L54" s="1" t="s">
        <v>453</v>
      </c>
      <c r="V54" s="1" t="s">
        <v>748</v>
      </c>
      <c r="W54" s="1" t="s">
        <v>72</v>
      </c>
      <c r="Z54" s="1" t="n">
        <v>40</v>
      </c>
      <c r="AA54" s="1" t="n">
        <v>50</v>
      </c>
      <c r="AB54" s="1" t="n">
        <v>60</v>
      </c>
      <c r="AC54" s="1" t="n">
        <v>68</v>
      </c>
      <c r="AD54" s="1" t="n">
        <v>72</v>
      </c>
      <c r="AE54" s="1" t="n">
        <v>76</v>
      </c>
      <c r="AF54" s="1" t="n">
        <v>80</v>
      </c>
      <c r="AN54" s="1" t="n">
        <v>3000</v>
      </c>
    </row>
    <row r="55" customFormat="false" ht="12.8" hidden="false" customHeight="false" outlineLevel="0" collapsed="false">
      <c r="B55" s="1" t="s">
        <v>761</v>
      </c>
      <c r="C55" s="1" t="n">
        <v>19</v>
      </c>
      <c r="D55" s="1" t="n">
        <f aca="false">A54</f>
        <v>0</v>
      </c>
      <c r="F55" s="1" t="s">
        <v>798</v>
      </c>
      <c r="G55" s="1" t="s">
        <v>863</v>
      </c>
      <c r="H55" s="1" t="n">
        <v>1</v>
      </c>
      <c r="J55" s="1" t="b">
        <f aca="false">FALSE()</f>
        <v>0</v>
      </c>
      <c r="K55" s="1" t="s">
        <v>840</v>
      </c>
      <c r="L55" s="1" t="s">
        <v>453</v>
      </c>
      <c r="V55" s="1" t="s">
        <v>748</v>
      </c>
      <c r="W55" s="1" t="s">
        <v>72</v>
      </c>
      <c r="Z55" s="1" t="n">
        <v>40</v>
      </c>
      <c r="AA55" s="1" t="n">
        <v>50</v>
      </c>
      <c r="AB55" s="1" t="n">
        <v>60</v>
      </c>
      <c r="AC55" s="1" t="n">
        <v>68</v>
      </c>
      <c r="AD55" s="1" t="n">
        <v>72</v>
      </c>
      <c r="AE55" s="1" t="n">
        <v>76</v>
      </c>
      <c r="AF55" s="1" t="n">
        <v>80</v>
      </c>
      <c r="AN55" s="1" t="n">
        <v>3000</v>
      </c>
    </row>
    <row r="56" customFormat="false" ht="12.8" hidden="false" customHeight="false" outlineLevel="0" collapsed="false">
      <c r="B56" s="1" t="s">
        <v>761</v>
      </c>
      <c r="C56" s="1" t="n">
        <v>19</v>
      </c>
      <c r="D56" s="1" t="n">
        <f aca="false">A54</f>
        <v>0</v>
      </c>
      <c r="F56" s="1" t="s">
        <v>798</v>
      </c>
      <c r="H56" s="1" t="n">
        <v>1</v>
      </c>
      <c r="J56" s="1" t="b">
        <f aca="false">FALSE()</f>
        <v>0</v>
      </c>
      <c r="K56" s="1" t="s">
        <v>840</v>
      </c>
      <c r="L56" s="1" t="s">
        <v>435</v>
      </c>
      <c r="M56" s="1" t="s">
        <v>424</v>
      </c>
      <c r="N56" s="1" t="s">
        <v>418</v>
      </c>
      <c r="O56" s="1" t="s">
        <v>446</v>
      </c>
      <c r="P56" s="1" t="b">
        <f aca="false">TRUE()</f>
        <v>1</v>
      </c>
      <c r="V56" s="1" t="s">
        <v>471</v>
      </c>
      <c r="Z56" s="1" t="n">
        <v>50</v>
      </c>
      <c r="AA56" s="1" t="n">
        <v>62</v>
      </c>
      <c r="AB56" s="1" t="n">
        <v>75</v>
      </c>
      <c r="AC56" s="1" t="n">
        <v>85</v>
      </c>
      <c r="AD56" s="1" t="n">
        <v>90</v>
      </c>
      <c r="AE56" s="1" t="n">
        <v>95</v>
      </c>
      <c r="AF56" s="1" t="n">
        <v>100</v>
      </c>
    </row>
    <row r="57" customFormat="false" ht="12.8" hidden="false" customHeight="false" outlineLevel="0" collapsed="false">
      <c r="B57" s="1" t="s">
        <v>764</v>
      </c>
      <c r="C57" s="1" t="n">
        <v>19</v>
      </c>
      <c r="E57" s="1" t="s">
        <v>864</v>
      </c>
      <c r="F57" s="1" t="s">
        <v>809</v>
      </c>
      <c r="H57" s="1" t="n">
        <v>1</v>
      </c>
      <c r="J57" s="1" t="b">
        <f aca="false">FALSE()</f>
        <v>0</v>
      </c>
      <c r="K57" s="1" t="s">
        <v>674</v>
      </c>
      <c r="L57" s="1" t="s">
        <v>453</v>
      </c>
      <c r="V57" s="1" t="s">
        <v>865</v>
      </c>
      <c r="Z57" s="1" t="n">
        <v>20</v>
      </c>
    </row>
    <row r="58" customFormat="false" ht="12.8" hidden="false" customHeight="false" outlineLevel="0" collapsed="false">
      <c r="B58" s="1" t="s">
        <v>761</v>
      </c>
      <c r="C58" s="1" t="n">
        <v>20</v>
      </c>
      <c r="E58" s="1" t="s">
        <v>866</v>
      </c>
      <c r="F58" s="1" t="s">
        <v>798</v>
      </c>
      <c r="G58" s="1" t="s">
        <v>867</v>
      </c>
      <c r="H58" s="1" t="n">
        <v>1</v>
      </c>
      <c r="J58" s="1" t="b">
        <f aca="false">FALSE()</f>
        <v>0</v>
      </c>
      <c r="K58" s="1" t="s">
        <v>468</v>
      </c>
      <c r="L58" s="1" t="s">
        <v>453</v>
      </c>
      <c r="V58" s="1" t="s">
        <v>748</v>
      </c>
      <c r="W58" s="1" t="s">
        <v>72</v>
      </c>
      <c r="Z58" s="1" t="n">
        <v>300</v>
      </c>
      <c r="AA58" s="1" t="n">
        <v>500</v>
      </c>
      <c r="AB58" s="1" t="n">
        <v>700</v>
      </c>
      <c r="AC58" s="1" t="n">
        <v>900</v>
      </c>
      <c r="AD58" s="1" t="n">
        <v>1100</v>
      </c>
      <c r="AE58" s="1" t="n">
        <v>1300</v>
      </c>
      <c r="AF58" s="1" t="n">
        <v>1400</v>
      </c>
      <c r="AG58" s="1" t="n">
        <v>200</v>
      </c>
      <c r="AH58" s="1" t="n">
        <v>400</v>
      </c>
      <c r="AI58" s="1" t="n">
        <v>700</v>
      </c>
      <c r="AJ58" s="1" t="n">
        <v>900</v>
      </c>
      <c r="AK58" s="1" t="n">
        <v>1100</v>
      </c>
      <c r="AL58" s="1" t="n">
        <v>1300</v>
      </c>
      <c r="AM58" s="1" t="n">
        <v>1400</v>
      </c>
    </row>
    <row r="59" customFormat="false" ht="12.8" hidden="false" customHeight="false" outlineLevel="0" collapsed="false">
      <c r="B59" s="1" t="s">
        <v>761</v>
      </c>
      <c r="C59" s="1" t="n">
        <v>20</v>
      </c>
      <c r="D59" s="1" t="n">
        <f aca="false">A58</f>
        <v>0</v>
      </c>
      <c r="F59" s="1" t="s">
        <v>798</v>
      </c>
      <c r="G59" s="1" t="s">
        <v>867</v>
      </c>
      <c r="H59" s="1" t="n">
        <v>1</v>
      </c>
      <c r="J59" s="1" t="b">
        <f aca="false">FALSE()</f>
        <v>0</v>
      </c>
      <c r="K59" s="1" t="s">
        <v>468</v>
      </c>
      <c r="L59" s="1" t="s">
        <v>435</v>
      </c>
      <c r="M59" s="1" t="s">
        <v>424</v>
      </c>
      <c r="N59" s="1" t="s">
        <v>418</v>
      </c>
      <c r="O59" s="1" t="s">
        <v>446</v>
      </c>
      <c r="P59" s="1" t="b">
        <f aca="false">TRUE()</f>
        <v>1</v>
      </c>
      <c r="V59" s="1" t="s">
        <v>857</v>
      </c>
      <c r="Z59" s="1" t="n">
        <v>40</v>
      </c>
      <c r="AA59" s="1" t="n">
        <v>135</v>
      </c>
      <c r="AB59" s="1" t="n">
        <v>240</v>
      </c>
      <c r="AC59" s="1" t="n">
        <v>400</v>
      </c>
      <c r="AD59" s="1" t="n">
        <v>650</v>
      </c>
      <c r="AE59" s="1" t="n">
        <v>900</v>
      </c>
      <c r="AF59" s="1" t="n">
        <v>1000</v>
      </c>
    </row>
    <row r="60" customFormat="false" ht="12.8" hidden="false" customHeight="false" outlineLevel="0" collapsed="false">
      <c r="B60" s="1" t="s">
        <v>764</v>
      </c>
      <c r="C60" s="1" t="n">
        <v>20</v>
      </c>
      <c r="E60" s="1" t="s">
        <v>868</v>
      </c>
      <c r="F60" s="1" t="s">
        <v>809</v>
      </c>
      <c r="H60" s="1" t="n">
        <v>1</v>
      </c>
      <c r="J60" s="1" t="b">
        <f aca="false">TRUE()</f>
        <v>1</v>
      </c>
      <c r="K60" s="1" t="s">
        <v>468</v>
      </c>
      <c r="L60" s="1" t="s">
        <v>453</v>
      </c>
      <c r="V60" s="1" t="s">
        <v>448</v>
      </c>
      <c r="Z60" s="1" t="n">
        <v>25</v>
      </c>
    </row>
    <row r="61" customFormat="false" ht="12.8" hidden="false" customHeight="false" outlineLevel="0" collapsed="false">
      <c r="B61" s="1" t="s">
        <v>764</v>
      </c>
      <c r="C61" s="1" t="n">
        <v>21</v>
      </c>
      <c r="E61" s="1" t="s">
        <v>869</v>
      </c>
      <c r="F61" s="1" t="s">
        <v>798</v>
      </c>
      <c r="H61" s="1" t="n">
        <v>1</v>
      </c>
      <c r="J61" s="1" t="b">
        <f aca="false">FALSE()</f>
        <v>0</v>
      </c>
      <c r="K61" s="1" t="s">
        <v>468</v>
      </c>
      <c r="L61" s="1" t="s">
        <v>453</v>
      </c>
      <c r="V61" s="1" t="s">
        <v>870</v>
      </c>
      <c r="Z61" s="1" t="n">
        <v>65</v>
      </c>
    </row>
    <row r="62" customFormat="false" ht="12.8" hidden="false" customHeight="false" outlineLevel="0" collapsed="false">
      <c r="B62" s="1" t="s">
        <v>761</v>
      </c>
      <c r="C62" s="1" t="n">
        <v>22</v>
      </c>
      <c r="E62" s="1" t="s">
        <v>871</v>
      </c>
      <c r="F62" s="1" t="s">
        <v>798</v>
      </c>
      <c r="H62" s="1" t="n">
        <v>1</v>
      </c>
      <c r="J62" s="1" t="b">
        <f aca="false">TRUE()</f>
        <v>1</v>
      </c>
      <c r="K62" s="1" t="s">
        <v>436</v>
      </c>
      <c r="L62" s="1" t="s">
        <v>453</v>
      </c>
      <c r="V62" s="1" t="s">
        <v>438</v>
      </c>
      <c r="Z62" s="1" t="n">
        <v>10</v>
      </c>
      <c r="AA62" s="1" t="n">
        <v>11.6</v>
      </c>
      <c r="AB62" s="1" t="n">
        <v>13.3</v>
      </c>
      <c r="AC62" s="1" t="n">
        <v>15</v>
      </c>
      <c r="AD62" s="1" t="n">
        <v>16.6</v>
      </c>
      <c r="AE62" s="1" t="n">
        <v>18.3</v>
      </c>
      <c r="AF62" s="1" t="n">
        <v>20</v>
      </c>
    </row>
    <row r="63" customFormat="false" ht="12.8" hidden="false" customHeight="false" outlineLevel="0" collapsed="false">
      <c r="B63" s="1" t="s">
        <v>764</v>
      </c>
      <c r="C63" s="1" t="n">
        <v>22</v>
      </c>
      <c r="E63" s="1" t="s">
        <v>872</v>
      </c>
      <c r="F63" s="1" t="s">
        <v>798</v>
      </c>
      <c r="H63" s="1" t="n">
        <v>1</v>
      </c>
      <c r="J63" s="1" t="b">
        <f aca="false">FALSE()</f>
        <v>0</v>
      </c>
      <c r="K63" s="1" t="s">
        <v>436</v>
      </c>
      <c r="L63" s="1" t="s">
        <v>453</v>
      </c>
      <c r="V63" s="1" t="s">
        <v>667</v>
      </c>
      <c r="Z63" s="1" t="n">
        <v>45</v>
      </c>
    </row>
    <row r="64" customFormat="false" ht="12.8" hidden="false" customHeight="false" outlineLevel="0" collapsed="false">
      <c r="B64" s="1" t="s">
        <v>761</v>
      </c>
      <c r="C64" s="1" t="n">
        <v>23</v>
      </c>
      <c r="E64" s="1" t="s">
        <v>873</v>
      </c>
      <c r="F64" s="1" t="s">
        <v>798</v>
      </c>
      <c r="H64" s="1" t="n">
        <v>1</v>
      </c>
      <c r="J64" s="1" t="b">
        <f aca="false">FALSE()</f>
        <v>0</v>
      </c>
      <c r="K64" s="1" t="s">
        <v>436</v>
      </c>
    </row>
    <row r="65" customFormat="false" ht="12.8" hidden="false" customHeight="false" outlineLevel="0" collapsed="false">
      <c r="B65" s="1" t="s">
        <v>761</v>
      </c>
      <c r="C65" s="1" t="n">
        <v>23</v>
      </c>
      <c r="D65" s="1" t="n">
        <f aca="false">A64</f>
        <v>0</v>
      </c>
      <c r="F65" s="1" t="s">
        <v>809</v>
      </c>
      <c r="H65" s="1" t="n">
        <v>1</v>
      </c>
      <c r="J65" s="1" t="b">
        <f aca="false">TRUE()</f>
        <v>1</v>
      </c>
      <c r="K65" s="1" t="s">
        <v>674</v>
      </c>
      <c r="L65" s="1" t="s">
        <v>453</v>
      </c>
      <c r="V65" s="1" t="s">
        <v>874</v>
      </c>
      <c r="Z65" s="1" t="n">
        <v>15</v>
      </c>
    </row>
    <row r="66" customFormat="false" ht="12.8" hidden="false" customHeight="false" outlineLevel="0" collapsed="false">
      <c r="B66" s="1" t="s">
        <v>764</v>
      </c>
      <c r="C66" s="1" t="n">
        <v>23</v>
      </c>
      <c r="E66" s="1" t="s">
        <v>875</v>
      </c>
      <c r="F66" s="1" t="s">
        <v>798</v>
      </c>
      <c r="G66" s="1" t="s">
        <v>876</v>
      </c>
      <c r="H66" s="1" t="n">
        <v>20</v>
      </c>
      <c r="J66" s="1" t="b">
        <f aca="false">TRUE()</f>
        <v>1</v>
      </c>
      <c r="K66" s="1" t="s">
        <v>468</v>
      </c>
      <c r="L66" s="1" t="s">
        <v>420</v>
      </c>
      <c r="V66" s="1" t="s">
        <v>877</v>
      </c>
      <c r="Z66" s="1" t="n">
        <v>1.25</v>
      </c>
    </row>
    <row r="67" customFormat="false" ht="12.8" hidden="false" customHeight="false" outlineLevel="0" collapsed="false">
      <c r="B67" s="1" t="s">
        <v>764</v>
      </c>
      <c r="C67" s="1" t="n">
        <v>23</v>
      </c>
      <c r="D67" s="1" t="n">
        <f aca="false">A66</f>
        <v>0</v>
      </c>
      <c r="F67" s="1" t="s">
        <v>798</v>
      </c>
      <c r="J67" s="1" t="b">
        <f aca="false">TRUE()</f>
        <v>1</v>
      </c>
      <c r="K67" s="1" t="s">
        <v>468</v>
      </c>
      <c r="L67" s="1" t="s">
        <v>435</v>
      </c>
      <c r="M67" s="1" t="s">
        <v>841</v>
      </c>
      <c r="N67" s="1" t="s">
        <v>96</v>
      </c>
      <c r="O67" s="1" t="s">
        <v>646</v>
      </c>
      <c r="P67" s="1" t="n">
        <v>170</v>
      </c>
      <c r="V67" s="1" t="s">
        <v>877</v>
      </c>
      <c r="W67" s="1" t="s">
        <v>96</v>
      </c>
      <c r="X67" s="1" t="n">
        <v>170</v>
      </c>
      <c r="Y67" s="1" t="n">
        <v>10</v>
      </c>
      <c r="Z67" s="1" t="n">
        <v>0.25</v>
      </c>
    </row>
    <row r="68" customFormat="false" ht="12.8" hidden="false" customHeight="false" outlineLevel="0" collapsed="false">
      <c r="B68" s="1" t="s">
        <v>761</v>
      </c>
      <c r="C68" s="1" t="n">
        <v>24</v>
      </c>
      <c r="E68" s="1" t="s">
        <v>878</v>
      </c>
      <c r="F68" s="1" t="s">
        <v>798</v>
      </c>
      <c r="J68" s="1" t="b">
        <f aca="false">FALSE()</f>
        <v>0</v>
      </c>
    </row>
    <row r="69" customFormat="false" ht="12.8" hidden="false" customHeight="false" outlineLevel="0" collapsed="false">
      <c r="B69" s="1" t="s">
        <v>764</v>
      </c>
      <c r="C69" s="1" t="n">
        <v>24</v>
      </c>
      <c r="E69" s="1" t="s">
        <v>879</v>
      </c>
      <c r="F69" s="1" t="s">
        <v>798</v>
      </c>
      <c r="J69" s="1" t="b">
        <f aca="false">TRUE()</f>
        <v>1</v>
      </c>
      <c r="K69" s="1" t="s">
        <v>436</v>
      </c>
      <c r="L69" s="1" t="s">
        <v>435</v>
      </c>
      <c r="M69" s="1" t="s">
        <v>445</v>
      </c>
      <c r="N69" s="1" t="s">
        <v>711</v>
      </c>
      <c r="O69" s="1" t="s">
        <v>446</v>
      </c>
      <c r="P69" s="1" t="s">
        <v>880</v>
      </c>
      <c r="V69" s="1" t="s">
        <v>448</v>
      </c>
      <c r="Z69" s="1" t="n">
        <v>60</v>
      </c>
    </row>
    <row r="70" customFormat="false" ht="12.8" hidden="false" customHeight="false" outlineLevel="0" collapsed="false">
      <c r="B70" s="1" t="s">
        <v>764</v>
      </c>
      <c r="C70" s="1" t="n">
        <v>24</v>
      </c>
      <c r="D70" s="1" t="n">
        <f aca="false">A69</f>
        <v>0</v>
      </c>
      <c r="F70" s="1" t="s">
        <v>798</v>
      </c>
      <c r="H70" s="1" t="n">
        <v>1</v>
      </c>
      <c r="J70" s="1" t="b">
        <f aca="false">TRUE()</f>
        <v>1</v>
      </c>
      <c r="K70" s="1" t="s">
        <v>436</v>
      </c>
      <c r="L70" s="1" t="s">
        <v>453</v>
      </c>
      <c r="M70" s="1" t="s">
        <v>445</v>
      </c>
      <c r="N70" s="1" t="s">
        <v>711</v>
      </c>
      <c r="O70" s="1" t="s">
        <v>446</v>
      </c>
      <c r="P70" s="1" t="s">
        <v>880</v>
      </c>
      <c r="V70" s="1" t="s">
        <v>881</v>
      </c>
      <c r="Z70" s="1" t="n">
        <v>30</v>
      </c>
    </row>
    <row r="71" customFormat="false" ht="12.8" hidden="false" customHeight="false" outlineLevel="0" collapsed="false">
      <c r="B71" s="1" t="s">
        <v>761</v>
      </c>
      <c r="C71" s="1" t="n">
        <v>25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&amp;C&amp;"Arial,標準"&amp;A</oddHeader>
    <oddFooter>&amp;C&amp;"Arial,標準"ページ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40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D6" activeCellId="0" sqref="D6"/>
    </sheetView>
  </sheetViews>
  <sheetFormatPr defaultColWidth="12.8046875" defaultRowHeight="12.8" customHeight="true" zeroHeight="false" outlineLevelRow="0" outlineLevelCol="0"/>
  <cols>
    <col collapsed="false" customWidth="true" hidden="false" outlineLevel="0" max="1" min="1" style="13" width="4.9"/>
    <col collapsed="false" customWidth="true" hidden="false" outlineLevel="0" max="2" min="2" style="13" width="16.4"/>
    <col collapsed="false" customWidth="true" hidden="false" outlineLevel="0" max="3" min="3" style="13" width="10.05"/>
    <col collapsed="false" customWidth="true" hidden="false" outlineLevel="0" max="4" min="4" style="13" width="9.36"/>
    <col collapsed="false" customWidth="false" hidden="false" outlineLevel="0" max="5" min="5" style="13" width="12.8"/>
    <col collapsed="false" customWidth="true" hidden="false" outlineLevel="0" max="6" min="6" style="13" width="9.88"/>
    <col collapsed="false" customWidth="false" hidden="false" outlineLevel="0" max="7" min="7" style="13" width="12.8"/>
    <col collapsed="false" customWidth="true" hidden="false" outlineLevel="0" max="8" min="8" style="13" width="26.52"/>
    <col collapsed="false" customWidth="true" hidden="false" outlineLevel="0" max="9" min="9" style="13" width="45.57"/>
    <col collapsed="false" customWidth="false" hidden="false" outlineLevel="0" max="16384" min="10" style="13" width="12.8"/>
  </cols>
  <sheetData>
    <row r="1" customFormat="false" ht="12.8" hidden="false" customHeight="false" outlineLevel="0" collapsed="false">
      <c r="A1" s="13" t="s">
        <v>230</v>
      </c>
      <c r="B1" s="12" t="s">
        <v>882</v>
      </c>
      <c r="C1" s="12" t="s">
        <v>883</v>
      </c>
      <c r="D1" s="12" t="s">
        <v>884</v>
      </c>
      <c r="E1" s="12" t="s">
        <v>90</v>
      </c>
      <c r="F1" s="12" t="s">
        <v>91</v>
      </c>
      <c r="G1" s="12" t="s">
        <v>885</v>
      </c>
      <c r="H1" s="13" t="s">
        <v>886</v>
      </c>
      <c r="I1" s="13" t="s">
        <v>887</v>
      </c>
    </row>
    <row r="2" customFormat="false" ht="12.8" hidden="false" customHeight="false" outlineLevel="0" collapsed="false">
      <c r="A2" s="13" t="n">
        <v>0</v>
      </c>
      <c r="B2" s="12" t="s">
        <v>474</v>
      </c>
      <c r="C2" s="12" t="s">
        <v>51</v>
      </c>
      <c r="D2" s="12" t="s">
        <v>888</v>
      </c>
      <c r="E2" s="12" t="s">
        <v>57</v>
      </c>
      <c r="F2" s="12" t="s">
        <v>49</v>
      </c>
      <c r="G2" s="12" t="s">
        <v>761</v>
      </c>
      <c r="H2" s="13" t="s">
        <v>889</v>
      </c>
      <c r="I2" s="13" t="s">
        <v>890</v>
      </c>
    </row>
    <row r="3" customFormat="false" ht="12.8" hidden="false" customHeight="false" outlineLevel="0" collapsed="false">
      <c r="A3" s="13" t="n">
        <v>1</v>
      </c>
      <c r="B3" s="12" t="s">
        <v>891</v>
      </c>
      <c r="C3" s="12" t="s">
        <v>38</v>
      </c>
      <c r="D3" s="12" t="s">
        <v>892</v>
      </c>
      <c r="E3" s="12" t="s">
        <v>48</v>
      </c>
      <c r="F3" s="12" t="s">
        <v>55</v>
      </c>
      <c r="G3" s="12" t="s">
        <v>764</v>
      </c>
      <c r="H3" s="13" t="s">
        <v>893</v>
      </c>
      <c r="I3" s="13" t="s">
        <v>894</v>
      </c>
    </row>
    <row r="4" customFormat="false" ht="12.8" hidden="false" customHeight="false" outlineLevel="0" collapsed="false">
      <c r="A4" s="13" t="n">
        <v>2</v>
      </c>
      <c r="B4" s="12" t="s">
        <v>442</v>
      </c>
      <c r="C4" s="12" t="s">
        <v>47</v>
      </c>
      <c r="D4" s="12" t="s">
        <v>895</v>
      </c>
      <c r="E4" s="12" t="s">
        <v>439</v>
      </c>
      <c r="F4" s="12" t="s">
        <v>59</v>
      </c>
      <c r="G4" s="12" t="s">
        <v>896</v>
      </c>
      <c r="H4" s="13" t="s">
        <v>897</v>
      </c>
      <c r="I4" s="13" t="s">
        <v>898</v>
      </c>
    </row>
    <row r="5" customFormat="false" ht="12.8" hidden="false" customHeight="false" outlineLevel="0" collapsed="false">
      <c r="A5" s="13" t="n">
        <v>3</v>
      </c>
      <c r="B5" s="12" t="s">
        <v>857</v>
      </c>
      <c r="C5" s="12" t="s">
        <v>63</v>
      </c>
      <c r="D5" s="12" t="s">
        <v>899</v>
      </c>
      <c r="F5" s="13" t="s">
        <v>67</v>
      </c>
      <c r="G5" s="12" t="s">
        <v>766</v>
      </c>
      <c r="H5" s="13" t="s">
        <v>900</v>
      </c>
      <c r="I5" s="13" t="s">
        <v>901</v>
      </c>
    </row>
    <row r="6" customFormat="false" ht="12.8" hidden="false" customHeight="false" outlineLevel="0" collapsed="false">
      <c r="A6" s="13" t="n">
        <v>4</v>
      </c>
      <c r="B6" s="12" t="s">
        <v>503</v>
      </c>
      <c r="C6" s="12" t="s">
        <v>54</v>
      </c>
      <c r="D6" s="12" t="s">
        <v>902</v>
      </c>
      <c r="F6" s="13" t="s">
        <v>52</v>
      </c>
      <c r="G6" s="12" t="s">
        <v>769</v>
      </c>
      <c r="H6" s="13" t="s">
        <v>903</v>
      </c>
      <c r="I6" s="13" t="s">
        <v>904</v>
      </c>
    </row>
    <row r="7" customFormat="false" ht="12.8" hidden="false" customHeight="false" outlineLevel="0" collapsed="false">
      <c r="A7" s="13" t="n">
        <v>5</v>
      </c>
      <c r="B7" s="12" t="s">
        <v>905</v>
      </c>
      <c r="C7" s="13" t="s">
        <v>906</v>
      </c>
      <c r="D7" s="13" t="s">
        <v>907</v>
      </c>
      <c r="F7" s="13" t="s">
        <v>84</v>
      </c>
      <c r="G7" s="12" t="s">
        <v>445</v>
      </c>
      <c r="H7" s="13" t="s">
        <v>908</v>
      </c>
      <c r="I7" s="13" t="s">
        <v>909</v>
      </c>
    </row>
    <row r="8" customFormat="false" ht="12.8" hidden="false" customHeight="false" outlineLevel="0" collapsed="false">
      <c r="A8" s="13" t="n">
        <v>6</v>
      </c>
      <c r="B8" s="12" t="s">
        <v>432</v>
      </c>
      <c r="F8" s="13" t="s">
        <v>910</v>
      </c>
      <c r="H8" s="13" t="s">
        <v>911</v>
      </c>
      <c r="I8" s="13" t="s">
        <v>912</v>
      </c>
    </row>
    <row r="9" customFormat="false" ht="12.8" hidden="false" customHeight="false" outlineLevel="0" collapsed="false">
      <c r="A9" s="13" t="n">
        <v>7</v>
      </c>
      <c r="B9" s="12" t="s">
        <v>456</v>
      </c>
      <c r="H9" s="13" t="s">
        <v>913</v>
      </c>
      <c r="I9" s="13" t="s">
        <v>914</v>
      </c>
    </row>
    <row r="10" customFormat="false" ht="12.8" hidden="false" customHeight="false" outlineLevel="0" collapsed="false">
      <c r="A10" s="13" t="n">
        <v>8</v>
      </c>
      <c r="B10" s="12" t="s">
        <v>625</v>
      </c>
      <c r="H10" s="13" t="s">
        <v>915</v>
      </c>
      <c r="I10" s="13" t="s">
        <v>916</v>
      </c>
    </row>
    <row r="11" customFormat="false" ht="12.8" hidden="false" customHeight="false" outlineLevel="0" collapsed="false">
      <c r="A11" s="13" t="n">
        <v>9</v>
      </c>
      <c r="B11" s="12" t="s">
        <v>471</v>
      </c>
      <c r="H11" s="13" t="s">
        <v>917</v>
      </c>
      <c r="I11" s="13" t="s">
        <v>918</v>
      </c>
    </row>
    <row r="12" customFormat="false" ht="12.8" hidden="false" customHeight="false" outlineLevel="0" collapsed="false">
      <c r="A12" s="13" t="n">
        <v>10</v>
      </c>
      <c r="B12" s="12" t="s">
        <v>469</v>
      </c>
      <c r="H12" s="13" t="s">
        <v>919</v>
      </c>
      <c r="I12" s="13" t="s">
        <v>920</v>
      </c>
    </row>
    <row r="13" customFormat="false" ht="12.8" hidden="false" customHeight="false" outlineLevel="0" collapsed="false">
      <c r="A13" s="13" t="n">
        <v>11</v>
      </c>
      <c r="B13" s="12" t="s">
        <v>71</v>
      </c>
      <c r="H13" s="13" t="s">
        <v>921</v>
      </c>
      <c r="I13" s="13" t="s">
        <v>922</v>
      </c>
    </row>
    <row r="14" customFormat="false" ht="12.8" hidden="false" customHeight="false" outlineLevel="0" collapsed="false">
      <c r="A14" s="13" t="n">
        <v>12</v>
      </c>
      <c r="B14" s="12" t="s">
        <v>923</v>
      </c>
    </row>
    <row r="15" customFormat="false" ht="12.8" hidden="false" customHeight="false" outlineLevel="0" collapsed="false">
      <c r="A15" s="13" t="n">
        <v>13</v>
      </c>
      <c r="B15" s="12" t="s">
        <v>465</v>
      </c>
    </row>
    <row r="16" customFormat="false" ht="12.8" hidden="false" customHeight="false" outlineLevel="0" collapsed="false">
      <c r="A16" s="13" t="n">
        <v>14</v>
      </c>
      <c r="B16" s="12" t="s">
        <v>564</v>
      </c>
    </row>
    <row r="17" customFormat="false" ht="12.8" hidden="false" customHeight="false" outlineLevel="0" collapsed="false">
      <c r="A17" s="13" t="n">
        <v>15</v>
      </c>
      <c r="B17" s="12" t="s">
        <v>736</v>
      </c>
    </row>
    <row r="18" customFormat="false" ht="12.8" hidden="false" customHeight="false" outlineLevel="0" collapsed="false">
      <c r="A18" s="13" t="n">
        <v>16</v>
      </c>
      <c r="B18" s="12" t="s">
        <v>582</v>
      </c>
    </row>
    <row r="19" customFormat="false" ht="12.8" hidden="false" customHeight="false" outlineLevel="0" collapsed="false">
      <c r="A19" s="13" t="n">
        <v>17</v>
      </c>
      <c r="B19" s="12" t="s">
        <v>438</v>
      </c>
    </row>
    <row r="20" customFormat="false" ht="12.8" hidden="false" customHeight="false" outlineLevel="0" collapsed="false">
      <c r="A20" s="13" t="n">
        <v>18</v>
      </c>
      <c r="B20" s="12" t="s">
        <v>628</v>
      </c>
    </row>
    <row r="21" customFormat="false" ht="12.8" hidden="false" customHeight="false" outlineLevel="0" collapsed="false">
      <c r="A21" s="13" t="n">
        <v>19</v>
      </c>
      <c r="B21" s="12" t="s">
        <v>448</v>
      </c>
    </row>
    <row r="22" customFormat="false" ht="12.8" hidden="false" customHeight="false" outlineLevel="0" collapsed="false">
      <c r="A22" s="13" t="n">
        <v>20</v>
      </c>
      <c r="B22" s="12" t="s">
        <v>924</v>
      </c>
    </row>
    <row r="23" customFormat="false" ht="12.8" hidden="false" customHeight="false" outlineLevel="0" collapsed="false">
      <c r="A23" s="13" t="n">
        <v>21</v>
      </c>
      <c r="B23" s="12" t="s">
        <v>698</v>
      </c>
    </row>
    <row r="24" customFormat="false" ht="12.8" hidden="false" customHeight="false" outlineLevel="0" collapsed="false">
      <c r="A24" s="13" t="n">
        <v>22</v>
      </c>
      <c r="B24" s="12" t="s">
        <v>881</v>
      </c>
    </row>
    <row r="25" customFormat="false" ht="12.8" hidden="false" customHeight="false" outlineLevel="0" collapsed="false">
      <c r="A25" s="13" t="n">
        <v>23</v>
      </c>
      <c r="B25" s="12" t="s">
        <v>925</v>
      </c>
    </row>
    <row r="26" customFormat="false" ht="12.8" hidden="false" customHeight="false" outlineLevel="0" collapsed="false">
      <c r="A26" s="13" t="n">
        <v>24</v>
      </c>
      <c r="B26" s="12" t="s">
        <v>926</v>
      </c>
    </row>
    <row r="27" customFormat="false" ht="12.8" hidden="false" customHeight="true" outlineLevel="0" collapsed="false">
      <c r="A27" s="13" t="n">
        <v>25</v>
      </c>
      <c r="B27" s="12" t="s">
        <v>861</v>
      </c>
    </row>
    <row r="28" customFormat="false" ht="12.8" hidden="false" customHeight="true" outlineLevel="0" collapsed="false">
      <c r="A28" s="13" t="n">
        <v>26</v>
      </c>
      <c r="B28" s="12" t="s">
        <v>870</v>
      </c>
    </row>
    <row r="29" customFormat="false" ht="12.8" hidden="false" customHeight="true" outlineLevel="0" collapsed="false">
      <c r="A29" s="13" t="n">
        <v>27</v>
      </c>
      <c r="B29" s="12" t="s">
        <v>927</v>
      </c>
    </row>
    <row r="30" customFormat="false" ht="12.8" hidden="false" customHeight="true" outlineLevel="0" collapsed="false">
      <c r="A30" s="13" t="n">
        <v>28</v>
      </c>
      <c r="B30" s="12" t="s">
        <v>667</v>
      </c>
    </row>
    <row r="31" customFormat="false" ht="12.8" hidden="false" customHeight="true" outlineLevel="0" collapsed="false">
      <c r="A31" s="13" t="n">
        <v>29</v>
      </c>
      <c r="B31" s="12" t="s">
        <v>928</v>
      </c>
    </row>
    <row r="32" customFormat="false" ht="12.8" hidden="false" customHeight="true" outlineLevel="0" collapsed="false">
      <c r="A32" s="13" t="n">
        <v>30</v>
      </c>
      <c r="B32" s="12" t="s">
        <v>637</v>
      </c>
    </row>
    <row r="33" customFormat="false" ht="12.8" hidden="false" customHeight="true" outlineLevel="0" collapsed="false">
      <c r="A33" s="13" t="n">
        <v>31</v>
      </c>
      <c r="B33" s="12" t="s">
        <v>669</v>
      </c>
    </row>
    <row r="34" customFormat="false" ht="12.8" hidden="false" customHeight="true" outlineLevel="0" collapsed="false">
      <c r="A34" s="13" t="n">
        <v>32</v>
      </c>
      <c r="B34" s="12" t="s">
        <v>929</v>
      </c>
    </row>
    <row r="35" customFormat="false" ht="12.8" hidden="false" customHeight="true" outlineLevel="0" collapsed="false">
      <c r="A35" s="13" t="n">
        <v>33</v>
      </c>
    </row>
    <row r="36" customFormat="false" ht="12.8" hidden="false" customHeight="true" outlineLevel="0" collapsed="false">
      <c r="A36" s="13" t="n">
        <v>34</v>
      </c>
    </row>
    <row r="37" customFormat="false" ht="12.8" hidden="false" customHeight="true" outlineLevel="0" collapsed="false">
      <c r="A37" s="13" t="n">
        <v>35</v>
      </c>
    </row>
    <row r="38" customFormat="false" ht="12.8" hidden="false" customHeight="true" outlineLevel="0" collapsed="false">
      <c r="A38" s="13" t="n">
        <v>36</v>
      </c>
    </row>
    <row r="39" customFormat="false" ht="12.8" hidden="false" customHeight="true" outlineLevel="0" collapsed="false">
      <c r="A39" s="13" t="n">
        <v>37</v>
      </c>
    </row>
    <row r="40" customFormat="false" ht="12.8" hidden="false" customHeight="true" outlineLevel="0" collapsed="false">
      <c r="A40" s="13" t="n">
        <v>38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&amp;C&amp;"Arial,標準"&amp;A</oddHeader>
    <oddFooter>&amp;C&amp;"Arial,標準"ページ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30270</TotalTime>
  <Application>LibreOffice/25.2.4.3$Windows_X86_64 LibreOffice_project/33e196637044ead23f5c3226cde09b47731f7e27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2025-02-09T18:36:48Z</dcterms:created>
  <dc:creator/>
  <dc:description/>
  <dc:language>ja-JP</dc:language>
  <cp:lastModifiedBy/>
  <dcterms:modified xsi:type="dcterms:W3CDTF">2025-08-09T16:29:47Z</dcterms:modified>
  <cp:revision>73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