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Equivaluesearch\Financial Modelling and Valuation\SRL\"/>
    </mc:Choice>
  </mc:AlternateContent>
  <xr:revisionPtr revIDLastSave="0" documentId="13_ncr:1_{02ECC095-EB1E-4565-84A0-736F758BAFE5}" xr6:coauthVersionLast="47" xr6:coauthVersionMax="47" xr10:uidLastSave="{00000000-0000-0000-0000-000000000000}"/>
  <bookViews>
    <workbookView xWindow="-108" yWindow="-108" windowWidth="23256" windowHeight="12456" firstSheet="4" activeTab="4" xr2:uid="{B39EFE7A-2F03-4B72-BE8A-4793660C0338}"/>
  </bookViews>
  <sheets>
    <sheet name="Basics" sheetId="8" state="hidden" r:id="rId1"/>
    <sheet name="% Breakup" sheetId="10" state="hidden" r:id="rId2"/>
    <sheet name="P&amp;L" sheetId="3" r:id="rId3"/>
    <sheet name="BS" sheetId="4" r:id="rId4"/>
    <sheet name="Cash Flow" sheetId="6" r:id="rId5"/>
    <sheet name="Fixed Asset" sheetId="15" r:id="rId6"/>
    <sheet name="Other Equity" sheetId="14" r:id="rId7"/>
    <sheet name="Working Capital Schedule" sheetId="19" r:id="rId8"/>
    <sheet name="Debt Schedule" sheetId="16" r:id="rId9"/>
    <sheet name="DCF" sheetId="20" r:id="rId10"/>
    <sheet name="WACC" sheetId="21" r:id="rId11"/>
    <sheet name="Sales breakup 1" sheetId="17" state="hidden" r:id="rId12"/>
    <sheet name="Quarterly P&amp;L" sheetId="2" state="hidden" r:id="rId13"/>
    <sheet name="Sheet1" sheetId="12" state="hidden" r:id="rId14"/>
    <sheet name="Snapshot" sheetId="9" state="hidden" r:id="rId15"/>
    <sheet name="Result PL" sheetId="1" state="hidden" r:id="rId16"/>
    <sheet name="AR PL" sheetId="5" r:id="rId17"/>
    <sheet name="Sheet5" sheetId="18" state="hidden" r:id="rId18"/>
    <sheet name="Sheet4" sheetId="13" state="hidden" r:id="rId19"/>
    <sheet name="Sheet3" sheetId="11" state="hidden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0" l="1"/>
  <c r="B21" i="20"/>
  <c r="C17" i="20" l="1"/>
  <c r="D17" i="20"/>
  <c r="E17" i="20"/>
  <c r="B17" i="20"/>
  <c r="C8" i="20"/>
  <c r="D8" i="20"/>
  <c r="E8" i="20"/>
  <c r="F8" i="20"/>
  <c r="B8" i="20"/>
  <c r="C7" i="20"/>
  <c r="D7" i="20"/>
  <c r="E7" i="20"/>
  <c r="F7" i="20"/>
  <c r="B7" i="20"/>
  <c r="D17" i="21"/>
  <c r="D16" i="21"/>
  <c r="D15" i="21"/>
  <c r="C16" i="21"/>
  <c r="C15" i="21"/>
  <c r="B16" i="21"/>
  <c r="B15" i="21"/>
  <c r="B7" i="21"/>
  <c r="C5" i="20"/>
  <c r="D5" i="20"/>
  <c r="E5" i="20"/>
  <c r="F5" i="20"/>
  <c r="B5" i="20"/>
  <c r="C4" i="20"/>
  <c r="D4" i="20"/>
  <c r="E4" i="20"/>
  <c r="F4" i="20"/>
  <c r="B4" i="20"/>
  <c r="D2" i="21" l="1"/>
  <c r="E2" i="21"/>
  <c r="C2" i="21"/>
  <c r="C3" i="20" l="1"/>
  <c r="D3" i="20"/>
  <c r="E3" i="20"/>
  <c r="F3" i="20"/>
  <c r="B3" i="20"/>
  <c r="F25" i="4"/>
  <c r="G25" i="4"/>
  <c r="H25" i="4"/>
  <c r="I25" i="4"/>
  <c r="E25" i="4"/>
  <c r="F58" i="6"/>
  <c r="E58" i="6"/>
  <c r="F57" i="6"/>
  <c r="G57" i="6"/>
  <c r="G58" i="6" s="1"/>
  <c r="H57" i="6" s="1"/>
  <c r="H58" i="6" s="1"/>
  <c r="I57" i="6" s="1"/>
  <c r="I58" i="6" s="1"/>
  <c r="E57" i="6"/>
  <c r="E56" i="6"/>
  <c r="F56" i="6"/>
  <c r="G56" i="6"/>
  <c r="H56" i="6"/>
  <c r="I56" i="6"/>
  <c r="E54" i="6"/>
  <c r="F54" i="6"/>
  <c r="G54" i="6"/>
  <c r="H54" i="6"/>
  <c r="I54" i="6"/>
  <c r="E44" i="6"/>
  <c r="F44" i="6"/>
  <c r="G44" i="6"/>
  <c r="H44" i="6"/>
  <c r="I44" i="6"/>
  <c r="E34" i="6"/>
  <c r="F34" i="6"/>
  <c r="G34" i="6"/>
  <c r="H34" i="6"/>
  <c r="I34" i="6"/>
  <c r="F53" i="6"/>
  <c r="G53" i="6"/>
  <c r="H53" i="6"/>
  <c r="I53" i="6"/>
  <c r="E53" i="6"/>
  <c r="F50" i="6"/>
  <c r="G50" i="6"/>
  <c r="H50" i="6"/>
  <c r="I50" i="6"/>
  <c r="E50" i="6"/>
  <c r="F49" i="6"/>
  <c r="G49" i="6"/>
  <c r="H49" i="6"/>
  <c r="I49" i="6"/>
  <c r="E49" i="6"/>
  <c r="F51" i="6"/>
  <c r="G51" i="6"/>
  <c r="H51" i="6"/>
  <c r="I51" i="6"/>
  <c r="E51" i="6"/>
  <c r="F41" i="6"/>
  <c r="G41" i="6"/>
  <c r="H41" i="6"/>
  <c r="I41" i="6"/>
  <c r="E41" i="6"/>
  <c r="F28" i="6"/>
  <c r="G28" i="6"/>
  <c r="H28" i="6"/>
  <c r="I28" i="6"/>
  <c r="E28" i="6"/>
  <c r="F22" i="6"/>
  <c r="G22" i="6"/>
  <c r="H22" i="6"/>
  <c r="I22" i="6"/>
  <c r="E22" i="6"/>
  <c r="F21" i="6"/>
  <c r="G21" i="6"/>
  <c r="H21" i="6"/>
  <c r="I21" i="6"/>
  <c r="E21" i="6"/>
  <c r="F14" i="6"/>
  <c r="G14" i="6"/>
  <c r="H14" i="6"/>
  <c r="I14" i="6"/>
  <c r="E14" i="6"/>
  <c r="F8" i="6"/>
  <c r="G8" i="6"/>
  <c r="H8" i="6"/>
  <c r="I8" i="6"/>
  <c r="E8" i="6"/>
  <c r="F5" i="6"/>
  <c r="G5" i="6"/>
  <c r="H5" i="6"/>
  <c r="I5" i="6"/>
  <c r="E5" i="6"/>
  <c r="F54" i="4"/>
  <c r="G54" i="4"/>
  <c r="H54" i="4"/>
  <c r="I54" i="4"/>
  <c r="E54" i="4"/>
  <c r="F50" i="4"/>
  <c r="G50" i="4"/>
  <c r="H50" i="4"/>
  <c r="I50" i="4"/>
  <c r="E50" i="4"/>
  <c r="F41" i="4"/>
  <c r="G41" i="4"/>
  <c r="H41" i="4"/>
  <c r="I41" i="4"/>
  <c r="E41" i="4"/>
  <c r="F36" i="4"/>
  <c r="G36" i="4"/>
  <c r="H36" i="4"/>
  <c r="I36" i="4"/>
  <c r="E36" i="4"/>
  <c r="F24" i="4"/>
  <c r="G24" i="4"/>
  <c r="H24" i="4"/>
  <c r="I24" i="4"/>
  <c r="E24" i="4"/>
  <c r="F21" i="4"/>
  <c r="G21" i="4"/>
  <c r="H21" i="4"/>
  <c r="I21" i="4"/>
  <c r="E21" i="4"/>
  <c r="F7" i="4"/>
  <c r="G7" i="4"/>
  <c r="H7" i="4"/>
  <c r="I7" i="4"/>
  <c r="E7" i="4"/>
  <c r="F33" i="3"/>
  <c r="G33" i="3"/>
  <c r="H33" i="3"/>
  <c r="I33" i="3"/>
  <c r="E33" i="3"/>
  <c r="B18" i="16"/>
  <c r="C18" i="16"/>
  <c r="B14" i="16"/>
  <c r="C14" i="16"/>
  <c r="D18" i="16"/>
  <c r="D14" i="16"/>
  <c r="C12" i="16"/>
  <c r="D12" i="16"/>
  <c r="B12" i="16"/>
  <c r="C6" i="16"/>
  <c r="D6" i="16"/>
  <c r="B6" i="16"/>
  <c r="C8" i="19" l="1"/>
  <c r="D8" i="19"/>
  <c r="B8" i="19"/>
  <c r="C7" i="19"/>
  <c r="D7" i="19"/>
  <c r="B7" i="19"/>
  <c r="C6" i="19"/>
  <c r="D6" i="19"/>
  <c r="B6" i="19"/>
  <c r="D12" i="14"/>
  <c r="F31" i="3"/>
  <c r="G31" i="3"/>
  <c r="H31" i="3"/>
  <c r="I31" i="3"/>
  <c r="E31" i="3"/>
  <c r="C7" i="14"/>
  <c r="D7" i="14"/>
  <c r="B7" i="14"/>
  <c r="F11" i="15" l="1"/>
  <c r="G11" i="15"/>
  <c r="H11" i="15"/>
  <c r="I11" i="15"/>
  <c r="E11" i="15"/>
  <c r="E10" i="15"/>
  <c r="D10" i="15"/>
  <c r="C14" i="15"/>
  <c r="D14" i="15"/>
  <c r="C10" i="15"/>
  <c r="B14" i="15"/>
  <c r="E7" i="15"/>
  <c r="E3" i="15"/>
  <c r="F3" i="15"/>
  <c r="F7" i="15" s="1"/>
  <c r="D7" i="15"/>
  <c r="D3" i="15"/>
  <c r="C7" i="15"/>
  <c r="C3" i="15"/>
  <c r="B7" i="15"/>
  <c r="B58" i="6"/>
  <c r="B56" i="6"/>
  <c r="B54" i="6"/>
  <c r="B44" i="6"/>
  <c r="B34" i="6"/>
  <c r="D1" i="6"/>
  <c r="G3" i="15" l="1"/>
  <c r="G7" i="15" l="1"/>
  <c r="H3" i="15" s="1"/>
  <c r="H7" i="15" l="1"/>
  <c r="I3" i="15" s="1"/>
  <c r="I7" i="15" s="1"/>
  <c r="E19" i="4" l="1"/>
  <c r="F19" i="4"/>
  <c r="G19" i="4"/>
  <c r="H19" i="4"/>
  <c r="I19" i="4"/>
  <c r="E30" i="4"/>
  <c r="F30" i="4"/>
  <c r="G30" i="4"/>
  <c r="H30" i="4"/>
  <c r="I30" i="4"/>
  <c r="I32" i="4" s="1"/>
  <c r="H32" i="4"/>
  <c r="E37" i="4"/>
  <c r="F37" i="4"/>
  <c r="G37" i="4"/>
  <c r="H37" i="4"/>
  <c r="I37" i="4"/>
  <c r="E47" i="4"/>
  <c r="F47" i="4"/>
  <c r="G47" i="4"/>
  <c r="H47" i="4"/>
  <c r="I47" i="4"/>
  <c r="E59" i="4"/>
  <c r="F59" i="4"/>
  <c r="G59" i="4"/>
  <c r="H59" i="4"/>
  <c r="H60" i="4" s="1"/>
  <c r="I59" i="4"/>
  <c r="I60" i="4" s="1"/>
  <c r="D2" i="4"/>
  <c r="D59" i="4"/>
  <c r="D60" i="4"/>
  <c r="D61" i="4"/>
  <c r="D47" i="4"/>
  <c r="D37" i="4"/>
  <c r="D32" i="4"/>
  <c r="D30" i="4"/>
  <c r="D19" i="4"/>
  <c r="C61" i="4"/>
  <c r="C60" i="4"/>
  <c r="C59" i="4"/>
  <c r="C47" i="4"/>
  <c r="C37" i="4"/>
  <c r="C30" i="4"/>
  <c r="C19" i="4"/>
  <c r="C32" i="4" s="1"/>
  <c r="C2" i="4" s="1"/>
  <c r="B61" i="4"/>
  <c r="B60" i="4"/>
  <c r="B59" i="4"/>
  <c r="B47" i="4"/>
  <c r="B37" i="4"/>
  <c r="B32" i="4"/>
  <c r="B2" i="4" s="1"/>
  <c r="B30" i="4"/>
  <c r="B19" i="4"/>
  <c r="F53" i="3"/>
  <c r="G53" i="3"/>
  <c r="H53" i="3"/>
  <c r="I53" i="3"/>
  <c r="E53" i="3"/>
  <c r="F35" i="3"/>
  <c r="F39" i="3" s="1"/>
  <c r="F42" i="3" s="1"/>
  <c r="F44" i="3" s="1"/>
  <c r="F46" i="3" s="1"/>
  <c r="E32" i="3"/>
  <c r="E35" i="3" s="1"/>
  <c r="E39" i="3" s="1"/>
  <c r="E42" i="3" s="1"/>
  <c r="F32" i="3"/>
  <c r="G32" i="3"/>
  <c r="G35" i="3" s="1"/>
  <c r="G39" i="3" s="1"/>
  <c r="G42" i="3" s="1"/>
  <c r="G44" i="3" s="1"/>
  <c r="G46" i="3" s="1"/>
  <c r="G54" i="3" s="1"/>
  <c r="H32" i="3"/>
  <c r="H35" i="3" s="1"/>
  <c r="H39" i="3" s="1"/>
  <c r="H42" i="3" s="1"/>
  <c r="H44" i="3" s="1"/>
  <c r="H46" i="3" s="1"/>
  <c r="H54" i="3" s="1"/>
  <c r="I32" i="3"/>
  <c r="I35" i="3" s="1"/>
  <c r="I39" i="3" s="1"/>
  <c r="I42" i="3" s="1"/>
  <c r="I44" i="3" s="1"/>
  <c r="I46" i="3" s="1"/>
  <c r="I54" i="3" s="1"/>
  <c r="E30" i="3"/>
  <c r="F30" i="3"/>
  <c r="G30" i="3"/>
  <c r="H30" i="3"/>
  <c r="I30" i="3"/>
  <c r="E28" i="3"/>
  <c r="F28" i="3"/>
  <c r="G28" i="3"/>
  <c r="H28" i="3"/>
  <c r="I28" i="3"/>
  <c r="F24" i="3"/>
  <c r="G24" i="3" s="1"/>
  <c r="H24" i="3" s="1"/>
  <c r="I24" i="3" s="1"/>
  <c r="E24" i="3"/>
  <c r="F22" i="3"/>
  <c r="G22" i="3"/>
  <c r="H22" i="3"/>
  <c r="I22" i="3"/>
  <c r="E22" i="3"/>
  <c r="E20" i="3"/>
  <c r="F20" i="3"/>
  <c r="G20" i="3"/>
  <c r="H20" i="3"/>
  <c r="I20" i="3"/>
  <c r="E19" i="3"/>
  <c r="F19" i="3"/>
  <c r="G19" i="3"/>
  <c r="H19" i="3"/>
  <c r="I19" i="3"/>
  <c r="F16" i="3"/>
  <c r="G16" i="3"/>
  <c r="H16" i="3"/>
  <c r="I16" i="3"/>
  <c r="E16" i="3"/>
  <c r="E11" i="3"/>
  <c r="F11" i="3"/>
  <c r="G11" i="3"/>
  <c r="H11" i="3"/>
  <c r="I11" i="3"/>
  <c r="E10" i="3"/>
  <c r="F10" i="3"/>
  <c r="G10" i="3"/>
  <c r="H10" i="3"/>
  <c r="I10" i="3"/>
  <c r="F6" i="3"/>
  <c r="G6" i="3"/>
  <c r="H6" i="3"/>
  <c r="I6" i="3"/>
  <c r="E6" i="3"/>
  <c r="C54" i="3"/>
  <c r="D54" i="3"/>
  <c r="B54" i="3"/>
  <c r="C51" i="3"/>
  <c r="D51" i="3"/>
  <c r="C52" i="3"/>
  <c r="D52" i="3"/>
  <c r="C53" i="3"/>
  <c r="D53" i="3"/>
  <c r="B51" i="3"/>
  <c r="B52" i="3"/>
  <c r="B53" i="3"/>
  <c r="C30" i="5"/>
  <c r="D30" i="5"/>
  <c r="B30" i="5"/>
  <c r="C29" i="5"/>
  <c r="D29" i="5"/>
  <c r="B29" i="5"/>
  <c r="E32" i="4" l="1"/>
  <c r="F48" i="3"/>
  <c r="F54" i="3"/>
  <c r="E44" i="3"/>
  <c r="E46" i="3" s="1"/>
  <c r="E60" i="4"/>
  <c r="F60" i="4"/>
  <c r="F61" i="4" s="1"/>
  <c r="G60" i="4"/>
  <c r="G61" i="4" s="1"/>
  <c r="H61" i="4"/>
  <c r="H2" i="4" s="1"/>
  <c r="E61" i="4"/>
  <c r="I61" i="4"/>
  <c r="I2" i="4" s="1"/>
  <c r="G32" i="4"/>
  <c r="G2" i="4" s="1"/>
  <c r="F32" i="4"/>
  <c r="G47" i="3"/>
  <c r="G48" i="3"/>
  <c r="I48" i="3"/>
  <c r="I47" i="3"/>
  <c r="H47" i="3"/>
  <c r="H48" i="3"/>
  <c r="F2" i="4" l="1"/>
  <c r="E2" i="4"/>
  <c r="E54" i="3"/>
  <c r="F47" i="3"/>
  <c r="E47" i="3"/>
  <c r="E48" i="3"/>
  <c r="C37" i="3"/>
  <c r="D37" i="3"/>
  <c r="B37" i="3"/>
  <c r="C22" i="3"/>
  <c r="D22" i="3"/>
  <c r="C31" i="3"/>
  <c r="D31" i="3"/>
  <c r="B31" i="3"/>
  <c r="C44" i="3"/>
  <c r="D44" i="3"/>
  <c r="B44" i="3"/>
  <c r="C33" i="3"/>
  <c r="D33" i="3"/>
  <c r="B33" i="3"/>
  <c r="C24" i="3"/>
  <c r="D24" i="3"/>
  <c r="B24" i="3"/>
  <c r="B22" i="3"/>
  <c r="C13" i="3"/>
  <c r="D13" i="3"/>
  <c r="C14" i="3"/>
  <c r="D14" i="3"/>
  <c r="C15" i="3"/>
  <c r="D15" i="3"/>
  <c r="B15" i="3"/>
  <c r="B14" i="3"/>
  <c r="B13" i="3"/>
  <c r="C6" i="3"/>
  <c r="D6" i="3"/>
  <c r="B6" i="3"/>
  <c r="C25" i="5"/>
  <c r="D25" i="5"/>
  <c r="B25" i="5"/>
  <c r="B24" i="5"/>
  <c r="C20" i="5"/>
  <c r="D20" i="5"/>
  <c r="B20" i="5"/>
  <c r="C14" i="5"/>
  <c r="D14" i="5"/>
  <c r="B14" i="5"/>
  <c r="C13" i="5"/>
  <c r="D13" i="5"/>
  <c r="B13" i="5"/>
  <c r="C4" i="5"/>
  <c r="D4" i="5"/>
  <c r="B4" i="5"/>
  <c r="D1" i="21" l="1"/>
  <c r="E1" i="21"/>
  <c r="C1" i="21"/>
  <c r="E1" i="6" l="1"/>
  <c r="B1" i="20" l="1"/>
  <c r="D1" i="20"/>
  <c r="E1" i="20"/>
  <c r="F1" i="20"/>
  <c r="C1" i="20"/>
  <c r="F1" i="6" l="1"/>
  <c r="G1" i="6"/>
  <c r="H1" i="6"/>
  <c r="I1" i="6"/>
  <c r="B18" i="15"/>
  <c r="C18" i="15"/>
  <c r="C16" i="15"/>
  <c r="B16" i="15"/>
  <c r="E9" i="16" l="1"/>
  <c r="E12" i="16" s="1"/>
  <c r="E3" i="16"/>
  <c r="E6" i="16" s="1"/>
  <c r="I1" i="15"/>
  <c r="E12" i="14"/>
  <c r="E6" i="14" s="1"/>
  <c r="F12" i="14"/>
  <c r="F6" i="14" s="1"/>
  <c r="G12" i="14"/>
  <c r="G6" i="14" s="1"/>
  <c r="H12" i="14"/>
  <c r="H6" i="14" s="1"/>
  <c r="I12" i="14"/>
  <c r="I6" i="14" s="1"/>
  <c r="E3" i="14"/>
  <c r="F9" i="16" l="1"/>
  <c r="F12" i="16" s="1"/>
  <c r="F3" i="16"/>
  <c r="F6" i="16" s="1"/>
  <c r="E14" i="16"/>
  <c r="E16" i="16" s="1"/>
  <c r="G3" i="16" l="1"/>
  <c r="G6" i="16" s="1"/>
  <c r="F14" i="16"/>
  <c r="F16" i="16" s="1"/>
  <c r="G9" i="16"/>
  <c r="G12" i="16" s="1"/>
  <c r="H9" i="16" l="1"/>
  <c r="H12" i="16" s="1"/>
  <c r="H3" i="16"/>
  <c r="H6" i="16" s="1"/>
  <c r="G14" i="16"/>
  <c r="G16" i="16" s="1"/>
  <c r="E14" i="15"/>
  <c r="F10" i="15" s="1"/>
  <c r="D18" i="15"/>
  <c r="E16" i="15" l="1"/>
  <c r="F14" i="15"/>
  <c r="G10" i="15" s="1"/>
  <c r="I9" i="16"/>
  <c r="I12" i="16" s="1"/>
  <c r="I3" i="16"/>
  <c r="I6" i="16" s="1"/>
  <c r="H14" i="16"/>
  <c r="H16" i="16" s="1"/>
  <c r="I1" i="16"/>
  <c r="I1" i="19"/>
  <c r="I2" i="14"/>
  <c r="D16" i="15"/>
  <c r="B6" i="21"/>
  <c r="B2" i="19"/>
  <c r="B4" i="19" s="1"/>
  <c r="B24" i="20"/>
  <c r="G14" i="15" l="1"/>
  <c r="H10" i="15" s="1"/>
  <c r="F16" i="15"/>
  <c r="B10" i="21"/>
  <c r="C23" i="3"/>
  <c r="D16" i="3"/>
  <c r="D3" i="19" s="1"/>
  <c r="C7" i="3"/>
  <c r="C2" i="19"/>
  <c r="D23" i="3"/>
  <c r="E2" i="19"/>
  <c r="D2" i="19"/>
  <c r="I14" i="16"/>
  <c r="I16" i="16" s="1"/>
  <c r="D7" i="3"/>
  <c r="H14" i="15" l="1"/>
  <c r="I10" i="15" s="1"/>
  <c r="G16" i="15"/>
  <c r="B12" i="21"/>
  <c r="E4" i="19"/>
  <c r="D4" i="19"/>
  <c r="D12" i="19"/>
  <c r="D17" i="19"/>
  <c r="C4" i="19"/>
  <c r="C14" i="19" s="1"/>
  <c r="C12" i="19"/>
  <c r="I14" i="15" l="1"/>
  <c r="I16" i="15" s="1"/>
  <c r="H16" i="15"/>
  <c r="D14" i="19"/>
  <c r="D19" i="19"/>
  <c r="F2" i="19"/>
  <c r="F4" i="19" l="1"/>
  <c r="E26" i="3"/>
  <c r="E3" i="19"/>
  <c r="G2" i="19"/>
  <c r="F26" i="3"/>
  <c r="F3" i="19"/>
  <c r="H1" i="15"/>
  <c r="H2" i="14"/>
  <c r="H1" i="19"/>
  <c r="H1" i="16"/>
  <c r="G4" i="19" l="1"/>
  <c r="I2" i="19"/>
  <c r="H2" i="19"/>
  <c r="E4" i="14"/>
  <c r="G26" i="3"/>
  <c r="G3" i="19"/>
  <c r="C16" i="3"/>
  <c r="C3" i="19" s="1"/>
  <c r="C13" i="19" s="1"/>
  <c r="C10" i="3"/>
  <c r="C25" i="3" s="1"/>
  <c r="H3" i="19" l="1"/>
  <c r="H4" i="19"/>
  <c r="F4" i="14"/>
  <c r="E7" i="14"/>
  <c r="I4" i="19"/>
  <c r="C19" i="3"/>
  <c r="C20" i="3" s="1"/>
  <c r="C26" i="3"/>
  <c r="C17" i="3"/>
  <c r="H26" i="3" l="1"/>
  <c r="C9" i="20"/>
  <c r="C11" i="20" s="1"/>
  <c r="G4" i="14"/>
  <c r="F3" i="14"/>
  <c r="C28" i="3"/>
  <c r="C30" i="3" s="1"/>
  <c r="G1" i="15"/>
  <c r="E1" i="16"/>
  <c r="F1" i="16"/>
  <c r="G1" i="16"/>
  <c r="C1" i="16"/>
  <c r="D1" i="16"/>
  <c r="G1" i="19"/>
  <c r="F1" i="19"/>
  <c r="E1" i="19"/>
  <c r="D1" i="19"/>
  <c r="C1" i="19"/>
  <c r="B1" i="19"/>
  <c r="G2" i="14"/>
  <c r="C1" i="6"/>
  <c r="F2" i="14"/>
  <c r="E2" i="14"/>
  <c r="D2" i="14"/>
  <c r="C2" i="14"/>
  <c r="F1" i="15"/>
  <c r="E1" i="15"/>
  <c r="D1" i="15"/>
  <c r="C1" i="15"/>
  <c r="H4" i="14" l="1"/>
  <c r="I3" i="19"/>
  <c r="I26" i="3"/>
  <c r="D9" i="20"/>
  <c r="D11" i="20" s="1"/>
  <c r="F7" i="14"/>
  <c r="C32" i="3"/>
  <c r="C35" i="3" s="1"/>
  <c r="C39" i="3" s="1"/>
  <c r="C42" i="3" s="1"/>
  <c r="C46" i="3" s="1"/>
  <c r="B16" i="3"/>
  <c r="B10" i="3"/>
  <c r="C11" i="3" s="1"/>
  <c r="B26" i="3" l="1"/>
  <c r="B28" i="3" s="1"/>
  <c r="B3" i="19"/>
  <c r="E9" i="20"/>
  <c r="E11" i="20" s="1"/>
  <c r="G3" i="14"/>
  <c r="G7" i="14" s="1"/>
  <c r="C48" i="3"/>
  <c r="C45" i="3"/>
  <c r="B25" i="3"/>
  <c r="B19" i="3"/>
  <c r="B20" i="3" s="1"/>
  <c r="B17" i="3"/>
  <c r="I4" i="14" l="1"/>
  <c r="H3" i="14"/>
  <c r="H7" i="14" s="1"/>
  <c r="B32" i="3"/>
  <c r="B35" i="3" s="1"/>
  <c r="B39" i="3" s="1"/>
  <c r="B42" i="3" s="1"/>
  <c r="B30" i="3"/>
  <c r="T6" i="8"/>
  <c r="T13" i="8"/>
  <c r="T18" i="8"/>
  <c r="S18" i="8"/>
  <c r="S13" i="8"/>
  <c r="S6" i="8"/>
  <c r="C12" i="8"/>
  <c r="D6" i="8"/>
  <c r="D11" i="8" s="1"/>
  <c r="C9" i="18"/>
  <c r="C11" i="18"/>
  <c r="C8" i="8"/>
  <c r="L6" i="8"/>
  <c r="H10" i="8"/>
  <c r="I10" i="8" s="1"/>
  <c r="J10" i="8" s="1"/>
  <c r="R18" i="8"/>
  <c r="R13" i="8"/>
  <c r="H9" i="8"/>
  <c r="I9" i="8" s="1"/>
  <c r="J9" i="8" s="1"/>
  <c r="R6" i="8"/>
  <c r="L7" i="8" s="1"/>
  <c r="K20" i="17"/>
  <c r="J20" i="17"/>
  <c r="I20" i="17"/>
  <c r="H20" i="17"/>
  <c r="G20" i="17"/>
  <c r="F20" i="17"/>
  <c r="E20" i="17"/>
  <c r="D20" i="17"/>
  <c r="C20" i="17"/>
  <c r="B20" i="17"/>
  <c r="K19" i="17"/>
  <c r="J19" i="17"/>
  <c r="I19" i="17"/>
  <c r="H19" i="17"/>
  <c r="G19" i="17"/>
  <c r="F19" i="17"/>
  <c r="E19" i="17"/>
  <c r="D19" i="17"/>
  <c r="C19" i="17"/>
  <c r="B19" i="17"/>
  <c r="M20" i="17"/>
  <c r="M19" i="17"/>
  <c r="Y16" i="17"/>
  <c r="X16" i="17"/>
  <c r="W16" i="17"/>
  <c r="V16" i="17"/>
  <c r="U16" i="17"/>
  <c r="T16" i="17"/>
  <c r="S16" i="17"/>
  <c r="R16" i="17"/>
  <c r="Q16" i="17"/>
  <c r="P16" i="17"/>
  <c r="O16" i="17"/>
  <c r="Y15" i="17"/>
  <c r="X15" i="17"/>
  <c r="W15" i="17"/>
  <c r="V15" i="17"/>
  <c r="U15" i="17"/>
  <c r="T15" i="17"/>
  <c r="S15" i="17"/>
  <c r="R15" i="17"/>
  <c r="Q15" i="17"/>
  <c r="P15" i="17"/>
  <c r="O15" i="17"/>
  <c r="N16" i="17"/>
  <c r="N15" i="17"/>
  <c r="Y12" i="17"/>
  <c r="X12" i="17"/>
  <c r="W12" i="17"/>
  <c r="V12" i="17"/>
  <c r="U12" i="17"/>
  <c r="T12" i="17"/>
  <c r="T17" i="17" s="1"/>
  <c r="S12" i="17"/>
  <c r="R12" i="17"/>
  <c r="Q12" i="17"/>
  <c r="P12" i="17"/>
  <c r="O12" i="17"/>
  <c r="N12" i="17"/>
  <c r="X13" i="17"/>
  <c r="W13" i="17"/>
  <c r="V13" i="17"/>
  <c r="U13" i="17"/>
  <c r="T13" i="17"/>
  <c r="S13" i="17"/>
  <c r="R13" i="17"/>
  <c r="Q13" i="17"/>
  <c r="P13" i="17"/>
  <c r="O13" i="17"/>
  <c r="N13" i="17"/>
  <c r="X11" i="17"/>
  <c r="W11" i="17"/>
  <c r="V11" i="17"/>
  <c r="U11" i="17"/>
  <c r="T11" i="17"/>
  <c r="S11" i="17"/>
  <c r="R11" i="17"/>
  <c r="Q11" i="17"/>
  <c r="P11" i="17"/>
  <c r="O11" i="17"/>
  <c r="N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Y9" i="17"/>
  <c r="X9" i="17"/>
  <c r="W9" i="17"/>
  <c r="V9" i="17"/>
  <c r="U9" i="17"/>
  <c r="T9" i="17"/>
  <c r="S9" i="17"/>
  <c r="R9" i="17"/>
  <c r="Q9" i="17"/>
  <c r="P9" i="17"/>
  <c r="O9" i="17"/>
  <c r="N9" i="17"/>
  <c r="Y5" i="17"/>
  <c r="X5" i="17"/>
  <c r="W5" i="17"/>
  <c r="V5" i="17"/>
  <c r="U5" i="17"/>
  <c r="T5" i="17"/>
  <c r="S5" i="17"/>
  <c r="R5" i="17"/>
  <c r="Q5" i="17"/>
  <c r="P5" i="17"/>
  <c r="O5" i="17"/>
  <c r="N5" i="17"/>
  <c r="Y4" i="17"/>
  <c r="X4" i="17"/>
  <c r="W4" i="17"/>
  <c r="V4" i="17"/>
  <c r="U4" i="17"/>
  <c r="T4" i="17"/>
  <c r="S4" i="17"/>
  <c r="R4" i="17"/>
  <c r="Q4" i="17"/>
  <c r="P4" i="17"/>
  <c r="O4" i="17"/>
  <c r="N4" i="17"/>
  <c r="Y3" i="17"/>
  <c r="Y20" i="17" s="1"/>
  <c r="X3" i="17"/>
  <c r="X20" i="17" s="1"/>
  <c r="W3" i="17"/>
  <c r="V3" i="17"/>
  <c r="V20" i="17" s="1"/>
  <c r="U3" i="17"/>
  <c r="U20" i="17" s="1"/>
  <c r="T3" i="17"/>
  <c r="T20" i="17" s="1"/>
  <c r="S3" i="17"/>
  <c r="R3" i="17"/>
  <c r="R20" i="17" s="1"/>
  <c r="Q3" i="17"/>
  <c r="Q20" i="17" s="1"/>
  <c r="P3" i="17"/>
  <c r="P20" i="17" s="1"/>
  <c r="O3" i="17"/>
  <c r="N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D6" i="11"/>
  <c r="B21" i="11"/>
  <c r="AA10" i="11"/>
  <c r="G3" i="11"/>
  <c r="H3" i="11" s="1"/>
  <c r="I3" i="11" s="1"/>
  <c r="J3" i="11" s="1"/>
  <c r="K3" i="11" s="1"/>
  <c r="K10" i="11" s="1"/>
  <c r="D3" i="11"/>
  <c r="AN17" i="17"/>
  <c r="AN16" i="17"/>
  <c r="AN56" i="17" s="1"/>
  <c r="AN15" i="17"/>
  <c r="AN14" i="17"/>
  <c r="AN54" i="17" s="1"/>
  <c r="AN13" i="17"/>
  <c r="AN53" i="17" s="1"/>
  <c r="AN12" i="17"/>
  <c r="AN52" i="17" s="1"/>
  <c r="AN11" i="17"/>
  <c r="AN51" i="17" s="1"/>
  <c r="AN10" i="17"/>
  <c r="AN50" i="17" s="1"/>
  <c r="AN9" i="17"/>
  <c r="AN49" i="17" s="1"/>
  <c r="AN8" i="17"/>
  <c r="AN48" i="17" s="1"/>
  <c r="AN7" i="17"/>
  <c r="AN47" i="17" s="1"/>
  <c r="AN6" i="17"/>
  <c r="AN46" i="17" s="1"/>
  <c r="AN5" i="17"/>
  <c r="AN45" i="17" s="1"/>
  <c r="AQ17" i="17"/>
  <c r="AP17" i="17"/>
  <c r="AO17" i="17"/>
  <c r="AQ16" i="17"/>
  <c r="AP16" i="17"/>
  <c r="AO16" i="17"/>
  <c r="AO56" i="17" s="1"/>
  <c r="AQ15" i="17"/>
  <c r="AP15" i="17"/>
  <c r="AO15" i="17"/>
  <c r="AO55" i="17" s="1"/>
  <c r="AN55" i="17"/>
  <c r="AQ14" i="17"/>
  <c r="AP14" i="17"/>
  <c r="AO14" i="17"/>
  <c r="AO54" i="17" s="1"/>
  <c r="AQ13" i="17"/>
  <c r="AP13" i="17"/>
  <c r="AO13" i="17"/>
  <c r="AO53" i="17" s="1"/>
  <c r="AQ12" i="17"/>
  <c r="AP12" i="17"/>
  <c r="AO12" i="17"/>
  <c r="AO52" i="17" s="1"/>
  <c r="AQ11" i="17"/>
  <c r="AP11" i="17"/>
  <c r="AO11" i="17"/>
  <c r="AO51" i="17" s="1"/>
  <c r="AQ10" i="17"/>
  <c r="AP10" i="17"/>
  <c r="AO10" i="17"/>
  <c r="AO50" i="17" s="1"/>
  <c r="AQ9" i="17"/>
  <c r="AP9" i="17"/>
  <c r="AO9" i="17"/>
  <c r="AO49" i="17" s="1"/>
  <c r="AQ8" i="17"/>
  <c r="AP8" i="17"/>
  <c r="AO8" i="17"/>
  <c r="AO48" i="17" s="1"/>
  <c r="AQ7" i="17"/>
  <c r="AP7" i="17"/>
  <c r="AO7" i="17"/>
  <c r="AO47" i="17" s="1"/>
  <c r="AQ6" i="17"/>
  <c r="AP6" i="17"/>
  <c r="AO6" i="17"/>
  <c r="AO46" i="17" s="1"/>
  <c r="AQ5" i="17"/>
  <c r="AP5" i="17"/>
  <c r="AO5" i="17"/>
  <c r="AO45" i="17" s="1"/>
  <c r="AQ3" i="17"/>
  <c r="AP3" i="17"/>
  <c r="AO3" i="17"/>
  <c r="AO43" i="17" s="1"/>
  <c r="AN3" i="17"/>
  <c r="AN43" i="17" s="1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L20" i="17"/>
  <c r="L19" i="17"/>
  <c r="M17" i="17"/>
  <c r="L17" i="17"/>
  <c r="J17" i="17"/>
  <c r="I17" i="17"/>
  <c r="H17" i="17"/>
  <c r="G17" i="17"/>
  <c r="F17" i="17"/>
  <c r="E17" i="17"/>
  <c r="D17" i="17"/>
  <c r="C17" i="17"/>
  <c r="B17" i="17"/>
  <c r="J2" i="17"/>
  <c r="I2" i="17"/>
  <c r="H2" i="17"/>
  <c r="G2" i="17"/>
  <c r="F2" i="17"/>
  <c r="E2" i="17"/>
  <c r="D2" i="17"/>
  <c r="C2" i="17"/>
  <c r="B2" i="17"/>
  <c r="F9" i="20" l="1"/>
  <c r="F10" i="20" s="1"/>
  <c r="I3" i="14"/>
  <c r="N17" i="17"/>
  <c r="N19" i="17"/>
  <c r="R19" i="17"/>
  <c r="V19" i="17"/>
  <c r="Y19" i="17"/>
  <c r="B45" i="3"/>
  <c r="B46" i="3"/>
  <c r="P17" i="17"/>
  <c r="X17" i="17"/>
  <c r="S19" i="17"/>
  <c r="N20" i="17"/>
  <c r="Q17" i="17"/>
  <c r="Y17" i="17"/>
  <c r="P19" i="17"/>
  <c r="T19" i="17"/>
  <c r="X19" i="17"/>
  <c r="O20" i="17"/>
  <c r="S20" i="17"/>
  <c r="W20" i="17"/>
  <c r="R17" i="17"/>
  <c r="V17" i="17"/>
  <c r="Q19" i="17"/>
  <c r="U19" i="17"/>
  <c r="O19" i="17"/>
  <c r="W19" i="17"/>
  <c r="U17" i="17"/>
  <c r="O17" i="17"/>
  <c r="S17" i="17"/>
  <c r="W17" i="17"/>
  <c r="M7" i="8"/>
  <c r="N7" i="8" s="1"/>
  <c r="E6" i="8"/>
  <c r="E11" i="8" s="1"/>
  <c r="D7" i="8"/>
  <c r="D9" i="8" s="1"/>
  <c r="AN4" i="17"/>
  <c r="AN44" i="17" s="1"/>
  <c r="AN59" i="17" s="1"/>
  <c r="AP4" i="17"/>
  <c r="AP44" i="17" s="1"/>
  <c r="AP43" i="17"/>
  <c r="AP56" i="17"/>
  <c r="AP48" i="17"/>
  <c r="AQ4" i="17"/>
  <c r="AP47" i="17"/>
  <c r="AP51" i="17"/>
  <c r="AP52" i="17"/>
  <c r="AO4" i="17"/>
  <c r="AO44" i="17" s="1"/>
  <c r="AO59" i="17" s="1"/>
  <c r="AP45" i="17"/>
  <c r="AP46" i="17"/>
  <c r="AP53" i="17"/>
  <c r="AP54" i="17"/>
  <c r="AP55" i="17"/>
  <c r="AP49" i="17"/>
  <c r="AP50" i="17"/>
  <c r="L3" i="11"/>
  <c r="M3" i="11" s="1"/>
  <c r="N3" i="11" s="1"/>
  <c r="AQ24" i="17"/>
  <c r="AQ26" i="17"/>
  <c r="AY26" i="17" s="1"/>
  <c r="AQ28" i="17"/>
  <c r="AY28" i="17" s="1"/>
  <c r="AQ31" i="17"/>
  <c r="AQ37" i="17"/>
  <c r="AQ25" i="17"/>
  <c r="AY25" i="17" s="1"/>
  <c r="AQ27" i="17"/>
  <c r="AQ29" i="17"/>
  <c r="AQ30" i="17"/>
  <c r="AY30" i="17" s="1"/>
  <c r="AQ32" i="17"/>
  <c r="AY32" i="17" s="1"/>
  <c r="AQ33" i="17"/>
  <c r="AQ34" i="17"/>
  <c r="AY34" i="17" s="1"/>
  <c r="AQ35" i="17"/>
  <c r="AQ36" i="17"/>
  <c r="AY36" i="17" s="1"/>
  <c r="I7" i="14" l="1"/>
  <c r="C47" i="3"/>
  <c r="B48" i="3"/>
  <c r="E7" i="8"/>
  <c r="E9" i="8" s="1"/>
  <c r="E13" i="8" s="1"/>
  <c r="E10" i="8"/>
  <c r="D10" i="8"/>
  <c r="D13" i="8"/>
  <c r="AP59" i="17"/>
  <c r="AY27" i="17"/>
  <c r="AQ46" i="17"/>
  <c r="AY33" i="17"/>
  <c r="AQ52" i="17"/>
  <c r="AQ47" i="17"/>
  <c r="AQ55" i="17"/>
  <c r="AY35" i="17"/>
  <c r="AQ54" i="17"/>
  <c r="AY37" i="17"/>
  <c r="AQ56" i="17"/>
  <c r="AY24" i="17"/>
  <c r="AQ43" i="17"/>
  <c r="AQ49" i="17"/>
  <c r="AQ44" i="17"/>
  <c r="AQ53" i="17"/>
  <c r="AY29" i="17"/>
  <c r="AQ48" i="17"/>
  <c r="AY31" i="17"/>
  <c r="AQ50" i="17"/>
  <c r="AQ51" i="17"/>
  <c r="AQ45" i="17"/>
  <c r="E16" i="10"/>
  <c r="E14" i="8" l="1"/>
  <c r="E17" i="8"/>
  <c r="D14" i="8"/>
  <c r="D17" i="8"/>
  <c r="AQ59" i="17"/>
  <c r="AT59" i="17" s="1"/>
  <c r="T5" i="8" l="1"/>
  <c r="E18" i="8"/>
  <c r="S5" i="8"/>
  <c r="D18" i="8"/>
  <c r="B1" i="10"/>
  <c r="D1" i="10"/>
  <c r="C1" i="10"/>
  <c r="O1" i="10"/>
  <c r="N1" i="10"/>
  <c r="M1" i="10"/>
  <c r="L1" i="10"/>
  <c r="K1" i="10"/>
  <c r="J1" i="10"/>
  <c r="I1" i="10"/>
  <c r="H1" i="10"/>
  <c r="G1" i="10"/>
  <c r="F1" i="10"/>
  <c r="E1" i="10"/>
  <c r="E20" i="8" l="1"/>
  <c r="T7" i="8"/>
  <c r="T8" i="8" s="1"/>
  <c r="D20" i="8"/>
  <c r="D21" i="8" s="1"/>
  <c r="S7" i="8"/>
  <c r="S8" i="8" s="1"/>
  <c r="B2" i="3"/>
  <c r="H5" i="1"/>
  <c r="G5" i="1"/>
  <c r="F5" i="1"/>
  <c r="E5" i="1"/>
  <c r="D5" i="1"/>
  <c r="C5" i="1"/>
  <c r="H6" i="1"/>
  <c r="H4" i="2" s="1"/>
  <c r="G6" i="1"/>
  <c r="F6" i="1"/>
  <c r="E6" i="1"/>
  <c r="E4" i="2" s="1"/>
  <c r="I4" i="2" s="1"/>
  <c r="D6" i="1"/>
  <c r="D4" i="2" s="1"/>
  <c r="C6" i="1"/>
  <c r="B6" i="1"/>
  <c r="B4" i="2" s="1"/>
  <c r="C9" i="8"/>
  <c r="E21" i="8" l="1"/>
  <c r="C13" i="8"/>
  <c r="C17" i="8" s="1"/>
  <c r="C10" i="8"/>
  <c r="I6" i="2"/>
  <c r="F7" i="1"/>
  <c r="H7" i="1"/>
  <c r="C7" i="1"/>
  <c r="F4" i="2"/>
  <c r="F5" i="2" s="1"/>
  <c r="E7" i="1"/>
  <c r="C4" i="2"/>
  <c r="C6" i="2" s="1"/>
  <c r="G4" i="2"/>
  <c r="D7" i="1"/>
  <c r="E6" i="2"/>
  <c r="H5" i="2"/>
  <c r="G7" i="1"/>
  <c r="C18" i="8" l="1"/>
  <c r="C14" i="8"/>
  <c r="F6" i="2"/>
  <c r="G6" i="2"/>
  <c r="H6" i="2"/>
  <c r="G5" i="2"/>
  <c r="D6" i="2"/>
  <c r="R5" i="8" l="1"/>
  <c r="R7" i="8" l="1"/>
  <c r="R8" i="8" s="1"/>
  <c r="R21" i="8" s="1"/>
  <c r="C20" i="8"/>
  <c r="L9" i="8" l="1"/>
  <c r="L11" i="8" s="1"/>
  <c r="S20" i="8"/>
  <c r="S21" i="8" s="1"/>
  <c r="H6" i="8"/>
  <c r="C21" i="8"/>
  <c r="H2" i="2"/>
  <c r="D5" i="9" s="1"/>
  <c r="G2" i="2"/>
  <c r="F2" i="2"/>
  <c r="E2" i="2"/>
  <c r="D2" i="2"/>
  <c r="C2" i="2"/>
  <c r="B2" i="2"/>
  <c r="M9" i="8" l="1"/>
  <c r="M11" i="8" s="1"/>
  <c r="T20" i="8"/>
  <c r="T21" i="8" s="1"/>
  <c r="N9" i="8" s="1"/>
  <c r="N11" i="8" s="1"/>
  <c r="H11" i="8"/>
  <c r="I6" i="8"/>
  <c r="C5" i="9"/>
  <c r="B13" i="10"/>
  <c r="B9" i="10"/>
  <c r="B5" i="10"/>
  <c r="B15" i="10"/>
  <c r="B7" i="10"/>
  <c r="B14" i="10"/>
  <c r="B6" i="10"/>
  <c r="B16" i="10"/>
  <c r="B12" i="10"/>
  <c r="B8" i="10"/>
  <c r="B4" i="10"/>
  <c r="B11" i="10"/>
  <c r="B3" i="10"/>
  <c r="B10" i="10"/>
  <c r="B2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L16" i="10"/>
  <c r="L14" i="10"/>
  <c r="L13" i="10"/>
  <c r="L12" i="10"/>
  <c r="L11" i="10"/>
  <c r="L5" i="10"/>
  <c r="L4" i="10"/>
  <c r="L3" i="10"/>
  <c r="L2" i="10"/>
  <c r="L10" i="10"/>
  <c r="L9" i="10"/>
  <c r="L8" i="10"/>
  <c r="L7" i="10"/>
  <c r="L6" i="10"/>
  <c r="L15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16" i="10"/>
  <c r="G16" i="10"/>
  <c r="G15" i="10"/>
  <c r="G13" i="10"/>
  <c r="G11" i="10"/>
  <c r="G9" i="10"/>
  <c r="G7" i="10"/>
  <c r="G5" i="10"/>
  <c r="G3" i="10"/>
  <c r="G14" i="10"/>
  <c r="G8" i="10"/>
  <c r="G4" i="10"/>
  <c r="G12" i="10"/>
  <c r="G10" i="10"/>
  <c r="G6" i="10"/>
  <c r="G2" i="10"/>
  <c r="K16" i="10"/>
  <c r="K13" i="10"/>
  <c r="K9" i="10"/>
  <c r="K5" i="10"/>
  <c r="K14" i="10"/>
  <c r="K12" i="10"/>
  <c r="K10" i="10"/>
  <c r="K8" i="10"/>
  <c r="K6" i="10"/>
  <c r="K4" i="10"/>
  <c r="K2" i="10"/>
  <c r="K11" i="10"/>
  <c r="K7" i="10"/>
  <c r="K3" i="10"/>
  <c r="K15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3" i="10"/>
  <c r="M2" i="10"/>
  <c r="M16" i="10"/>
  <c r="F3" i="2"/>
  <c r="G3" i="2"/>
  <c r="H3" i="2"/>
  <c r="I2" i="2"/>
  <c r="I7" i="2" s="1"/>
  <c r="I12" i="2" s="1"/>
  <c r="H58" i="2"/>
  <c r="I58" i="2" s="1"/>
  <c r="G58" i="2"/>
  <c r="F58" i="2"/>
  <c r="E58" i="2"/>
  <c r="D58" i="2"/>
  <c r="C58" i="2"/>
  <c r="B58" i="2"/>
  <c r="H57" i="2"/>
  <c r="I57" i="2" s="1"/>
  <c r="G57" i="2"/>
  <c r="F57" i="2"/>
  <c r="E57" i="2"/>
  <c r="D57" i="2"/>
  <c r="C57" i="2"/>
  <c r="B57" i="2"/>
  <c r="H49" i="2"/>
  <c r="G49" i="2"/>
  <c r="F49" i="2"/>
  <c r="E49" i="2"/>
  <c r="D49" i="2"/>
  <c r="C49" i="2"/>
  <c r="B49" i="2"/>
  <c r="H45" i="2"/>
  <c r="G45" i="2"/>
  <c r="F45" i="2"/>
  <c r="E45" i="2"/>
  <c r="D45" i="2"/>
  <c r="C45" i="2"/>
  <c r="B45" i="2"/>
  <c r="H46" i="2"/>
  <c r="G46" i="2"/>
  <c r="F46" i="2"/>
  <c r="E46" i="2"/>
  <c r="D46" i="2"/>
  <c r="C46" i="2"/>
  <c r="B46" i="2"/>
  <c r="H41" i="2"/>
  <c r="I41" i="2" s="1"/>
  <c r="G41" i="2"/>
  <c r="F41" i="2"/>
  <c r="E41" i="2"/>
  <c r="D41" i="2"/>
  <c r="C41" i="2"/>
  <c r="B41" i="2"/>
  <c r="H37" i="2"/>
  <c r="I37" i="2" s="1"/>
  <c r="G37" i="2"/>
  <c r="F37" i="2"/>
  <c r="E37" i="2"/>
  <c r="D37" i="2"/>
  <c r="C37" i="2"/>
  <c r="B37" i="2"/>
  <c r="H33" i="2"/>
  <c r="I33" i="2" s="1"/>
  <c r="G33" i="2"/>
  <c r="F33" i="2"/>
  <c r="E33" i="2"/>
  <c r="D33" i="2"/>
  <c r="C33" i="2"/>
  <c r="B33" i="2"/>
  <c r="H26" i="2"/>
  <c r="G26" i="2"/>
  <c r="F26" i="2"/>
  <c r="E26" i="2"/>
  <c r="D26" i="2"/>
  <c r="C26" i="2"/>
  <c r="H24" i="2"/>
  <c r="G24" i="2"/>
  <c r="F24" i="2"/>
  <c r="E24" i="2"/>
  <c r="D24" i="2"/>
  <c r="C24" i="2"/>
  <c r="B26" i="2"/>
  <c r="B24" i="2"/>
  <c r="H7" i="2"/>
  <c r="G7" i="2"/>
  <c r="G12" i="2" s="1"/>
  <c r="F7" i="2"/>
  <c r="F12" i="2" s="1"/>
  <c r="E7" i="2"/>
  <c r="D7" i="2"/>
  <c r="D12" i="2" s="1"/>
  <c r="C7" i="2"/>
  <c r="C12" i="2" s="1"/>
  <c r="B7" i="2"/>
  <c r="B12" i="2" s="1"/>
  <c r="H16" i="2"/>
  <c r="G16" i="2"/>
  <c r="F16" i="2"/>
  <c r="E16" i="2"/>
  <c r="D16" i="2"/>
  <c r="C16" i="2"/>
  <c r="H15" i="2"/>
  <c r="G15" i="2"/>
  <c r="F15" i="2"/>
  <c r="E15" i="2"/>
  <c r="D15" i="2"/>
  <c r="C15" i="2"/>
  <c r="B16" i="2"/>
  <c r="B15" i="2"/>
  <c r="H1" i="2"/>
  <c r="G1" i="2"/>
  <c r="F1" i="2"/>
  <c r="E1" i="2"/>
  <c r="D1" i="2"/>
  <c r="C1" i="2"/>
  <c r="B1" i="2"/>
  <c r="A55" i="2"/>
  <c r="I11" i="8" l="1"/>
  <c r="I12" i="8" s="1"/>
  <c r="J6" i="8"/>
  <c r="J11" i="8" s="1"/>
  <c r="J12" i="8" s="1"/>
  <c r="N12" i="8"/>
  <c r="M12" i="8"/>
  <c r="L12" i="8"/>
  <c r="H12" i="8"/>
  <c r="I8" i="2"/>
  <c r="I9" i="2"/>
  <c r="I24" i="2"/>
  <c r="I18" i="2"/>
  <c r="I21" i="2" s="1"/>
  <c r="I22" i="2" s="1"/>
  <c r="I26" i="2"/>
  <c r="I3" i="2"/>
  <c r="I59" i="2"/>
  <c r="E12" i="2"/>
  <c r="E27" i="2" s="1"/>
  <c r="H12" i="2"/>
  <c r="G9" i="2"/>
  <c r="F8" i="2"/>
  <c r="F9" i="2"/>
  <c r="H9" i="2"/>
  <c r="G27" i="2"/>
  <c r="G8" i="2"/>
  <c r="H8" i="2"/>
  <c r="H59" i="2"/>
  <c r="B25" i="2"/>
  <c r="C59" i="2"/>
  <c r="G59" i="2"/>
  <c r="B59" i="2"/>
  <c r="F59" i="2"/>
  <c r="F25" i="2"/>
  <c r="D59" i="2"/>
  <c r="F18" i="2"/>
  <c r="F28" i="2" s="1"/>
  <c r="E59" i="2"/>
  <c r="C18" i="2"/>
  <c r="C28" i="2" s="1"/>
  <c r="C30" i="2" s="1"/>
  <c r="G18" i="2"/>
  <c r="G28" i="2" s="1"/>
  <c r="D18" i="2"/>
  <c r="D21" i="2" s="1"/>
  <c r="D22" i="2" s="1"/>
  <c r="C25" i="2"/>
  <c r="H18" i="2"/>
  <c r="H28" i="2" s="1"/>
  <c r="B18" i="2"/>
  <c r="B28" i="2" s="1"/>
  <c r="B30" i="2" s="1"/>
  <c r="E18" i="2"/>
  <c r="B27" i="2"/>
  <c r="D27" i="2"/>
  <c r="D25" i="2"/>
  <c r="C27" i="2"/>
  <c r="I28" i="2" l="1"/>
  <c r="I30" i="2" s="1"/>
  <c r="C6" i="9"/>
  <c r="D19" i="2"/>
  <c r="E25" i="2"/>
  <c r="E19" i="2"/>
  <c r="H27" i="2"/>
  <c r="H30" i="2"/>
  <c r="D7" i="9" s="1"/>
  <c r="G25" i="2"/>
  <c r="H25" i="2"/>
  <c r="D6" i="9"/>
  <c r="G30" i="2"/>
  <c r="G32" i="2" s="1"/>
  <c r="B5" i="9"/>
  <c r="F27" i="2"/>
  <c r="F21" i="2"/>
  <c r="F22" i="2" s="1"/>
  <c r="H19" i="2"/>
  <c r="H21" i="2"/>
  <c r="H22" i="2" s="1"/>
  <c r="C19" i="2"/>
  <c r="F30" i="2"/>
  <c r="F35" i="2" s="1"/>
  <c r="F39" i="2" s="1"/>
  <c r="F44" i="2" s="1"/>
  <c r="F47" i="2" s="1"/>
  <c r="G21" i="2"/>
  <c r="G22" i="2" s="1"/>
  <c r="F19" i="2"/>
  <c r="C21" i="2"/>
  <c r="C22" i="2" s="1"/>
  <c r="B21" i="2"/>
  <c r="B22" i="2" s="1"/>
  <c r="B19" i="2"/>
  <c r="C35" i="2"/>
  <c r="C39" i="2" s="1"/>
  <c r="C44" i="2" s="1"/>
  <c r="C47" i="2" s="1"/>
  <c r="C51" i="2" s="1"/>
  <c r="C53" i="2" s="1"/>
  <c r="C32" i="2"/>
  <c r="G19" i="2"/>
  <c r="D28" i="2"/>
  <c r="D30" i="2" s="1"/>
  <c r="D35" i="2" s="1"/>
  <c r="D39" i="2" s="1"/>
  <c r="D44" i="2" s="1"/>
  <c r="D47" i="2" s="1"/>
  <c r="E21" i="2"/>
  <c r="E22" i="2" s="1"/>
  <c r="E28" i="2"/>
  <c r="E30" i="2" s="1"/>
  <c r="B32" i="2"/>
  <c r="B35" i="2"/>
  <c r="B39" i="2" s="1"/>
  <c r="B44" i="2" s="1"/>
  <c r="B47" i="2" s="1"/>
  <c r="H35" i="2" l="1"/>
  <c r="H39" i="2" s="1"/>
  <c r="H44" i="2" s="1"/>
  <c r="H47" i="2" s="1"/>
  <c r="H51" i="2" s="1"/>
  <c r="I32" i="2"/>
  <c r="I35" i="2"/>
  <c r="I39" i="2" s="1"/>
  <c r="I44" i="2" s="1"/>
  <c r="I47" i="2" s="1"/>
  <c r="I49" i="2" s="1"/>
  <c r="I51" i="2" s="1"/>
  <c r="I53" i="2" s="1"/>
  <c r="H32" i="2"/>
  <c r="D8" i="9" s="1"/>
  <c r="G35" i="2"/>
  <c r="G39" i="2" s="1"/>
  <c r="G44" i="2" s="1"/>
  <c r="G47" i="2" s="1"/>
  <c r="G50" i="2" s="1"/>
  <c r="B4" i="3"/>
  <c r="B5" i="3" s="1"/>
  <c r="E35" i="2"/>
  <c r="E39" i="2" s="1"/>
  <c r="E44" i="2" s="1"/>
  <c r="E47" i="2" s="1"/>
  <c r="E50" i="2" s="1"/>
  <c r="C7" i="9"/>
  <c r="E5" i="9"/>
  <c r="F5" i="9"/>
  <c r="F32" i="2"/>
  <c r="C50" i="2"/>
  <c r="E32" i="2"/>
  <c r="C8" i="9" s="1"/>
  <c r="D32" i="2"/>
  <c r="F51" i="2"/>
  <c r="F53" i="2" s="1"/>
  <c r="F50" i="2"/>
  <c r="B51" i="2"/>
  <c r="B53" i="2" s="1"/>
  <c r="B50" i="2"/>
  <c r="D51" i="2"/>
  <c r="D53" i="2" s="1"/>
  <c r="D50" i="2"/>
  <c r="H50" i="2"/>
  <c r="B41" i="1"/>
  <c r="B44" i="1" s="1"/>
  <c r="B60" i="2" s="1"/>
  <c r="B31" i="1"/>
  <c r="B19" i="1"/>
  <c r="B10" i="1"/>
  <c r="E41" i="1"/>
  <c r="E44" i="1" s="1"/>
  <c r="E60" i="2" s="1"/>
  <c r="C10" i="9" s="1"/>
  <c r="E31" i="1"/>
  <c r="E19" i="1"/>
  <c r="E10" i="1"/>
  <c r="C41" i="1"/>
  <c r="C44" i="1" s="1"/>
  <c r="C60" i="2" s="1"/>
  <c r="C31" i="1"/>
  <c r="C19" i="1"/>
  <c r="C10" i="1"/>
  <c r="F41" i="1"/>
  <c r="F44" i="1" s="1"/>
  <c r="F60" i="2" s="1"/>
  <c r="F31" i="1"/>
  <c r="F19" i="1"/>
  <c r="F10" i="1"/>
  <c r="D41" i="1"/>
  <c r="D44" i="1" s="1"/>
  <c r="D60" i="2" s="1"/>
  <c r="D31" i="1"/>
  <c r="D19" i="1"/>
  <c r="D10" i="1"/>
  <c r="G41" i="1"/>
  <c r="G44" i="1" s="1"/>
  <c r="G60" i="2" s="1"/>
  <c r="G31" i="1"/>
  <c r="G19" i="1"/>
  <c r="G10" i="1"/>
  <c r="H41" i="1"/>
  <c r="H31" i="1"/>
  <c r="H19" i="1"/>
  <c r="H10" i="1"/>
  <c r="I60" i="2" l="1"/>
  <c r="G51" i="2"/>
  <c r="G53" i="2" s="1"/>
  <c r="E51" i="2"/>
  <c r="E53" i="2" s="1"/>
  <c r="H53" i="2"/>
  <c r="D9" i="9"/>
  <c r="B6" i="9"/>
  <c r="B20" i="1"/>
  <c r="B23" i="1" s="1"/>
  <c r="B27" i="1" s="1"/>
  <c r="B32" i="1" s="1"/>
  <c r="H44" i="1"/>
  <c r="H60" i="2" s="1"/>
  <c r="D10" i="9" s="1"/>
  <c r="F20" i="1"/>
  <c r="F23" i="1" s="1"/>
  <c r="F27" i="1" s="1"/>
  <c r="F32" i="1" s="1"/>
  <c r="E20" i="1"/>
  <c r="E23" i="1" s="1"/>
  <c r="E27" i="1" s="1"/>
  <c r="E32" i="1" s="1"/>
  <c r="C20" i="1"/>
  <c r="C23" i="1" s="1"/>
  <c r="C27" i="1" s="1"/>
  <c r="C32" i="1" s="1"/>
  <c r="H20" i="1"/>
  <c r="H23" i="1" s="1"/>
  <c r="H27" i="1" s="1"/>
  <c r="H32" i="1" s="1"/>
  <c r="G20" i="1"/>
  <c r="G23" i="1" s="1"/>
  <c r="G27" i="1" s="1"/>
  <c r="G32" i="1" s="1"/>
  <c r="D20" i="1"/>
  <c r="D23" i="1" s="1"/>
  <c r="D27" i="1" s="1"/>
  <c r="D32" i="1" s="1"/>
  <c r="D2" i="12" l="1"/>
  <c r="C9" i="9"/>
  <c r="E6" i="9"/>
  <c r="F6" i="9"/>
  <c r="E2" i="12" l="1"/>
  <c r="B8" i="9"/>
  <c r="B7" i="9"/>
  <c r="F7" i="9" l="1"/>
  <c r="E7" i="9"/>
  <c r="F8" i="9"/>
  <c r="E8" i="9"/>
  <c r="B9" i="9" l="1"/>
  <c r="B10" i="9"/>
  <c r="E10" i="9" l="1"/>
  <c r="F10" i="9"/>
  <c r="F9" i="9"/>
  <c r="E9" i="9"/>
  <c r="G2" i="12" l="1"/>
  <c r="F2" i="12"/>
  <c r="D10" i="3" l="1"/>
  <c r="D17" i="3" l="1"/>
  <c r="D25" i="3"/>
  <c r="D11" i="3"/>
  <c r="D19" i="3" l="1"/>
  <c r="D20" i="3" s="1"/>
  <c r="D26" i="3" l="1"/>
  <c r="D28" i="3" s="1"/>
  <c r="D32" i="3" l="1"/>
  <c r="D35" i="3" s="1"/>
  <c r="D39" i="3" s="1"/>
  <c r="D30" i="3"/>
  <c r="D42" i="3" l="1"/>
  <c r="D46" i="3" s="1"/>
  <c r="D47" i="3" l="1"/>
  <c r="D48" i="3"/>
  <c r="D45" i="3"/>
  <c r="B8" i="21" s="1"/>
  <c r="B14" i="20" s="1"/>
  <c r="F11" i="20" l="1"/>
  <c r="F17" i="20" s="1"/>
  <c r="B9" i="20" l="1"/>
  <c r="B11" i="20" s="1"/>
  <c r="B19" i="20" s="1"/>
  <c r="D18" i="19"/>
  <c r="D20" i="19" s="1"/>
  <c r="D13" i="19"/>
  <c r="B20" i="20" l="1"/>
  <c r="B26" i="20" s="1"/>
  <c r="I21" i="20" s="1"/>
  <c r="B30" i="20" l="1"/>
  <c r="I20" i="19"/>
  <c r="E20" i="19"/>
  <c r="H20" i="19"/>
  <c r="G20" i="19"/>
  <c r="F20" i="19"/>
  <c r="G7" i="19"/>
  <c r="G13" i="19" s="1"/>
  <c r="E8" i="19"/>
  <c r="E14" i="19"/>
  <c r="G6" i="19"/>
  <c r="G12" i="19" s="1"/>
  <c r="H8" i="19"/>
  <c r="H14" i="19" s="1"/>
  <c r="I7" i="19"/>
  <c r="I13" i="19" s="1"/>
  <c r="E7" i="19"/>
  <c r="E13" i="19" s="1"/>
  <c r="F6" i="19"/>
  <c r="F12" i="19" s="1"/>
  <c r="F8" i="19"/>
  <c r="F14" i="19" s="1"/>
  <c r="H6" i="19"/>
  <c r="H12" i="19" s="1"/>
  <c r="I8" i="19"/>
  <c r="I14" i="19" s="1"/>
  <c r="F7" i="19"/>
  <c r="F13" i="19" s="1"/>
  <c r="G8" i="19"/>
  <c r="G14" i="19" s="1"/>
  <c r="H7" i="19"/>
  <c r="H13" i="19" s="1"/>
  <c r="I6" i="19"/>
  <c r="I12" i="19"/>
  <c r="E6" i="19"/>
  <c r="E12" i="19" s="1"/>
</calcChain>
</file>

<file path=xl/sharedStrings.xml><?xml version="1.0" encoding="utf-8"?>
<sst xmlns="http://schemas.openxmlformats.org/spreadsheetml/2006/main" count="663" uniqueCount="425">
  <si>
    <t>Income</t>
  </si>
  <si>
    <t>[01 Revenue from operations</t>
  </si>
  <si>
    <t>Ib] Other income</t>
  </si>
  <si>
    <t>Total income</t>
  </si>
  <si>
    <t>Expenses</t>
  </si>
  <si>
    <t>[01 Cost of materials consumed</t>
  </si>
  <si>
    <t>[b] Change in inventories of finished goods and work-inprogress</t>
  </si>
  <si>
    <t>[c1 Excise duty on sales</t>
  </si>
  <si>
    <t>[d1 Employees benefits expense</t>
  </si>
  <si>
    <t>fel Finance costs</t>
  </si>
  <si>
    <t>If) Depreciation and amortisation expense</t>
  </si>
  <si>
    <t>(q[ Other expenses</t>
  </si>
  <si>
    <t>Total ex enses</t>
  </si>
  <si>
    <t>Profit/ (loss) from associates</t>
  </si>
  <si>
    <t>Share in net profit / (loss) of associates</t>
  </si>
  <si>
    <t>Exceptional items</t>
  </si>
  <si>
    <t>Expense</t>
  </si>
  <si>
    <t>Profit before tax ( 5+6)</t>
  </si>
  <si>
    <t>Tax expense</t>
  </si>
  <si>
    <t>Current tax</t>
  </si>
  <si>
    <t>Deferred tax</t>
  </si>
  <si>
    <t>Total tax expense</t>
  </si>
  <si>
    <t>Net Profit after tax (7.8)</t>
  </si>
  <si>
    <t>Paid-up equity share capital</t>
  </si>
  <si>
    <t>Face value of the share ( In Rupees I</t>
  </si>
  <si>
    <t>Basic and diluted earning per equity share</t>
  </si>
  <si>
    <t>face value Rs. 2 - each In Ru ees</t>
  </si>
  <si>
    <t>Basic</t>
  </si>
  <si>
    <t>Diluted</t>
  </si>
  <si>
    <t>Q3FY21</t>
  </si>
  <si>
    <t>Q2FY21</t>
  </si>
  <si>
    <t>Q3FY20</t>
  </si>
  <si>
    <t>Inr Cr</t>
  </si>
  <si>
    <t>Profit from ordinary activities before share of Profit / (Loss) of associates, exceptional items and tax (1-2)</t>
  </si>
  <si>
    <t>Profit from ordinary activities, before exceptional items and tax</t>
  </si>
  <si>
    <t>No of Shares</t>
  </si>
  <si>
    <t>Net Profit / (loss) attributable</t>
  </si>
  <si>
    <t>a) Owners of the Company</t>
  </si>
  <si>
    <t>b) Non controlling interest</t>
  </si>
  <si>
    <t>Q2FY20</t>
  </si>
  <si>
    <t>Q1FY21</t>
  </si>
  <si>
    <t>Q1FY20</t>
  </si>
  <si>
    <t>Q4FY20</t>
  </si>
  <si>
    <t>Net Sales</t>
  </si>
  <si>
    <t>YoY</t>
  </si>
  <si>
    <t>Other Operating Income</t>
  </si>
  <si>
    <t xml:space="preserve">Total </t>
  </si>
  <si>
    <t>Expenditure</t>
  </si>
  <si>
    <t>Raw Material Consumed</t>
  </si>
  <si>
    <t>Purchase of stock in trade</t>
  </si>
  <si>
    <t>Chg in inventories of FG, WIP, Stock in trade</t>
  </si>
  <si>
    <t xml:space="preserve">Total RM </t>
  </si>
  <si>
    <t>% of sales</t>
  </si>
  <si>
    <t>Gross Profit</t>
  </si>
  <si>
    <t>Gross Margins</t>
  </si>
  <si>
    <t>Employee Expenses</t>
  </si>
  <si>
    <t>Other Expenses</t>
  </si>
  <si>
    <t>TOTAL EXPENDITURE</t>
  </si>
  <si>
    <t>EBITDA</t>
  </si>
  <si>
    <t>Interest Expense</t>
  </si>
  <si>
    <t xml:space="preserve">PBDT </t>
  </si>
  <si>
    <t>Depreciation</t>
  </si>
  <si>
    <t>PBT</t>
  </si>
  <si>
    <t>Other Income</t>
  </si>
  <si>
    <t>PBT (Before extra ordinary item)</t>
  </si>
  <si>
    <t>Share of profits</t>
  </si>
  <si>
    <t>Tax</t>
  </si>
  <si>
    <t>Tax rate</t>
  </si>
  <si>
    <t>Profit After Tax</t>
  </si>
  <si>
    <t>PAT Margin</t>
  </si>
  <si>
    <t>Equity Capital</t>
  </si>
  <si>
    <t>Face Value</t>
  </si>
  <si>
    <t>No Of sshares</t>
  </si>
  <si>
    <t>EPS</t>
  </si>
  <si>
    <t>Dividend</t>
  </si>
  <si>
    <t>Dividend Per Share</t>
  </si>
  <si>
    <t>Dividend Payout</t>
  </si>
  <si>
    <t>EBIT</t>
  </si>
  <si>
    <t>Sales per share</t>
  </si>
  <si>
    <t xml:space="preserve">Current Market Price </t>
  </si>
  <si>
    <t>PE</t>
  </si>
  <si>
    <t>P/S</t>
  </si>
  <si>
    <t>EV/EBITDA</t>
  </si>
  <si>
    <t>Market Price</t>
  </si>
  <si>
    <t>Debt</t>
  </si>
  <si>
    <t>Less: Cash</t>
  </si>
  <si>
    <t>Enterprise Value</t>
  </si>
  <si>
    <t>Target Price</t>
  </si>
  <si>
    <t>BVPS</t>
  </si>
  <si>
    <t>P/BV</t>
  </si>
  <si>
    <t>EBITDA Margins</t>
  </si>
  <si>
    <t>Exceptional Items</t>
  </si>
  <si>
    <t>FY20</t>
  </si>
  <si>
    <t>FY21</t>
  </si>
  <si>
    <t>Total</t>
  </si>
  <si>
    <t>Particulars</t>
  </si>
  <si>
    <t>ASSETS</t>
  </si>
  <si>
    <t>Current assets</t>
  </si>
  <si>
    <t>EQUITY AND LIABILITIES</t>
  </si>
  <si>
    <t>Equity</t>
  </si>
  <si>
    <t>Non-current liabilities</t>
  </si>
  <si>
    <t>Current liabilities</t>
  </si>
  <si>
    <t>FY19</t>
  </si>
  <si>
    <t>Cost of materials consumed</t>
  </si>
  <si>
    <t>Finance costs</t>
  </si>
  <si>
    <t>Other expenses</t>
  </si>
  <si>
    <t>Adjustments for:</t>
  </si>
  <si>
    <t>Inventories</t>
  </si>
  <si>
    <t>Trade receivables</t>
  </si>
  <si>
    <t>Other current assets</t>
  </si>
  <si>
    <t>Other non-current assets</t>
  </si>
  <si>
    <t>Trade payables</t>
  </si>
  <si>
    <t>Other current liabilities</t>
  </si>
  <si>
    <t>Tax on dividend</t>
  </si>
  <si>
    <t>Cash and cash equivalents at the beginning of the year</t>
  </si>
  <si>
    <t>ASP</t>
  </si>
  <si>
    <t>FY22</t>
  </si>
  <si>
    <t>FY23</t>
  </si>
  <si>
    <t>Number of vehicles Sold</t>
  </si>
  <si>
    <t>Vehicles Sold</t>
  </si>
  <si>
    <t>Maestro</t>
  </si>
  <si>
    <t>Dsetini</t>
  </si>
  <si>
    <t>Pleasure</t>
  </si>
  <si>
    <t>Duet</t>
  </si>
  <si>
    <t>Achiever</t>
  </si>
  <si>
    <t>Hunk</t>
  </si>
  <si>
    <t>HF Deluxe</t>
  </si>
  <si>
    <t>Passion</t>
  </si>
  <si>
    <t>Splendor</t>
  </si>
  <si>
    <t>Super Splendor</t>
  </si>
  <si>
    <t>Glamour</t>
  </si>
  <si>
    <t>X Pulse 200T</t>
  </si>
  <si>
    <t>Xpulse 200</t>
  </si>
  <si>
    <t>Xtreme</t>
  </si>
  <si>
    <t>Domestic</t>
  </si>
  <si>
    <t>Exports</t>
  </si>
  <si>
    <t>Total Domestic</t>
  </si>
  <si>
    <t>Total Exports</t>
  </si>
  <si>
    <t>Motorcycles</t>
  </si>
  <si>
    <t>Scooters</t>
  </si>
  <si>
    <t>April'21</t>
  </si>
  <si>
    <t>June'21</t>
  </si>
  <si>
    <t>July'21</t>
  </si>
  <si>
    <t>Aug'21</t>
  </si>
  <si>
    <t>Sep'21</t>
  </si>
  <si>
    <t>Oct'21</t>
  </si>
  <si>
    <t>Nov'21</t>
  </si>
  <si>
    <t>Dec'21</t>
  </si>
  <si>
    <t>Jan'22</t>
  </si>
  <si>
    <t>Feb'22</t>
  </si>
  <si>
    <t>March'22</t>
  </si>
  <si>
    <t>Revenue</t>
  </si>
  <si>
    <t>Price of the Vehicles In Rs ( Domestic)</t>
  </si>
  <si>
    <t>Revenue Domestic</t>
  </si>
  <si>
    <t>Q1FY22</t>
  </si>
  <si>
    <t>Q2FY22</t>
  </si>
  <si>
    <t>Q3FY22</t>
  </si>
  <si>
    <t>Q4FY22</t>
  </si>
  <si>
    <t>FY22E</t>
  </si>
  <si>
    <t>Q1FY22E</t>
  </si>
  <si>
    <t>Q2FY22E</t>
  </si>
  <si>
    <t>Q3FY22E</t>
  </si>
  <si>
    <t>Q4FY22E</t>
  </si>
  <si>
    <t>Average Selling Price</t>
  </si>
  <si>
    <t>Sales</t>
  </si>
  <si>
    <t>P&amp;L</t>
  </si>
  <si>
    <t>Balance Sheet</t>
  </si>
  <si>
    <t>CF</t>
  </si>
  <si>
    <t>Interest</t>
  </si>
  <si>
    <t>PAT</t>
  </si>
  <si>
    <t>Tax 30%</t>
  </si>
  <si>
    <t>Cash</t>
  </si>
  <si>
    <t>Reserves</t>
  </si>
  <si>
    <t>Liabilities</t>
  </si>
  <si>
    <t>Assets</t>
  </si>
  <si>
    <t>FA</t>
  </si>
  <si>
    <t>Less: Dep</t>
  </si>
  <si>
    <t>QoQ</t>
  </si>
  <si>
    <t>Q4FY21E</t>
  </si>
  <si>
    <t>OPM</t>
  </si>
  <si>
    <t>No of Units Sold</t>
  </si>
  <si>
    <t>Cd Dawn</t>
  </si>
  <si>
    <t>Cd Dawn Dlx</t>
  </si>
  <si>
    <t>Passion Plus</t>
  </si>
  <si>
    <t>Glamour-125</t>
  </si>
  <si>
    <t>Ambition</t>
  </si>
  <si>
    <t xml:space="preserve">CBZ </t>
  </si>
  <si>
    <t>Karizma</t>
  </si>
  <si>
    <t>CBZ X-TREME</t>
  </si>
  <si>
    <t>Impulse</t>
  </si>
  <si>
    <t>Ignitor</t>
  </si>
  <si>
    <t>Xtreme 200R</t>
  </si>
  <si>
    <t>Xpulse 200T</t>
  </si>
  <si>
    <t>Destini</t>
  </si>
  <si>
    <t>Opening Balance</t>
  </si>
  <si>
    <t>ADD: Profit For the Year</t>
  </si>
  <si>
    <t>Less: Dividends</t>
  </si>
  <si>
    <t>Closing Balance</t>
  </si>
  <si>
    <t>Opening</t>
  </si>
  <si>
    <t>Closing</t>
  </si>
  <si>
    <t>Short Term</t>
  </si>
  <si>
    <t>Long Term</t>
  </si>
  <si>
    <t>ADD: Capex</t>
  </si>
  <si>
    <t>Dividend Payout Ratio</t>
  </si>
  <si>
    <t>Interest Rate</t>
  </si>
  <si>
    <t xml:space="preserve">Interest </t>
  </si>
  <si>
    <t>Total Debt</t>
  </si>
  <si>
    <t xml:space="preserve">Tax </t>
  </si>
  <si>
    <t>May'21E</t>
  </si>
  <si>
    <t>Total Domestic Revenue</t>
  </si>
  <si>
    <t>ROE</t>
  </si>
  <si>
    <t>FY18</t>
  </si>
  <si>
    <t>XYZ</t>
  </si>
  <si>
    <t>Lakhs</t>
  </si>
  <si>
    <t>Profit</t>
  </si>
  <si>
    <t>PE (Times)</t>
  </si>
  <si>
    <t>Today</t>
  </si>
  <si>
    <t>Target PE</t>
  </si>
  <si>
    <t>Valution Ratio</t>
  </si>
  <si>
    <t>Market price/ EPS</t>
  </si>
  <si>
    <t>Market Price/ Sales</t>
  </si>
  <si>
    <t>Market Price/ Book Value</t>
  </si>
  <si>
    <t>Enterprise Value/ EBITDA</t>
  </si>
  <si>
    <t>=</t>
  </si>
  <si>
    <t xml:space="preserve"> Auto Startup</t>
  </si>
  <si>
    <t>Add: Dep</t>
  </si>
  <si>
    <t>Less: Tax</t>
  </si>
  <si>
    <t>Cash flow from Operation</t>
  </si>
  <si>
    <t>Cash flow from Investing</t>
  </si>
  <si>
    <t>Cash flow from Financing</t>
  </si>
  <si>
    <t>Capital expenditure</t>
  </si>
  <si>
    <t>Cash balance</t>
  </si>
  <si>
    <t>Total CFF</t>
  </si>
  <si>
    <t>Total CFI</t>
  </si>
  <si>
    <t>Short Term Loan</t>
  </si>
  <si>
    <t>Liablity</t>
  </si>
  <si>
    <t>Long Term Loan</t>
  </si>
  <si>
    <t>Long Term term Loans</t>
  </si>
  <si>
    <t>Short Term term Loans</t>
  </si>
  <si>
    <t>Raw material</t>
  </si>
  <si>
    <t>Raw material as % of Sales</t>
  </si>
  <si>
    <t>Gross margins</t>
  </si>
  <si>
    <t>Bentley</t>
  </si>
  <si>
    <t>In Cr</t>
  </si>
  <si>
    <t>Rishabh</t>
  </si>
  <si>
    <t>Raw Material</t>
  </si>
  <si>
    <t>Profit After Tax Margin</t>
  </si>
  <si>
    <t>Other Expenses as % of Sales</t>
  </si>
  <si>
    <t>Opening Cash</t>
  </si>
  <si>
    <t>FY23E</t>
  </si>
  <si>
    <t>Less Sold</t>
  </si>
  <si>
    <t>Add: Dep for the year</t>
  </si>
  <si>
    <t>Accumualted Depreciation</t>
  </si>
  <si>
    <t>Working Capital</t>
  </si>
  <si>
    <t>FY24E</t>
  </si>
  <si>
    <t>FY25E</t>
  </si>
  <si>
    <t>COGS</t>
  </si>
  <si>
    <t>Receivables</t>
  </si>
  <si>
    <t>Inventory</t>
  </si>
  <si>
    <t>Payables</t>
  </si>
  <si>
    <t>Turnover Ratios</t>
  </si>
  <si>
    <t>Debtors T/o</t>
  </si>
  <si>
    <t>Inventory T/o</t>
  </si>
  <si>
    <t>Payables T/o</t>
  </si>
  <si>
    <t>Days</t>
  </si>
  <si>
    <t>Days of Receivables</t>
  </si>
  <si>
    <t>Days of Inventory</t>
  </si>
  <si>
    <t>Days of Payable</t>
  </si>
  <si>
    <t>Cash conversion Cycle</t>
  </si>
  <si>
    <t>Add</t>
  </si>
  <si>
    <t>Repayment</t>
  </si>
  <si>
    <t>FY26E</t>
  </si>
  <si>
    <t>EBT ( Before expectional and other items)</t>
  </si>
  <si>
    <t>Other Equity</t>
  </si>
  <si>
    <t>Number of shares</t>
  </si>
  <si>
    <t>Purhcases/ Sales</t>
  </si>
  <si>
    <t>Less: Capex</t>
  </si>
  <si>
    <t>FCFF</t>
  </si>
  <si>
    <t>Gross Block Cost</t>
  </si>
  <si>
    <t>Depreciaiton rate</t>
  </si>
  <si>
    <t>Net Fixed Assets PPE</t>
  </si>
  <si>
    <t>WACC</t>
  </si>
  <si>
    <t>FY27E</t>
  </si>
  <si>
    <t>Others</t>
  </si>
  <si>
    <t>Disposal</t>
  </si>
  <si>
    <t>No Of shares</t>
  </si>
  <si>
    <t>I Revenue from operations</t>
  </si>
  <si>
    <t>II Other income</t>
  </si>
  <si>
    <t>Employee benefits expense</t>
  </si>
  <si>
    <t>Depreciation and amortisation expense</t>
  </si>
  <si>
    <t>FY28E</t>
  </si>
  <si>
    <t>Property, plant and equipment</t>
  </si>
  <si>
    <t>Capital work-in-progress</t>
  </si>
  <si>
    <t>Goodwill</t>
  </si>
  <si>
    <t>Other intangible assets</t>
  </si>
  <si>
    <t>Financial assets</t>
  </si>
  <si>
    <t>Deferred tax assets</t>
  </si>
  <si>
    <t>Equity share capital</t>
  </si>
  <si>
    <t>Other equity</t>
  </si>
  <si>
    <t>Financial liabilities</t>
  </si>
  <si>
    <t>Provisions</t>
  </si>
  <si>
    <t>Predict cash flow from FY23</t>
  </si>
  <si>
    <t>Interest income</t>
  </si>
  <si>
    <t>Cash generated from operations</t>
  </si>
  <si>
    <t>Interest received</t>
  </si>
  <si>
    <t>Add: Interest*(1-t)</t>
  </si>
  <si>
    <t>Debt/Equity</t>
  </si>
  <si>
    <t>Cost of Equity</t>
  </si>
  <si>
    <t>Average</t>
  </si>
  <si>
    <t>Before Tax Cost of Debt</t>
  </si>
  <si>
    <t>Tax Rate</t>
  </si>
  <si>
    <t>After Tax Cost of Debt</t>
  </si>
  <si>
    <t>Weights</t>
  </si>
  <si>
    <t>Total Capital</t>
  </si>
  <si>
    <t>Target D/E</t>
  </si>
  <si>
    <t>Change in WC</t>
  </si>
  <si>
    <t>Less: Operating Gains</t>
  </si>
  <si>
    <t>Constant Growth (GDP)</t>
  </si>
  <si>
    <t>Terminal Value</t>
  </si>
  <si>
    <t>Total Cashflows</t>
  </si>
  <si>
    <t>PV of FCFF</t>
  </si>
  <si>
    <t>Equity Value (market Value) Market Capitalization</t>
  </si>
  <si>
    <t>Plus: Debt</t>
  </si>
  <si>
    <t>Less: cash</t>
  </si>
  <si>
    <t>Number of Shares</t>
  </si>
  <si>
    <t>Value Per Share(Intrinsic Value)</t>
  </si>
  <si>
    <t>Current Price</t>
  </si>
  <si>
    <t>Upside/Downside</t>
  </si>
  <si>
    <t>Sensitivity Analysis</t>
  </si>
  <si>
    <t>Growth</t>
  </si>
  <si>
    <t>III Total Income (I + II)</t>
  </si>
  <si>
    <t>IV Expenses</t>
  </si>
  <si>
    <t>Purchases of stock-in-trade</t>
  </si>
  <si>
    <t>Total Expenses (IV)</t>
  </si>
  <si>
    <t>V Profit before tax from continuing operations</t>
  </si>
  <si>
    <t>VI Tax expense related to continuing operations</t>
  </si>
  <si>
    <t>VII Profit for the year from continuing operations</t>
  </si>
  <si>
    <t>XI Total Profit for the year (VII + X)</t>
  </si>
  <si>
    <t xml:space="preserve"> MAT credit entitlement</t>
  </si>
  <si>
    <t xml:space="preserve"> Others</t>
  </si>
  <si>
    <t>Changes in inventories of finished goods, work-inprogress and stock-in-trade</t>
  </si>
  <si>
    <t>Total tax expense related to continuing operations</t>
  </si>
  <si>
    <t>VIII Profit / (loss) before tax from discontinued operations</t>
  </si>
  <si>
    <t>IX Tax expense / (credit) of discontinued operations</t>
  </si>
  <si>
    <t>X Profit for the year from discontinued operations</t>
  </si>
  <si>
    <t>Non-current assets</t>
  </si>
  <si>
    <t>Right-of-use assets</t>
  </si>
  <si>
    <t>(i) Investments</t>
  </si>
  <si>
    <t>(ii) Loans</t>
  </si>
  <si>
    <t>(iii) Other financial assets</t>
  </si>
  <si>
    <t>Non current tax assets (net)</t>
  </si>
  <si>
    <t>Total non-current assets</t>
  </si>
  <si>
    <t>(ii) Trade receivables</t>
  </si>
  <si>
    <t>(iii) Cash and cash equivalents</t>
  </si>
  <si>
    <t>(iv) Bank balances other than above</t>
  </si>
  <si>
    <t>(v) Loans</t>
  </si>
  <si>
    <t>(vi) Other financial assets</t>
  </si>
  <si>
    <t>Total current assets</t>
  </si>
  <si>
    <t>Assets classified as held for sale</t>
  </si>
  <si>
    <t>TOTAL ASSETS</t>
  </si>
  <si>
    <t>Total equity</t>
  </si>
  <si>
    <t>(i) Borrowings</t>
  </si>
  <si>
    <t>(ii) Lease liabilities</t>
  </si>
  <si>
    <t>(iii) Other financial liabilities</t>
  </si>
  <si>
    <t>Deferred tax liabilities (net)</t>
  </si>
  <si>
    <t>Other non-current liabilities</t>
  </si>
  <si>
    <t>Total non - current liabilities</t>
  </si>
  <si>
    <t>(iii) Trade payables</t>
  </si>
  <si>
    <t>(iv) Other financial liabilities</t>
  </si>
  <si>
    <t>Current tax liabilities (Net)</t>
  </si>
  <si>
    <t>Total current liabilities</t>
  </si>
  <si>
    <t>Total Liabilities</t>
  </si>
  <si>
    <t>TOTAL EQUITY AND LIABILITIES</t>
  </si>
  <si>
    <t>a) Total outstanding dues of micro enterprisesand small enterprises</t>
  </si>
  <si>
    <t>b) Total outstanding dues of creditors other than micro enterprises and small enterprises</t>
  </si>
  <si>
    <t>FY24</t>
  </si>
  <si>
    <t>FY25</t>
  </si>
  <si>
    <t>FY26</t>
  </si>
  <si>
    <t>FY27</t>
  </si>
  <si>
    <t>FY28</t>
  </si>
  <si>
    <t>A CASH FLOW FROM OPERATING ACTIVITIES</t>
  </si>
  <si>
    <t>Profit (loss) before tax</t>
  </si>
  <si>
    <t>Net gain on sale of property, plant and equipment</t>
  </si>
  <si>
    <t>Net gain on financial assets measured at fair value through profit and loss</t>
  </si>
  <si>
    <t>Credit impaired assets provided / (written back)</t>
  </si>
  <si>
    <t>Amortisation of grant income</t>
  </si>
  <si>
    <t>Property, plant and equipment and inventory discarded / provided</t>
  </si>
  <si>
    <t>Provision / liabilities no longer required written back</t>
  </si>
  <si>
    <t>Net unrealised currency exchange fluctuations loss /(gain)</t>
  </si>
  <si>
    <t>Employee share based payment expense</t>
  </si>
  <si>
    <t>Stamp duty on purchase of investments</t>
  </si>
  <si>
    <t>Adjustments for (increase) /decrease in operating assets:-</t>
  </si>
  <si>
    <t>Loans (current)</t>
  </si>
  <si>
    <t>Loans (non-current)</t>
  </si>
  <si>
    <t>Other assets (current)</t>
  </si>
  <si>
    <t>Other assets (non-current)</t>
  </si>
  <si>
    <t>Adjustments for increase / (decrease) in operating liabilities:-</t>
  </si>
  <si>
    <t>Other liabilities (non-current)</t>
  </si>
  <si>
    <t>Other liabilities (current)</t>
  </si>
  <si>
    <t>Income taxes paid (net of refunds)</t>
  </si>
  <si>
    <t>Net cash generated from operating activities</t>
  </si>
  <si>
    <t>Discontinued Operations</t>
  </si>
  <si>
    <t xml:space="preserve"> Continuing Operations</t>
  </si>
  <si>
    <t>B CASH FLOW FROM INVESTING ACTIVITIES</t>
  </si>
  <si>
    <t>Payment made for acquisition of business by subsidiary</t>
  </si>
  <si>
    <t>Net sale / (purchases) of mutual funds</t>
  </si>
  <si>
    <t>Bank balances not considered as cash and cash equivalents</t>
  </si>
  <si>
    <t>Proceeds from disposal of property, plant and equipment</t>
  </si>
  <si>
    <t>Grant Received from Government of Republic of Hungary</t>
  </si>
  <si>
    <t>Net cash used in investing activities</t>
  </si>
  <si>
    <t>C CASH FLOW FROM FINANCING ACTIVITIES</t>
  </si>
  <si>
    <t>Proceeds from issue of shares</t>
  </si>
  <si>
    <t>Cost incurred on issue of shares</t>
  </si>
  <si>
    <t>Proceeds from borrowings (Non-current)</t>
  </si>
  <si>
    <t>Repayment of borrowings (Non-current)</t>
  </si>
  <si>
    <t>Dividends on equity share capital paid</t>
  </si>
  <si>
    <t>Payment towards lease liability</t>
  </si>
  <si>
    <t>Finance costs paid</t>
  </si>
  <si>
    <t>Net cash used in financing activities</t>
  </si>
  <si>
    <t>D EFFECT OF EXCHANGE RATE CHANGES</t>
  </si>
  <si>
    <t>Cash and cash equivalents at the end of the year (Refer to note 14)</t>
  </si>
  <si>
    <t>Net movement in cash and cash equivalents (A+B+C)</t>
  </si>
  <si>
    <t>Payment for purchase of property, plant, equipment, capital work-inprogress and intangible assets</t>
  </si>
  <si>
    <t>Less: Other comprehensive income arising from measurement ofdefined benefit obligation*</t>
  </si>
  <si>
    <t>Net proceeds / (repayment) from borrowings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</si>
</sst>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3" tint="0.39997558519241921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3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9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165" fontId="1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3" fontId="1" fillId="0" borderId="0" xfId="0" applyNumberFormat="1" applyFont="1"/>
    <xf numFmtId="0" fontId="1" fillId="3" borderId="0" xfId="0" applyFont="1" applyFill="1"/>
    <xf numFmtId="3" fontId="11" fillId="0" borderId="0" xfId="0" applyNumberFormat="1" applyFont="1"/>
    <xf numFmtId="16" fontId="1" fillId="3" borderId="0" xfId="0" applyNumberFormat="1" applyFont="1" applyFill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3" fillId="0" borderId="0" xfId="0" applyNumberFormat="1" applyFont="1"/>
    <xf numFmtId="0" fontId="13" fillId="0" borderId="0" xfId="0" applyFont="1"/>
    <xf numFmtId="9" fontId="10" fillId="0" borderId="0" xfId="0" applyNumberFormat="1" applyFont="1"/>
    <xf numFmtId="9" fontId="14" fillId="0" borderId="0" xfId="0" applyNumberFormat="1" applyFont="1"/>
    <xf numFmtId="0" fontId="0" fillId="0" borderId="2" xfId="0" applyBorder="1"/>
    <xf numFmtId="9" fontId="0" fillId="0" borderId="2" xfId="0" applyNumberFormat="1" applyBorder="1"/>
    <xf numFmtId="4" fontId="0" fillId="0" borderId="2" xfId="0" applyNumberFormat="1" applyBorder="1"/>
    <xf numFmtId="166" fontId="0" fillId="0" borderId="2" xfId="0" applyNumberFormat="1" applyBorder="1"/>
    <xf numFmtId="0" fontId="1" fillId="0" borderId="2" xfId="0" applyFont="1" applyBorder="1"/>
    <xf numFmtId="3" fontId="0" fillId="0" borderId="2" xfId="0" applyNumberFormat="1" applyBorder="1"/>
    <xf numFmtId="16" fontId="1" fillId="4" borderId="0" xfId="0" applyNumberFormat="1" applyFont="1" applyFill="1"/>
    <xf numFmtId="0" fontId="0" fillId="4" borderId="0" xfId="0" applyFill="1"/>
    <xf numFmtId="165" fontId="0" fillId="4" borderId="0" xfId="1" applyNumberFormat="1" applyFont="1" applyFill="1"/>
    <xf numFmtId="0" fontId="1" fillId="4" borderId="0" xfId="0" applyFont="1" applyFill="1"/>
    <xf numFmtId="1" fontId="0" fillId="4" borderId="0" xfId="0" applyNumberFormat="1" applyFill="1"/>
    <xf numFmtId="43" fontId="0" fillId="0" borderId="0" xfId="1" applyFont="1"/>
    <xf numFmtId="0" fontId="15" fillId="5" borderId="0" xfId="0" applyFont="1" applyFill="1"/>
    <xf numFmtId="166" fontId="0" fillId="0" borderId="0" xfId="0" applyNumberFormat="1"/>
    <xf numFmtId="2" fontId="0" fillId="4" borderId="0" xfId="0" applyNumberFormat="1" applyFill="1"/>
    <xf numFmtId="1" fontId="12" fillId="4" borderId="0" xfId="0" applyNumberFormat="1" applyFont="1" applyFill="1"/>
    <xf numFmtId="16" fontId="0" fillId="0" borderId="0" xfId="0" applyNumberFormat="1"/>
    <xf numFmtId="16" fontId="0" fillId="4" borderId="0" xfId="0" applyNumberFormat="1" applyFill="1"/>
    <xf numFmtId="9" fontId="0" fillId="4" borderId="0" xfId="0" applyNumberFormat="1" applyFill="1"/>
    <xf numFmtId="0" fontId="15" fillId="0" borderId="0" xfId="0" applyFont="1"/>
    <xf numFmtId="16" fontId="1" fillId="0" borderId="0" xfId="0" applyNumberFormat="1" applyFont="1"/>
    <xf numFmtId="165" fontId="0" fillId="0" borderId="0" xfId="1" applyNumberFormat="1" applyFont="1" applyFill="1"/>
    <xf numFmtId="17" fontId="16" fillId="0" borderId="0" xfId="0" applyNumberFormat="1" applyFont="1" applyAlignment="1">
      <alignment horizontal="right"/>
    </xf>
    <xf numFmtId="165" fontId="17" fillId="0" borderId="0" xfId="1" applyNumberFormat="1" applyFont="1" applyFill="1" applyBorder="1" applyAlignment="1">
      <alignment horizontal="right"/>
    </xf>
    <xf numFmtId="37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" fontId="1" fillId="3" borderId="0" xfId="0" applyNumberFormat="1" applyFont="1" applyFill="1"/>
    <xf numFmtId="0" fontId="10" fillId="0" borderId="0" xfId="0" applyFont="1"/>
    <xf numFmtId="1" fontId="1" fillId="0" borderId="0" xfId="0" applyNumberFormat="1" applyFont="1"/>
    <xf numFmtId="43" fontId="0" fillId="0" borderId="0" xfId="0" applyNumberFormat="1"/>
    <xf numFmtId="166" fontId="10" fillId="0" borderId="0" xfId="0" applyNumberFormat="1" applyFont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9" fontId="1" fillId="0" borderId="0" xfId="0" applyNumberFormat="1" applyFont="1"/>
    <xf numFmtId="9" fontId="1" fillId="0" borderId="0" xfId="2" applyFont="1" applyBorder="1"/>
    <xf numFmtId="9" fontId="1" fillId="0" borderId="0" xfId="2" applyFont="1"/>
    <xf numFmtId="43" fontId="0" fillId="0" borderId="0" xfId="1" applyFont="1" applyFill="1"/>
    <xf numFmtId="165" fontId="2" fillId="0" borderId="0" xfId="1" applyNumberFormat="1" applyFont="1" applyAlignment="1">
      <alignment horizontal="left"/>
    </xf>
    <xf numFmtId="9" fontId="0" fillId="0" borderId="0" xfId="2" applyFont="1"/>
    <xf numFmtId="166" fontId="0" fillId="0" borderId="0" xfId="2" applyNumberFormat="1" applyFont="1"/>
    <xf numFmtId="165" fontId="9" fillId="0" borderId="0" xfId="1" applyNumberFormat="1" applyFont="1" applyFill="1"/>
    <xf numFmtId="3" fontId="0" fillId="4" borderId="0" xfId="0" applyNumberFormat="1" applyFill="1"/>
    <xf numFmtId="4" fontId="0" fillId="4" borderId="0" xfId="0" applyNumberFormat="1" applyFill="1"/>
    <xf numFmtId="4" fontId="10" fillId="0" borderId="0" xfId="0" applyNumberFormat="1" applyFont="1"/>
    <xf numFmtId="43" fontId="10" fillId="0" borderId="0" xfId="1" applyFont="1"/>
    <xf numFmtId="43" fontId="1" fillId="0" borderId="0" xfId="1" applyFont="1"/>
    <xf numFmtId="1" fontId="9" fillId="0" borderId="0" xfId="1" applyNumberFormat="1" applyFont="1" applyFill="1"/>
    <xf numFmtId="1" fontId="0" fillId="0" borderId="0" xfId="1" applyNumberFormat="1" applyFont="1" applyFill="1"/>
    <xf numFmtId="1" fontId="1" fillId="0" borderId="0" xfId="1" applyNumberFormat="1" applyFont="1" applyFill="1"/>
    <xf numFmtId="0" fontId="0" fillId="6" borderId="0" xfId="0" applyFill="1"/>
    <xf numFmtId="3" fontId="0" fillId="0" borderId="0" xfId="0" applyNumberFormat="1" applyAlignment="1">
      <alignment horizontal="right"/>
    </xf>
    <xf numFmtId="43" fontId="9" fillId="0" borderId="0" xfId="1" applyFont="1"/>
    <xf numFmtId="0" fontId="0" fillId="3" borderId="0" xfId="0" applyFill="1"/>
    <xf numFmtId="2" fontId="10" fillId="0" borderId="0" xfId="0" applyNumberFormat="1" applyFont="1"/>
    <xf numFmtId="2" fontId="1" fillId="0" borderId="0" xfId="0" applyNumberFormat="1" applyFont="1"/>
    <xf numFmtId="9" fontId="9" fillId="0" borderId="0" xfId="2" applyFont="1"/>
    <xf numFmtId="1" fontId="0" fillId="0" borderId="2" xfId="0" applyNumberFormat="1" applyBorder="1"/>
    <xf numFmtId="1" fontId="1" fillId="0" borderId="2" xfId="0" applyNumberFormat="1" applyFont="1" applyBorder="1"/>
    <xf numFmtId="0" fontId="0" fillId="0" borderId="3" xfId="0" applyBorder="1"/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10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" fontId="1" fillId="7" borderId="2" xfId="0" applyNumberFormat="1" applyFont="1" applyFill="1" applyBorder="1"/>
    <xf numFmtId="2" fontId="0" fillId="0" borderId="2" xfId="0" applyNumberFormat="1" applyBorder="1"/>
    <xf numFmtId="9" fontId="0" fillId="0" borderId="2" xfId="2" applyFont="1" applyBorder="1"/>
    <xf numFmtId="10" fontId="9" fillId="0" borderId="2" xfId="2" applyNumberFormat="1" applyFont="1" applyBorder="1"/>
    <xf numFmtId="0" fontId="1" fillId="0" borderId="0" xfId="0" applyFont="1" applyAlignment="1">
      <alignment horizontal="center" vertical="center"/>
    </xf>
    <xf numFmtId="165" fontId="1" fillId="0" borderId="0" xfId="1" applyNumberFormat="1" applyFont="1" applyFill="1"/>
    <xf numFmtId="0" fontId="0" fillId="0" borderId="0" xfId="0" applyAlignment="1">
      <alignment wrapText="1"/>
    </xf>
    <xf numFmtId="3" fontId="0" fillId="4" borderId="0" xfId="0" applyNumberFormat="1" applyFill="1" applyAlignment="1">
      <alignment horizontal="right"/>
    </xf>
    <xf numFmtId="3" fontId="1" fillId="4" borderId="0" xfId="0" applyNumberFormat="1" applyFont="1" applyFill="1"/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0" fontId="0" fillId="0" borderId="2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AE722065-D34F-4F32-92A4-BCABD2A247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94B1-9085-44F5-A78E-A91963407DBE}">
  <dimension ref="B3:T21"/>
  <sheetViews>
    <sheetView zoomScale="145" zoomScaleNormal="145" workbookViewId="0">
      <selection activeCell="G10" sqref="G10"/>
    </sheetView>
  </sheetViews>
  <sheetFormatPr defaultRowHeight="14.4" x14ac:dyDescent="0.3"/>
  <cols>
    <col min="2" max="2" width="27.109375" bestFit="1" customWidth="1"/>
    <col min="7" max="7" width="20.5546875" bestFit="1" customWidth="1"/>
    <col min="16" max="16" width="9.109375" customWidth="1"/>
    <col min="17" max="17" width="23.44140625" customWidth="1"/>
    <col min="18" max="19" width="9.109375" customWidth="1"/>
  </cols>
  <sheetData>
    <row r="3" spans="2:20" x14ac:dyDescent="0.3">
      <c r="B3" s="121" t="s">
        <v>165</v>
      </c>
      <c r="C3" s="121"/>
      <c r="D3" s="121"/>
      <c r="G3" s="122" t="s">
        <v>166</v>
      </c>
      <c r="H3" s="123"/>
      <c r="I3" s="123"/>
      <c r="J3" s="123"/>
      <c r="K3" s="123"/>
      <c r="L3" s="123"/>
      <c r="M3" s="123"/>
      <c r="N3" s="124"/>
      <c r="Q3" s="121" t="s">
        <v>167</v>
      </c>
      <c r="R3" s="121"/>
      <c r="S3" s="121"/>
    </row>
    <row r="4" spans="2:20" x14ac:dyDescent="0.3">
      <c r="C4" t="s">
        <v>93</v>
      </c>
      <c r="D4" t="s">
        <v>158</v>
      </c>
      <c r="E4" t="s">
        <v>249</v>
      </c>
      <c r="G4" s="31"/>
      <c r="H4" t="s">
        <v>93</v>
      </c>
      <c r="I4" t="s">
        <v>158</v>
      </c>
      <c r="J4" t="s">
        <v>249</v>
      </c>
      <c r="L4" t="s">
        <v>93</v>
      </c>
      <c r="M4" t="s">
        <v>158</v>
      </c>
      <c r="N4" t="s">
        <v>249</v>
      </c>
      <c r="R4" t="s">
        <v>93</v>
      </c>
      <c r="S4" t="s">
        <v>158</v>
      </c>
      <c r="T4" t="s">
        <v>249</v>
      </c>
    </row>
    <row r="5" spans="2:20" x14ac:dyDescent="0.3">
      <c r="G5" s="33" t="s">
        <v>173</v>
      </c>
      <c r="K5" s="2" t="s">
        <v>174</v>
      </c>
      <c r="M5" s="32"/>
      <c r="Q5" t="s">
        <v>62</v>
      </c>
      <c r="R5">
        <f>C17</f>
        <v>30</v>
      </c>
      <c r="S5">
        <f>D17</f>
        <v>26.000000000000007</v>
      </c>
      <c r="T5">
        <f>E17</f>
        <v>33.200000000000003</v>
      </c>
    </row>
    <row r="6" spans="2:20" x14ac:dyDescent="0.3">
      <c r="B6" t="s">
        <v>164</v>
      </c>
      <c r="C6">
        <v>120</v>
      </c>
      <c r="D6">
        <f>C6*1.2</f>
        <v>144</v>
      </c>
      <c r="E6">
        <f>D6*1.2</f>
        <v>172.79999999999998</v>
      </c>
      <c r="G6" s="31" t="s">
        <v>172</v>
      </c>
      <c r="H6">
        <f>C20</f>
        <v>21</v>
      </c>
      <c r="I6">
        <f>H6+D20</f>
        <v>39.200000000000003</v>
      </c>
      <c r="J6">
        <f>I6+E20</f>
        <v>64.100000000000009</v>
      </c>
      <c r="K6" t="s">
        <v>175</v>
      </c>
      <c r="L6">
        <f>-R11</f>
        <v>200</v>
      </c>
      <c r="M6" s="32">
        <v>200</v>
      </c>
      <c r="N6" s="32">
        <v>200</v>
      </c>
      <c r="Q6" t="s">
        <v>225</v>
      </c>
      <c r="R6" s="52">
        <f>C15</f>
        <v>10</v>
      </c>
      <c r="S6" s="52">
        <f>D15</f>
        <v>10</v>
      </c>
      <c r="T6" s="52">
        <f>E15</f>
        <v>10</v>
      </c>
    </row>
    <row r="7" spans="2:20" x14ac:dyDescent="0.3">
      <c r="B7" t="s">
        <v>239</v>
      </c>
      <c r="C7">
        <v>40</v>
      </c>
      <c r="D7">
        <f>D6*D8</f>
        <v>57.6</v>
      </c>
      <c r="E7">
        <f>E6*E8</f>
        <v>60.47999999999999</v>
      </c>
      <c r="G7" s="31"/>
      <c r="K7" t="s">
        <v>176</v>
      </c>
      <c r="L7" s="52">
        <f>-R6</f>
        <v>-10</v>
      </c>
      <c r="M7" s="32">
        <f>L7-S6</f>
        <v>-20</v>
      </c>
      <c r="N7" s="32">
        <f>M7-T6</f>
        <v>-30</v>
      </c>
      <c r="Q7" t="s">
        <v>226</v>
      </c>
      <c r="R7">
        <f>-C18</f>
        <v>-9</v>
      </c>
      <c r="S7">
        <f>-D18</f>
        <v>-7.8000000000000016</v>
      </c>
      <c r="T7">
        <f>-E18</f>
        <v>-8.3000000000000007</v>
      </c>
    </row>
    <row r="8" spans="2:20" s="2" customFormat="1" x14ac:dyDescent="0.3">
      <c r="B8" s="42" t="s">
        <v>240</v>
      </c>
      <c r="C8" s="41">
        <f>C7/C6</f>
        <v>0.33333333333333331</v>
      </c>
      <c r="D8" s="44">
        <v>0.4</v>
      </c>
      <c r="E8" s="44">
        <v>0.35</v>
      </c>
      <c r="G8" s="33" t="s">
        <v>235</v>
      </c>
      <c r="M8" s="34"/>
      <c r="N8" s="34"/>
      <c r="Q8" s="2" t="s">
        <v>227</v>
      </c>
      <c r="R8" s="2">
        <f>R5+R6+R7</f>
        <v>31</v>
      </c>
      <c r="S8" s="2">
        <f>S5+S6+S7</f>
        <v>28.200000000000006</v>
      </c>
      <c r="T8" s="2">
        <f>T5+T6+T7</f>
        <v>34.900000000000006</v>
      </c>
    </row>
    <row r="9" spans="2:20" x14ac:dyDescent="0.3">
      <c r="B9" s="2" t="s">
        <v>53</v>
      </c>
      <c r="C9" s="2">
        <f>C6-C7</f>
        <v>80</v>
      </c>
      <c r="D9" s="2">
        <f>D6-D7</f>
        <v>86.4</v>
      </c>
      <c r="E9" s="2">
        <f>E6-E7</f>
        <v>112.32</v>
      </c>
      <c r="G9" s="31" t="s">
        <v>237</v>
      </c>
      <c r="H9">
        <f>R16</f>
        <v>100</v>
      </c>
      <c r="I9">
        <f>H9</f>
        <v>100</v>
      </c>
      <c r="J9">
        <f>I9+T16</f>
        <v>80</v>
      </c>
      <c r="K9" t="s">
        <v>171</v>
      </c>
      <c r="L9">
        <f>R21</f>
        <v>51</v>
      </c>
      <c r="M9" s="32">
        <f>S21</f>
        <v>49.2</v>
      </c>
      <c r="N9" s="32">
        <f>T21</f>
        <v>34.100000000000009</v>
      </c>
    </row>
    <row r="10" spans="2:20" x14ac:dyDescent="0.3">
      <c r="B10" s="2" t="s">
        <v>241</v>
      </c>
      <c r="C10" s="80">
        <f>C9/C6</f>
        <v>0.66666666666666663</v>
      </c>
      <c r="D10" s="80">
        <f>D9/D6</f>
        <v>0.60000000000000009</v>
      </c>
      <c r="E10" s="80">
        <f>E9/E6</f>
        <v>0.65</v>
      </c>
      <c r="G10" s="31" t="s">
        <v>238</v>
      </c>
      <c r="H10">
        <f>R17</f>
        <v>120</v>
      </c>
      <c r="I10">
        <f>H10+S17</f>
        <v>90</v>
      </c>
      <c r="J10">
        <f>I10+T17</f>
        <v>60</v>
      </c>
      <c r="M10" s="32"/>
      <c r="N10" s="32"/>
      <c r="Q10" s="2" t="s">
        <v>228</v>
      </c>
    </row>
    <row r="11" spans="2:20" x14ac:dyDescent="0.3">
      <c r="B11" t="s">
        <v>56</v>
      </c>
      <c r="C11">
        <v>40</v>
      </c>
      <c r="D11">
        <f>D12*D6</f>
        <v>50.4</v>
      </c>
      <c r="E11">
        <f>E12*E6</f>
        <v>69.11999999999999</v>
      </c>
      <c r="G11" s="31" t="s">
        <v>94</v>
      </c>
      <c r="H11" s="2">
        <f>H6+H9+H10</f>
        <v>241</v>
      </c>
      <c r="I11">
        <f>I6+I9+I10</f>
        <v>229.2</v>
      </c>
      <c r="J11">
        <f>J6+J9+J10</f>
        <v>204.10000000000002</v>
      </c>
      <c r="L11" s="2">
        <f>SUM(L6:L10)</f>
        <v>241</v>
      </c>
      <c r="M11" s="32">
        <f>SUM(M6:M10)</f>
        <v>229.2</v>
      </c>
      <c r="N11" s="32">
        <f>SUM(N6:N10)</f>
        <v>204.10000000000002</v>
      </c>
      <c r="Q11" t="s">
        <v>230</v>
      </c>
      <c r="R11" s="74">
        <v>-200</v>
      </c>
      <c r="S11">
        <v>0</v>
      </c>
      <c r="T11">
        <v>0</v>
      </c>
    </row>
    <row r="12" spans="2:20" x14ac:dyDescent="0.3">
      <c r="B12" s="42" t="s">
        <v>247</v>
      </c>
      <c r="C12" s="41">
        <f>C11/C6</f>
        <v>0.33333333333333331</v>
      </c>
      <c r="D12" s="43">
        <v>0.35</v>
      </c>
      <c r="E12" s="43">
        <v>0.4</v>
      </c>
      <c r="G12" s="35"/>
      <c r="H12" s="37">
        <f>H11-L11</f>
        <v>0</v>
      </c>
      <c r="I12" s="37">
        <f>I11-M11</f>
        <v>0</v>
      </c>
      <c r="J12" s="37">
        <f>J11-N11</f>
        <v>0</v>
      </c>
      <c r="K12" s="37"/>
      <c r="L12" s="37">
        <f>L11-H11</f>
        <v>0</v>
      </c>
      <c r="M12" s="36">
        <f>M11-I11</f>
        <v>0</v>
      </c>
      <c r="N12" s="36">
        <f>N11-J11</f>
        <v>0</v>
      </c>
    </row>
    <row r="13" spans="2:20" x14ac:dyDescent="0.3">
      <c r="B13" s="2" t="s">
        <v>58</v>
      </c>
      <c r="C13" s="2">
        <f>C9-C11</f>
        <v>40</v>
      </c>
      <c r="D13">
        <f>D9-D11</f>
        <v>36.000000000000007</v>
      </c>
      <c r="E13">
        <f>E9-E11</f>
        <v>43.2</v>
      </c>
      <c r="Q13" s="2" t="s">
        <v>233</v>
      </c>
      <c r="R13" s="2">
        <f>R11</f>
        <v>-200</v>
      </c>
      <c r="S13" s="2">
        <f>S11</f>
        <v>0</v>
      </c>
      <c r="T13" s="2">
        <f>T11</f>
        <v>0</v>
      </c>
    </row>
    <row r="14" spans="2:20" x14ac:dyDescent="0.3">
      <c r="B14" s="2" t="s">
        <v>90</v>
      </c>
      <c r="C14" s="81">
        <f>C13/C6</f>
        <v>0.33333333333333331</v>
      </c>
      <c r="D14" s="81">
        <f>D13/D6</f>
        <v>0.25000000000000006</v>
      </c>
      <c r="E14" s="81">
        <f>E13/E6</f>
        <v>0.25000000000000006</v>
      </c>
    </row>
    <row r="15" spans="2:20" x14ac:dyDescent="0.3">
      <c r="B15" t="s">
        <v>61</v>
      </c>
      <c r="C15">
        <v>10</v>
      </c>
      <c r="D15">
        <v>10</v>
      </c>
      <c r="E15">
        <v>10</v>
      </c>
      <c r="Q15" t="s">
        <v>229</v>
      </c>
    </row>
    <row r="16" spans="2:20" x14ac:dyDescent="0.3">
      <c r="B16" t="s">
        <v>168</v>
      </c>
      <c r="C16">
        <v>0</v>
      </c>
      <c r="D16">
        <v>0</v>
      </c>
      <c r="E16">
        <v>0</v>
      </c>
      <c r="Q16" t="s">
        <v>236</v>
      </c>
      <c r="R16" s="74">
        <v>100</v>
      </c>
      <c r="T16">
        <v>-20</v>
      </c>
    </row>
    <row r="17" spans="2:20" x14ac:dyDescent="0.3">
      <c r="B17" s="2" t="s">
        <v>62</v>
      </c>
      <c r="C17" s="2">
        <f>C13-C15-C16</f>
        <v>30</v>
      </c>
      <c r="D17" s="2">
        <f>D13-D15-D16</f>
        <v>26.000000000000007</v>
      </c>
      <c r="E17" s="2">
        <f>E13-E15-E16</f>
        <v>33.200000000000003</v>
      </c>
      <c r="Q17" t="s">
        <v>234</v>
      </c>
      <c r="R17" s="74">
        <v>120</v>
      </c>
      <c r="S17" s="74">
        <v>-30</v>
      </c>
      <c r="T17" s="74">
        <v>-30</v>
      </c>
    </row>
    <row r="18" spans="2:20" x14ac:dyDescent="0.3">
      <c r="B18" t="s">
        <v>170</v>
      </c>
      <c r="C18">
        <f>C17*30%</f>
        <v>9</v>
      </c>
      <c r="D18">
        <f>D17*30%</f>
        <v>7.8000000000000016</v>
      </c>
      <c r="E18">
        <f>E17*25%</f>
        <v>8.3000000000000007</v>
      </c>
      <c r="Q18" s="2" t="s">
        <v>232</v>
      </c>
      <c r="R18" s="2">
        <f>R16+R17</f>
        <v>220</v>
      </c>
      <c r="S18">
        <f>S16+S17</f>
        <v>-30</v>
      </c>
      <c r="T18">
        <f>T16+T17</f>
        <v>-50</v>
      </c>
    </row>
    <row r="20" spans="2:20" x14ac:dyDescent="0.3">
      <c r="B20" t="s">
        <v>169</v>
      </c>
      <c r="C20">
        <f>C17-C18</f>
        <v>21</v>
      </c>
      <c r="D20">
        <f>D17-D18</f>
        <v>18.200000000000006</v>
      </c>
      <c r="E20">
        <f>E17-E18</f>
        <v>24.900000000000002</v>
      </c>
      <c r="Q20" t="s">
        <v>248</v>
      </c>
      <c r="S20">
        <f>R21</f>
        <v>51</v>
      </c>
      <c r="T20">
        <f>S21</f>
        <v>49.2</v>
      </c>
    </row>
    <row r="21" spans="2:20" x14ac:dyDescent="0.3">
      <c r="B21" s="33" t="s">
        <v>246</v>
      </c>
      <c r="C21" s="82">
        <f>C20/C6</f>
        <v>0.17499999999999999</v>
      </c>
      <c r="D21" s="43">
        <f>D20/D6</f>
        <v>0.12638888888888894</v>
      </c>
      <c r="E21" s="43">
        <f>E20/E6</f>
        <v>0.14409722222222224</v>
      </c>
      <c r="Q21" s="2" t="s">
        <v>231</v>
      </c>
      <c r="R21" s="2">
        <f>R18+R13+R8</f>
        <v>51</v>
      </c>
      <c r="S21" s="2">
        <f>S8+S13+S18+S20</f>
        <v>49.2</v>
      </c>
      <c r="T21" s="2">
        <f>T8+T13+T18+T20</f>
        <v>34.100000000000009</v>
      </c>
    </row>
  </sheetData>
  <mergeCells count="3">
    <mergeCell ref="B3:D3"/>
    <mergeCell ref="G3:N3"/>
    <mergeCell ref="Q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061F-68C2-48EA-99FC-F637AAA82C92}">
  <dimension ref="A1:Q39"/>
  <sheetViews>
    <sheetView zoomScale="160" zoomScaleNormal="160" workbookViewId="0">
      <selection activeCell="C2" sqref="C2:C15"/>
    </sheetView>
  </sheetViews>
  <sheetFormatPr defaultRowHeight="14.4" x14ac:dyDescent="0.3"/>
  <cols>
    <col min="1" max="1" width="14.6640625" bestFit="1" customWidth="1"/>
    <col min="2" max="2" width="14.6640625" style="52" customWidth="1"/>
    <col min="3" max="4" width="9.109375" customWidth="1"/>
  </cols>
  <sheetData>
    <row r="1" spans="1:17" x14ac:dyDescent="0.3">
      <c r="A1" s="28" t="s">
        <v>134</v>
      </c>
      <c r="B1" s="62" t="e">
        <f>#REF!</f>
        <v>#REF!</v>
      </c>
      <c r="C1" s="61" t="e">
        <f>#REF!</f>
        <v>#REF!</v>
      </c>
      <c r="D1" s="61" t="e">
        <f>#REF!</f>
        <v>#REF!</v>
      </c>
      <c r="E1" s="61" t="e">
        <f>#REF!</f>
        <v>#REF!</v>
      </c>
      <c r="F1" s="61" t="e">
        <f>#REF!</f>
        <v>#REF!</v>
      </c>
      <c r="G1" s="61" t="e">
        <f>#REF!</f>
        <v>#REF!</v>
      </c>
      <c r="H1" s="61" t="e">
        <f>#REF!</f>
        <v>#REF!</v>
      </c>
      <c r="I1" s="61" t="e">
        <f>#REF!</f>
        <v>#REF!</v>
      </c>
      <c r="J1" s="61" t="e">
        <f>#REF!</f>
        <v>#REF!</v>
      </c>
      <c r="K1" s="61" t="e">
        <f>#REF!</f>
        <v>#REF!</v>
      </c>
      <c r="L1" s="61" t="e">
        <f>#REF!</f>
        <v>#REF!</v>
      </c>
      <c r="M1" s="61" t="e">
        <f>#REF!</f>
        <v>#REF!</v>
      </c>
      <c r="N1" s="61" t="e">
        <f>#REF!</f>
        <v>#REF!</v>
      </c>
      <c r="O1" s="61" t="e">
        <f>#REF!</f>
        <v>#REF!</v>
      </c>
      <c r="P1" s="61"/>
      <c r="Q1" s="61"/>
    </row>
    <row r="2" spans="1:17" x14ac:dyDescent="0.3">
      <c r="A2" t="s">
        <v>120</v>
      </c>
      <c r="B2" s="63" t="e">
        <f>#REF!/#REF!</f>
        <v>#REF!</v>
      </c>
      <c r="C2" s="19">
        <v>1.2177826405590363E-2</v>
      </c>
      <c r="D2" s="19"/>
      <c r="E2" s="19">
        <v>1.2177826405590363E-2</v>
      </c>
      <c r="F2" s="19" t="e">
        <f>#REF!/#REF!</f>
        <v>#REF!</v>
      </c>
      <c r="G2" s="19" t="e">
        <f>#REF!/#REF!</f>
        <v>#REF!</v>
      </c>
      <c r="H2" s="19" t="e">
        <f>#REF!/#REF!</f>
        <v>#REF!</v>
      </c>
      <c r="I2" s="19" t="e">
        <f>#REF!/#REF!</f>
        <v>#REF!</v>
      </c>
      <c r="J2" s="19" t="e">
        <f>#REF!/#REF!</f>
        <v>#REF!</v>
      </c>
      <c r="K2" s="19" t="e">
        <f>#REF!/#REF!</f>
        <v>#REF!</v>
      </c>
      <c r="L2" s="19" t="e">
        <f>#REF!/#REF!</f>
        <v>#REF!</v>
      </c>
      <c r="M2" s="19" t="e">
        <f>#REF!/#REF!</f>
        <v>#REF!</v>
      </c>
    </row>
    <row r="3" spans="1:17" x14ac:dyDescent="0.3">
      <c r="A3" t="s">
        <v>121</v>
      </c>
      <c r="B3" s="63" t="e">
        <f>#REF!/#REF!</f>
        <v>#REF!</v>
      </c>
      <c r="C3" s="19">
        <v>2.483665527812471E-2</v>
      </c>
      <c r="D3" s="19"/>
      <c r="E3" s="19">
        <v>2.483665527812471E-2</v>
      </c>
      <c r="F3" s="19" t="e">
        <f>#REF!/#REF!</f>
        <v>#REF!</v>
      </c>
      <c r="G3" s="19" t="e">
        <f>#REF!/#REF!</f>
        <v>#REF!</v>
      </c>
      <c r="H3" s="19" t="e">
        <f>#REF!/#REF!</f>
        <v>#REF!</v>
      </c>
      <c r="I3" s="19" t="e">
        <f>#REF!/#REF!</f>
        <v>#REF!</v>
      </c>
      <c r="J3" s="19" t="e">
        <f>#REF!/#REF!</f>
        <v>#REF!</v>
      </c>
      <c r="K3" s="19" t="e">
        <f>#REF!/#REF!</f>
        <v>#REF!</v>
      </c>
      <c r="L3" s="19" t="e">
        <f>#REF!/#REF!</f>
        <v>#REF!</v>
      </c>
      <c r="M3" s="19" t="e">
        <f>#REF!/#REF!</f>
        <v>#REF!</v>
      </c>
    </row>
    <row r="4" spans="1:17" x14ac:dyDescent="0.3">
      <c r="A4" t="s">
        <v>122</v>
      </c>
      <c r="B4" s="63" t="e">
        <f>#REF!/#REF!</f>
        <v>#REF!</v>
      </c>
      <c r="C4" s="19">
        <v>4.7699755369989986E-2</v>
      </c>
      <c r="D4" s="19"/>
      <c r="E4" s="19">
        <v>4.7699755369989986E-2</v>
      </c>
      <c r="F4" s="19" t="e">
        <f>#REF!/#REF!</f>
        <v>#REF!</v>
      </c>
      <c r="G4" s="19" t="e">
        <f>#REF!/#REF!</f>
        <v>#REF!</v>
      </c>
      <c r="H4" s="19" t="e">
        <f>#REF!/#REF!</f>
        <v>#REF!</v>
      </c>
      <c r="I4" s="19" t="e">
        <f>#REF!/#REF!</f>
        <v>#REF!</v>
      </c>
      <c r="J4" s="19" t="e">
        <f>#REF!/#REF!</f>
        <v>#REF!</v>
      </c>
      <c r="K4" s="19" t="e">
        <f>#REF!/#REF!</f>
        <v>#REF!</v>
      </c>
      <c r="L4" s="19" t="e">
        <f>#REF!/#REF!</f>
        <v>#REF!</v>
      </c>
      <c r="M4" s="19" t="e">
        <f>#REF!/#REF!</f>
        <v>#REF!</v>
      </c>
    </row>
    <row r="5" spans="1:17" x14ac:dyDescent="0.3">
      <c r="A5" t="s">
        <v>123</v>
      </c>
      <c r="B5" s="63" t="e">
        <f>#REF!/#REF!</f>
        <v>#REF!</v>
      </c>
      <c r="C5" s="19">
        <v>0</v>
      </c>
      <c r="D5" s="19"/>
      <c r="E5" s="19">
        <v>0</v>
      </c>
      <c r="F5" s="19" t="e">
        <f>#REF!/#REF!</f>
        <v>#REF!</v>
      </c>
      <c r="G5" s="19" t="e">
        <f>#REF!/#REF!</f>
        <v>#REF!</v>
      </c>
      <c r="H5" s="19" t="e">
        <f>#REF!/#REF!</f>
        <v>#REF!</v>
      </c>
      <c r="I5" s="19" t="e">
        <f>#REF!/#REF!</f>
        <v>#REF!</v>
      </c>
      <c r="J5" s="19" t="e">
        <f>#REF!/#REF!</f>
        <v>#REF!</v>
      </c>
      <c r="K5" s="19" t="e">
        <f>#REF!/#REF!</f>
        <v>#REF!</v>
      </c>
      <c r="L5" s="19" t="e">
        <f>#REF!/#REF!</f>
        <v>#REF!</v>
      </c>
      <c r="M5" s="19" t="e">
        <f>#REF!/#REF!</f>
        <v>#REF!</v>
      </c>
    </row>
    <row r="6" spans="1:17" x14ac:dyDescent="0.3">
      <c r="A6" t="s">
        <v>124</v>
      </c>
      <c r="B6" s="63" t="e">
        <f>#REF!/#REF!</f>
        <v>#REF!</v>
      </c>
      <c r="C6" s="19">
        <v>0</v>
      </c>
      <c r="D6" s="19"/>
      <c r="E6" s="19">
        <v>0</v>
      </c>
      <c r="F6" s="19" t="e">
        <f>#REF!/#REF!</f>
        <v>#REF!</v>
      </c>
      <c r="G6" s="19" t="e">
        <f>#REF!/#REF!</f>
        <v>#REF!</v>
      </c>
      <c r="H6" s="19" t="e">
        <f>#REF!/#REF!</f>
        <v>#REF!</v>
      </c>
      <c r="I6" s="19" t="e">
        <f>#REF!/#REF!</f>
        <v>#REF!</v>
      </c>
      <c r="J6" s="19" t="e">
        <f>#REF!/#REF!</f>
        <v>#REF!</v>
      </c>
      <c r="K6" s="19" t="e">
        <f>#REF!/#REF!</f>
        <v>#REF!</v>
      </c>
      <c r="L6" s="19" t="e">
        <f>#REF!/#REF!</f>
        <v>#REF!</v>
      </c>
      <c r="M6" s="19" t="e">
        <f>#REF!/#REF!</f>
        <v>#REF!</v>
      </c>
    </row>
    <row r="7" spans="1:17" x14ac:dyDescent="0.3">
      <c r="A7" t="s">
        <v>125</v>
      </c>
      <c r="B7" s="63" t="e">
        <f>#REF!/#REF!</f>
        <v>#REF!</v>
      </c>
      <c r="C7" s="19">
        <v>0</v>
      </c>
      <c r="D7" s="19"/>
      <c r="E7" s="19">
        <v>0</v>
      </c>
      <c r="F7" s="19" t="e">
        <f>#REF!/#REF!</f>
        <v>#REF!</v>
      </c>
      <c r="G7" s="19" t="e">
        <f>#REF!/#REF!</f>
        <v>#REF!</v>
      </c>
      <c r="H7" s="19" t="e">
        <f>#REF!/#REF!</f>
        <v>#REF!</v>
      </c>
      <c r="I7" s="19" t="e">
        <f>#REF!/#REF!</f>
        <v>#REF!</v>
      </c>
      <c r="J7" s="19" t="e">
        <f>#REF!/#REF!</f>
        <v>#REF!</v>
      </c>
      <c r="K7" s="19" t="e">
        <f>#REF!/#REF!</f>
        <v>#REF!</v>
      </c>
      <c r="L7" s="19" t="e">
        <f>#REF!/#REF!</f>
        <v>#REF!</v>
      </c>
      <c r="M7" s="19" t="e">
        <f>#REF!/#REF!</f>
        <v>#REF!</v>
      </c>
    </row>
    <row r="8" spans="1:17" x14ac:dyDescent="0.3">
      <c r="A8" t="s">
        <v>126</v>
      </c>
      <c r="B8" s="63" t="e">
        <f>#REF!/#REF!</f>
        <v>#REF!</v>
      </c>
      <c r="C8" s="19">
        <v>0.26075081801385203</v>
      </c>
      <c r="D8" s="19"/>
      <c r="E8" s="19">
        <v>0.26075081801385203</v>
      </c>
      <c r="F8" s="19" t="e">
        <f>#REF!/#REF!</f>
        <v>#REF!</v>
      </c>
      <c r="G8" s="19" t="e">
        <f>#REF!/#REF!</f>
        <v>#REF!</v>
      </c>
      <c r="H8" s="19" t="e">
        <f>#REF!/#REF!</f>
        <v>#REF!</v>
      </c>
      <c r="I8" s="19" t="e">
        <f>#REF!/#REF!</f>
        <v>#REF!</v>
      </c>
      <c r="J8" s="19" t="e">
        <f>#REF!/#REF!</f>
        <v>#REF!</v>
      </c>
      <c r="K8" s="19" t="e">
        <f>#REF!/#REF!</f>
        <v>#REF!</v>
      </c>
      <c r="L8" s="19" t="e">
        <f>#REF!/#REF!</f>
        <v>#REF!</v>
      </c>
      <c r="M8" s="19" t="e">
        <f>#REF!/#REF!</f>
        <v>#REF!</v>
      </c>
    </row>
    <row r="9" spans="1:17" x14ac:dyDescent="0.3">
      <c r="A9" t="s">
        <v>127</v>
      </c>
      <c r="B9" s="63" t="e">
        <f>#REF!/#REF!</f>
        <v>#REF!</v>
      </c>
      <c r="C9" s="19">
        <v>7.1050051093609692E-2</v>
      </c>
      <c r="D9" s="19"/>
      <c r="E9" s="19">
        <v>7.1050051093609692E-2</v>
      </c>
      <c r="F9" s="19" t="e">
        <f>#REF!/#REF!</f>
        <v>#REF!</v>
      </c>
      <c r="G9" s="19" t="e">
        <f>#REF!/#REF!</f>
        <v>#REF!</v>
      </c>
      <c r="H9" s="19" t="e">
        <f>#REF!/#REF!</f>
        <v>#REF!</v>
      </c>
      <c r="I9" s="19" t="e">
        <f>#REF!/#REF!</f>
        <v>#REF!</v>
      </c>
      <c r="J9" s="19" t="e">
        <f>#REF!/#REF!</f>
        <v>#REF!</v>
      </c>
      <c r="K9" s="19" t="e">
        <f>#REF!/#REF!</f>
        <v>#REF!</v>
      </c>
      <c r="L9" s="19" t="e">
        <f>#REF!/#REF!</f>
        <v>#REF!</v>
      </c>
      <c r="M9" s="19" t="e">
        <f>#REF!/#REF!</f>
        <v>#REF!</v>
      </c>
    </row>
    <row r="10" spans="1:17" x14ac:dyDescent="0.3">
      <c r="A10" t="s">
        <v>128</v>
      </c>
      <c r="B10" s="63" t="e">
        <f>#REF!/#REF!</f>
        <v>#REF!</v>
      </c>
      <c r="C10" s="19">
        <v>0.44001610222850712</v>
      </c>
      <c r="D10" s="19"/>
      <c r="E10" s="19">
        <v>0.44001610222850712</v>
      </c>
      <c r="F10" s="19" t="e">
        <f>#REF!/#REF!</f>
        <v>#REF!</v>
      </c>
      <c r="G10" s="19" t="e">
        <f>#REF!/#REF!</f>
        <v>#REF!</v>
      </c>
      <c r="H10" s="19" t="e">
        <f>#REF!/#REF!</f>
        <v>#REF!</v>
      </c>
      <c r="I10" s="19" t="e">
        <f>#REF!/#REF!</f>
        <v>#REF!</v>
      </c>
      <c r="J10" s="19" t="e">
        <f>#REF!/#REF!</f>
        <v>#REF!</v>
      </c>
      <c r="K10" s="19" t="e">
        <f>#REF!/#REF!</f>
        <v>#REF!</v>
      </c>
      <c r="L10" s="19" t="e">
        <f>#REF!/#REF!</f>
        <v>#REF!</v>
      </c>
      <c r="M10" s="19" t="e">
        <f>#REF!/#REF!</f>
        <v>#REF!</v>
      </c>
    </row>
    <row r="11" spans="1:17" x14ac:dyDescent="0.3">
      <c r="A11" t="s">
        <v>129</v>
      </c>
      <c r="B11" s="63" t="e">
        <f>#REF!/#REF!</f>
        <v>#REF!</v>
      </c>
      <c r="C11" s="19">
        <v>7.0758972347519128E-2</v>
      </c>
      <c r="D11" s="19"/>
      <c r="E11" s="19">
        <v>7.0758972347519128E-2</v>
      </c>
      <c r="F11" s="19" t="e">
        <f>#REF!/#REF!</f>
        <v>#REF!</v>
      </c>
      <c r="G11" s="19" t="e">
        <f>#REF!/#REF!</f>
        <v>#REF!</v>
      </c>
      <c r="H11" s="19" t="e">
        <f>#REF!/#REF!</f>
        <v>#REF!</v>
      </c>
      <c r="I11" s="19" t="e">
        <f>#REF!/#REF!</f>
        <v>#REF!</v>
      </c>
      <c r="J11" s="19" t="e">
        <f>#REF!/#REF!</f>
        <v>#REF!</v>
      </c>
      <c r="K11" s="19" t="e">
        <f>#REF!/#REF!</f>
        <v>#REF!</v>
      </c>
      <c r="L11" s="19" t="e">
        <f>#REF!/#REF!</f>
        <v>#REF!</v>
      </c>
      <c r="M11" s="19" t="e">
        <f>#REF!/#REF!</f>
        <v>#REF!</v>
      </c>
    </row>
    <row r="12" spans="1:17" x14ac:dyDescent="0.3">
      <c r="A12" t="s">
        <v>130</v>
      </c>
      <c r="B12" s="63" t="e">
        <f>#REF!/#REF!</f>
        <v>#REF!</v>
      </c>
      <c r="C12" s="19">
        <v>5.6512628895242618E-2</v>
      </c>
      <c r="D12" s="19"/>
      <c r="E12" s="19">
        <v>5.6512628895242618E-2</v>
      </c>
      <c r="F12" s="19" t="e">
        <f>#REF!/#REF!</f>
        <v>#REF!</v>
      </c>
      <c r="G12" s="19" t="e">
        <f>#REF!/#REF!</f>
        <v>#REF!</v>
      </c>
      <c r="H12" s="19" t="e">
        <f>#REF!/#REF!</f>
        <v>#REF!</v>
      </c>
      <c r="I12" s="19" t="e">
        <f>#REF!/#REF!</f>
        <v>#REF!</v>
      </c>
      <c r="J12" s="19" t="e">
        <f>#REF!/#REF!</f>
        <v>#REF!</v>
      </c>
      <c r="K12" s="19" t="e">
        <f>#REF!/#REF!</f>
        <v>#REF!</v>
      </c>
      <c r="L12" s="19" t="e">
        <f>#REF!/#REF!</f>
        <v>#REF!</v>
      </c>
      <c r="M12" s="19" t="e">
        <f>#REF!/#REF!</f>
        <v>#REF!</v>
      </c>
    </row>
    <row r="13" spans="1:17" x14ac:dyDescent="0.3">
      <c r="A13" t="s">
        <v>131</v>
      </c>
      <c r="B13" s="63" t="e">
        <f>#REF!/#REF!</f>
        <v>#REF!</v>
      </c>
      <c r="C13" s="19">
        <v>0</v>
      </c>
      <c r="D13" s="19"/>
      <c r="E13" s="19">
        <v>0</v>
      </c>
      <c r="F13" s="19" t="e">
        <f>#REF!/#REF!</f>
        <v>#REF!</v>
      </c>
      <c r="G13" s="19" t="e">
        <f>#REF!/#REF!</f>
        <v>#REF!</v>
      </c>
      <c r="H13" s="19" t="e">
        <f>#REF!/#REF!</f>
        <v>#REF!</v>
      </c>
      <c r="I13" s="19" t="e">
        <f>#REF!/#REF!</f>
        <v>#REF!</v>
      </c>
      <c r="J13" s="19" t="e">
        <f>#REF!/#REF!</f>
        <v>#REF!</v>
      </c>
      <c r="K13" s="19" t="e">
        <f>#REF!/#REF!</f>
        <v>#REF!</v>
      </c>
      <c r="L13" s="19" t="e">
        <f>#REF!/#REF!</f>
        <v>#REF!</v>
      </c>
      <c r="M13" s="19" t="e">
        <f>#REF!/#REF!</f>
        <v>#REF!</v>
      </c>
    </row>
    <row r="14" spans="1:17" x14ac:dyDescent="0.3">
      <c r="A14" t="s">
        <v>132</v>
      </c>
      <c r="B14" s="63" t="e">
        <f>#REF!/#REF!</f>
        <v>#REF!</v>
      </c>
      <c r="C14" s="19">
        <v>5.9062148408872738E-3</v>
      </c>
      <c r="D14" s="19"/>
      <c r="E14" s="19">
        <v>5.9062148408872738E-3</v>
      </c>
      <c r="F14" s="19" t="e">
        <f>#REF!/#REF!</f>
        <v>#REF!</v>
      </c>
      <c r="G14" s="19" t="e">
        <f>#REF!/#REF!</f>
        <v>#REF!</v>
      </c>
      <c r="H14" s="19" t="e">
        <f>#REF!/#REF!</f>
        <v>#REF!</v>
      </c>
      <c r="I14" s="19" t="e">
        <f>#REF!/#REF!</f>
        <v>#REF!</v>
      </c>
      <c r="J14" s="19" t="e">
        <f>#REF!/#REF!</f>
        <v>#REF!</v>
      </c>
      <c r="K14" s="19" t="e">
        <f>#REF!/#REF!</f>
        <v>#REF!</v>
      </c>
      <c r="L14" s="19" t="e">
        <f>#REF!/#REF!</f>
        <v>#REF!</v>
      </c>
      <c r="M14" s="19" t="e">
        <f>#REF!/#REF!</f>
        <v>#REF!</v>
      </c>
    </row>
    <row r="15" spans="1:17" x14ac:dyDescent="0.3">
      <c r="A15" t="s">
        <v>133</v>
      </c>
      <c r="B15" s="63" t="e">
        <f>#REF!/#REF!</f>
        <v>#REF!</v>
      </c>
      <c r="C15" s="19">
        <v>1.0290975526677057E-2</v>
      </c>
      <c r="D15" s="19"/>
      <c r="E15" s="19">
        <v>1.0290975526677057E-2</v>
      </c>
      <c r="F15" s="19" t="e">
        <f>#REF!/#REF!</f>
        <v>#REF!</v>
      </c>
      <c r="G15" s="19" t="e">
        <f>#REF!/#REF!</f>
        <v>#REF!</v>
      </c>
      <c r="H15" s="19" t="e">
        <f>#REF!/#REF!</f>
        <v>#REF!</v>
      </c>
      <c r="I15" s="19" t="e">
        <f>#REF!/#REF!</f>
        <v>#REF!</v>
      </c>
      <c r="J15" s="19" t="e">
        <f>#REF!/#REF!</f>
        <v>#REF!</v>
      </c>
      <c r="K15" s="19" t="e">
        <f>#REF!/#REF!</f>
        <v>#REF!</v>
      </c>
      <c r="L15" s="19" t="e">
        <f>#REF!/#REF!</f>
        <v>#REF!</v>
      </c>
      <c r="M15" s="19" t="e">
        <f>#REF!/#REF!</f>
        <v>#REF!</v>
      </c>
    </row>
    <row r="16" spans="1:17" x14ac:dyDescent="0.3">
      <c r="A16" s="2" t="s">
        <v>136</v>
      </c>
      <c r="B16" s="63" t="e">
        <f>#REF!/#REF!</f>
        <v>#REF!</v>
      </c>
      <c r="D16" s="19"/>
      <c r="E16" s="19" t="e">
        <f>#REF!/#REF!</f>
        <v>#REF!</v>
      </c>
      <c r="F16" s="19" t="e">
        <f>#REF!/#REF!</f>
        <v>#REF!</v>
      </c>
      <c r="G16" s="19" t="e">
        <f>#REF!/#REF!</f>
        <v>#REF!</v>
      </c>
      <c r="H16" s="19" t="e">
        <f>#REF!/#REF!</f>
        <v>#REF!</v>
      </c>
      <c r="I16" s="19" t="e">
        <f>#REF!/#REF!</f>
        <v>#REF!</v>
      </c>
      <c r="J16" s="19" t="e">
        <f>#REF!/#REF!</f>
        <v>#REF!</v>
      </c>
      <c r="K16" s="19" t="e">
        <f>#REF!/#REF!</f>
        <v>#REF!</v>
      </c>
      <c r="L16" s="19" t="e">
        <f>#REF!/#REF!</f>
        <v>#REF!</v>
      </c>
      <c r="M16" s="19" t="e">
        <f>#REF!/#REF!</f>
        <v>#REF!</v>
      </c>
    </row>
    <row r="18" spans="1:2" x14ac:dyDescent="0.3">
      <c r="A18" s="28" t="s">
        <v>135</v>
      </c>
      <c r="B18" s="54"/>
    </row>
    <row r="20" spans="1:2" x14ac:dyDescent="0.3">
      <c r="A20" t="s">
        <v>120</v>
      </c>
    </row>
    <row r="21" spans="1:2" x14ac:dyDescent="0.3">
      <c r="A21" t="s">
        <v>121</v>
      </c>
    </row>
    <row r="22" spans="1:2" x14ac:dyDescent="0.3">
      <c r="A22" t="s">
        <v>122</v>
      </c>
    </row>
    <row r="23" spans="1:2" x14ac:dyDescent="0.3">
      <c r="A23" t="s">
        <v>123</v>
      </c>
    </row>
    <row r="24" spans="1:2" x14ac:dyDescent="0.3">
      <c r="A24" t="s">
        <v>124</v>
      </c>
    </row>
    <row r="25" spans="1:2" x14ac:dyDescent="0.3">
      <c r="A25" t="s">
        <v>125</v>
      </c>
    </row>
    <row r="26" spans="1:2" x14ac:dyDescent="0.3">
      <c r="A26" t="s">
        <v>126</v>
      </c>
    </row>
    <row r="27" spans="1:2" x14ac:dyDescent="0.3">
      <c r="A27" t="s">
        <v>127</v>
      </c>
    </row>
    <row r="28" spans="1:2" x14ac:dyDescent="0.3">
      <c r="A28" t="s">
        <v>128</v>
      </c>
    </row>
    <row r="29" spans="1:2" x14ac:dyDescent="0.3">
      <c r="A29" t="s">
        <v>129</v>
      </c>
    </row>
    <row r="30" spans="1:2" x14ac:dyDescent="0.3">
      <c r="A30" t="s">
        <v>130</v>
      </c>
    </row>
    <row r="31" spans="1:2" x14ac:dyDescent="0.3">
      <c r="A31" t="s">
        <v>131</v>
      </c>
    </row>
    <row r="32" spans="1:2" x14ac:dyDescent="0.3">
      <c r="A32" t="s">
        <v>132</v>
      </c>
    </row>
    <row r="33" spans="1:2" x14ac:dyDescent="0.3">
      <c r="A33" t="s">
        <v>133</v>
      </c>
    </row>
    <row r="34" spans="1:2" x14ac:dyDescent="0.3">
      <c r="A34" s="2" t="s">
        <v>137</v>
      </c>
      <c r="B34" s="54"/>
    </row>
    <row r="36" spans="1:2" x14ac:dyDescent="0.3">
      <c r="A36" t="s">
        <v>138</v>
      </c>
    </row>
    <row r="37" spans="1:2" x14ac:dyDescent="0.3">
      <c r="A37" t="s">
        <v>139</v>
      </c>
    </row>
    <row r="39" spans="1:2" x14ac:dyDescent="0.3">
      <c r="A39" s="23" t="s">
        <v>46</v>
      </c>
      <c r="B39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74C-3A12-4413-81AC-DCB77A27D115}">
  <dimension ref="A1:I85"/>
  <sheetViews>
    <sheetView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E33" sqref="E33:I33"/>
    </sheetView>
  </sheetViews>
  <sheetFormatPr defaultRowHeight="14.4" x14ac:dyDescent="0.3"/>
  <cols>
    <col min="1" max="1" width="39.109375" bestFit="1" customWidth="1"/>
    <col min="2" max="3" width="10.6640625" bestFit="1" customWidth="1"/>
    <col min="4" max="4" width="10.44140625" customWidth="1"/>
    <col min="5" max="6" width="10.6640625" bestFit="1" customWidth="1"/>
    <col min="7" max="8" width="11.6640625" customWidth="1"/>
    <col min="9" max="9" width="9.88671875" customWidth="1"/>
  </cols>
  <sheetData>
    <row r="1" spans="1:9" x14ac:dyDescent="0.3">
      <c r="B1" t="s">
        <v>93</v>
      </c>
      <c r="C1" t="s">
        <v>116</v>
      </c>
      <c r="D1" t="s">
        <v>117</v>
      </c>
      <c r="E1" t="s">
        <v>254</v>
      </c>
      <c r="F1" t="s">
        <v>255</v>
      </c>
      <c r="G1" t="s">
        <v>271</v>
      </c>
      <c r="H1" t="s">
        <v>282</v>
      </c>
      <c r="I1" t="s">
        <v>290</v>
      </c>
    </row>
    <row r="2" spans="1:9" hidden="1" x14ac:dyDescent="0.3">
      <c r="A2" t="s">
        <v>94</v>
      </c>
      <c r="B2" t="e">
        <f>#REF!</f>
        <v>#REF!</v>
      </c>
    </row>
    <row r="3" spans="1:9" hidden="1" x14ac:dyDescent="0.3">
      <c r="C3" s="19"/>
    </row>
    <row r="4" spans="1:9" hidden="1" x14ac:dyDescent="0.3">
      <c r="A4" t="s">
        <v>115</v>
      </c>
      <c r="B4" s="20" t="e">
        <f>B6*(10^7)/B2</f>
        <v>#REF!</v>
      </c>
      <c r="C4" s="20"/>
    </row>
    <row r="5" spans="1:9" hidden="1" x14ac:dyDescent="0.3">
      <c r="B5" s="19" t="e">
        <f>B4/#REF!-1</f>
        <v>#REF!</v>
      </c>
      <c r="C5" s="19"/>
    </row>
    <row r="6" spans="1:9" x14ac:dyDescent="0.3">
      <c r="A6" s="10" t="s">
        <v>43</v>
      </c>
      <c r="B6" s="21">
        <f>'AR PL'!B2</f>
        <v>8400.0400000000009</v>
      </c>
      <c r="C6" s="21">
        <f>'AR PL'!C2</f>
        <v>12433.66</v>
      </c>
      <c r="D6" s="21">
        <f>'AR PL'!D2</f>
        <v>14870.25</v>
      </c>
      <c r="E6" s="21">
        <f>D6*(1+E7)</f>
        <v>18439.11</v>
      </c>
      <c r="F6" s="21">
        <f t="shared" ref="F6:I6" si="0">E6*(1+F7)</f>
        <v>22864.4964</v>
      </c>
      <c r="G6" s="21">
        <f t="shared" si="0"/>
        <v>28351.975535999998</v>
      </c>
      <c r="H6" s="21">
        <f t="shared" si="0"/>
        <v>35156.44966464</v>
      </c>
      <c r="I6" s="21">
        <f t="shared" si="0"/>
        <v>43593.9975841536</v>
      </c>
    </row>
    <row r="7" spans="1:9" x14ac:dyDescent="0.3">
      <c r="A7" s="11" t="s">
        <v>44</v>
      </c>
      <c r="B7" s="19">
        <v>0.03</v>
      </c>
      <c r="C7" s="19">
        <f>C6/B6-1</f>
        <v>0.48019057052109249</v>
      </c>
      <c r="D7" s="19">
        <f>D6/C6-1</f>
        <v>0.19596723732191479</v>
      </c>
      <c r="E7" s="43">
        <v>0.24</v>
      </c>
      <c r="F7" s="43">
        <v>0.24</v>
      </c>
      <c r="G7" s="43">
        <v>0.24</v>
      </c>
      <c r="H7" s="43">
        <v>0.24</v>
      </c>
      <c r="I7" s="43">
        <v>0.24</v>
      </c>
    </row>
    <row r="8" spans="1:9" x14ac:dyDescent="0.3">
      <c r="A8" s="12" t="s">
        <v>45</v>
      </c>
    </row>
    <row r="9" spans="1:9" x14ac:dyDescent="0.3">
      <c r="A9" s="11" t="s">
        <v>44</v>
      </c>
    </row>
    <row r="10" spans="1:9" s="24" customFormat="1" x14ac:dyDescent="0.3">
      <c r="A10" s="84" t="s">
        <v>46</v>
      </c>
      <c r="B10" s="24">
        <f>B6+B8</f>
        <v>8400.0400000000009</v>
      </c>
      <c r="C10" s="24">
        <f>C6+C8</f>
        <v>12433.66</v>
      </c>
      <c r="D10" s="24">
        <f t="shared" ref="D10:I10" si="1">D6+D8</f>
        <v>14870.25</v>
      </c>
      <c r="E10" s="24">
        <f t="shared" si="1"/>
        <v>18439.11</v>
      </c>
      <c r="F10" s="24">
        <f t="shared" si="1"/>
        <v>22864.4964</v>
      </c>
      <c r="G10" s="24">
        <f t="shared" si="1"/>
        <v>28351.975535999998</v>
      </c>
      <c r="H10" s="24">
        <f t="shared" si="1"/>
        <v>35156.44966464</v>
      </c>
      <c r="I10" s="24">
        <f t="shared" si="1"/>
        <v>43593.9975841536</v>
      </c>
    </row>
    <row r="11" spans="1:9" x14ac:dyDescent="0.3">
      <c r="A11" s="11" t="s">
        <v>44</v>
      </c>
      <c r="B11" s="19"/>
      <c r="C11" s="19">
        <f>C10/B10-1</f>
        <v>0.48019057052109249</v>
      </c>
      <c r="D11" s="19">
        <f t="shared" ref="D11" si="2">D10/C10-1</f>
        <v>0.19596723732191479</v>
      </c>
      <c r="E11" s="19">
        <f t="shared" ref="E11" si="3">E10/D10-1</f>
        <v>0.24</v>
      </c>
      <c r="F11" s="19">
        <f t="shared" ref="F11" si="4">F10/E10-1</f>
        <v>0.24</v>
      </c>
      <c r="G11" s="19">
        <f t="shared" ref="G11" si="5">G10/F10-1</f>
        <v>0.24</v>
      </c>
      <c r="H11" s="19">
        <f t="shared" ref="H11" si="6">H10/G10-1</f>
        <v>0.24</v>
      </c>
      <c r="I11" s="19">
        <f t="shared" ref="I11" si="7">I10/H10-1</f>
        <v>0.24</v>
      </c>
    </row>
    <row r="12" spans="1:9" x14ac:dyDescent="0.3">
      <c r="A12" s="10" t="s">
        <v>47</v>
      </c>
    </row>
    <row r="13" spans="1:9" x14ac:dyDescent="0.3">
      <c r="A13" s="12" t="s">
        <v>48</v>
      </c>
      <c r="B13" s="25">
        <f>'AR PL'!B6</f>
        <v>4027.68</v>
      </c>
      <c r="C13" s="25">
        <f>'AR PL'!C6</f>
        <v>6171.1</v>
      </c>
      <c r="D13" s="25">
        <f>'AR PL'!D6</f>
        <v>7125.21</v>
      </c>
    </row>
    <row r="14" spans="1:9" x14ac:dyDescent="0.3">
      <c r="A14" s="13" t="s">
        <v>49</v>
      </c>
      <c r="B14" s="25">
        <f>'AR PL'!B7</f>
        <v>62.92</v>
      </c>
      <c r="C14" s="25">
        <f>'AR PL'!C7</f>
        <v>175.59</v>
      </c>
      <c r="D14" s="25">
        <f>'AR PL'!D7</f>
        <v>277.22000000000003</v>
      </c>
    </row>
    <row r="15" spans="1:9" x14ac:dyDescent="0.3">
      <c r="A15" s="13" t="s">
        <v>50</v>
      </c>
      <c r="B15" s="25">
        <f>'AR PL'!B8</f>
        <v>-71.66</v>
      </c>
      <c r="C15" s="25">
        <f>'AR PL'!C8</f>
        <v>-279.75</v>
      </c>
      <c r="D15" s="25">
        <f>'AR PL'!D8</f>
        <v>-8.92</v>
      </c>
    </row>
    <row r="16" spans="1:9" s="2" customFormat="1" x14ac:dyDescent="0.3">
      <c r="A16" s="10" t="s">
        <v>256</v>
      </c>
      <c r="B16" s="27">
        <f>SUM(B13:B15)</f>
        <v>4018.94</v>
      </c>
      <c r="C16" s="27">
        <f>SUM(C13:C15)</f>
        <v>6066.9400000000005</v>
      </c>
      <c r="D16" s="27">
        <f>SUM(D13:D15)</f>
        <v>7393.51</v>
      </c>
      <c r="E16" s="27">
        <f>E6*E17</f>
        <v>9035.1638999999996</v>
      </c>
      <c r="F16" s="27">
        <f t="shared" ref="F16:I16" si="8">F6*F17</f>
        <v>11203.603235999999</v>
      </c>
      <c r="G16" s="27">
        <f t="shared" si="8"/>
        <v>13892.468012639998</v>
      </c>
      <c r="H16" s="27">
        <f t="shared" si="8"/>
        <v>17226.660335673601</v>
      </c>
      <c r="I16" s="27">
        <f t="shared" si="8"/>
        <v>21361.058816235265</v>
      </c>
    </row>
    <row r="17" spans="1:9" x14ac:dyDescent="0.3">
      <c r="A17" s="11" t="s">
        <v>52</v>
      </c>
      <c r="B17" s="58">
        <f t="shared" ref="B17" si="9">B16/B10</f>
        <v>0.4784429597954295</v>
      </c>
      <c r="C17" s="58">
        <f t="shared" ref="C17:D17" si="10">C16/C10</f>
        <v>0.48794482075269879</v>
      </c>
      <c r="D17" s="58">
        <f t="shared" si="10"/>
        <v>0.49720145928952103</v>
      </c>
      <c r="E17" s="77">
        <v>0.49</v>
      </c>
      <c r="F17" s="77">
        <v>0.49</v>
      </c>
      <c r="G17" s="77">
        <v>0.49</v>
      </c>
      <c r="H17" s="77">
        <v>0.49</v>
      </c>
      <c r="I17" s="77">
        <v>0.49</v>
      </c>
    </row>
    <row r="18" spans="1:9" x14ac:dyDescent="0.3">
      <c r="A18" s="11"/>
      <c r="D18" s="58"/>
    </row>
    <row r="19" spans="1:9" s="2" customFormat="1" x14ac:dyDescent="0.3">
      <c r="A19" s="14" t="s">
        <v>53</v>
      </c>
      <c r="B19" s="27">
        <f>B10-B16</f>
        <v>4381.1000000000004</v>
      </c>
      <c r="C19" s="27">
        <f>C10-C16</f>
        <v>6366.7199999999993</v>
      </c>
      <c r="D19" s="27">
        <f t="shared" ref="D19:I19" si="11">D10-D16</f>
        <v>7476.74</v>
      </c>
      <c r="E19" s="27">
        <f t="shared" si="11"/>
        <v>9403.946100000001</v>
      </c>
      <c r="F19" s="27">
        <f t="shared" si="11"/>
        <v>11660.893164000001</v>
      </c>
      <c r="G19" s="27">
        <f t="shared" si="11"/>
        <v>14459.50752336</v>
      </c>
      <c r="H19" s="27">
        <f t="shared" si="11"/>
        <v>17929.789328966399</v>
      </c>
      <c r="I19" s="27">
        <f t="shared" si="11"/>
        <v>22232.938767918335</v>
      </c>
    </row>
    <row r="20" spans="1:9" x14ac:dyDescent="0.3">
      <c r="A20" s="11" t="s">
        <v>54</v>
      </c>
      <c r="B20" s="86">
        <f t="shared" ref="B20:I20" si="12">B19/B6</f>
        <v>0.5215570402045705</v>
      </c>
      <c r="C20" s="86">
        <f t="shared" ref="C20" si="13">C19/C6</f>
        <v>0.51205517924730126</v>
      </c>
      <c r="D20" s="86">
        <f t="shared" si="12"/>
        <v>0.50279854071047891</v>
      </c>
      <c r="E20" s="86">
        <f t="shared" si="12"/>
        <v>0.51</v>
      </c>
      <c r="F20" s="86">
        <f t="shared" si="12"/>
        <v>0.51</v>
      </c>
      <c r="G20" s="86">
        <f t="shared" si="12"/>
        <v>0.51</v>
      </c>
      <c r="H20" s="86">
        <f t="shared" si="12"/>
        <v>0.51</v>
      </c>
      <c r="I20" s="86">
        <f t="shared" si="12"/>
        <v>0.51</v>
      </c>
    </row>
    <row r="21" spans="1:9" x14ac:dyDescent="0.3">
      <c r="A21" s="11"/>
      <c r="D21" s="58"/>
    </row>
    <row r="22" spans="1:9" x14ac:dyDescent="0.3">
      <c r="A22" s="12" t="s">
        <v>55</v>
      </c>
      <c r="B22" s="21">
        <f>'AR PL'!B9</f>
        <v>621.4</v>
      </c>
      <c r="C22" s="21">
        <f>'AR PL'!C9</f>
        <v>780</v>
      </c>
      <c r="D22" s="21">
        <f>'AR PL'!D9</f>
        <v>813.8</v>
      </c>
      <c r="E22" s="21">
        <f>D22*(1+E23)</f>
        <v>1017.25</v>
      </c>
      <c r="F22" s="21">
        <f t="shared" ref="F22:I22" si="14">E22*(1+F23)</f>
        <v>1271.5625</v>
      </c>
      <c r="G22" s="21">
        <f t="shared" si="14"/>
        <v>1589.453125</v>
      </c>
      <c r="H22" s="21">
        <f t="shared" si="14"/>
        <v>1986.81640625</v>
      </c>
      <c r="I22" s="21">
        <f t="shared" si="14"/>
        <v>2483.5205078125</v>
      </c>
    </row>
    <row r="23" spans="1:9" x14ac:dyDescent="0.3">
      <c r="A23" s="11" t="s">
        <v>44</v>
      </c>
      <c r="B23" s="19"/>
      <c r="C23" s="58">
        <f>C22/B22-1</f>
        <v>0.2552301255230125</v>
      </c>
      <c r="D23" s="58">
        <f>D22/C22-1</f>
        <v>4.3333333333333224E-2</v>
      </c>
      <c r="E23" s="43">
        <v>0.25</v>
      </c>
      <c r="F23" s="43">
        <v>0.25</v>
      </c>
      <c r="G23" s="43">
        <v>0.25</v>
      </c>
      <c r="H23" s="43">
        <v>0.25</v>
      </c>
      <c r="I23" s="43">
        <v>0.25</v>
      </c>
    </row>
    <row r="24" spans="1:9" x14ac:dyDescent="0.3">
      <c r="A24" s="12" t="s">
        <v>56</v>
      </c>
      <c r="B24" s="21">
        <f>'AR PL'!B12</f>
        <v>1626.37</v>
      </c>
      <c r="C24" s="21">
        <f>'AR PL'!C12</f>
        <v>2483.52</v>
      </c>
      <c r="D24" s="21">
        <f>'AR PL'!D12</f>
        <v>3133.74</v>
      </c>
      <c r="E24" s="21">
        <f>D24*(1+E25)</f>
        <v>3791.8253999999997</v>
      </c>
      <c r="F24" s="21">
        <f t="shared" ref="F24:I24" si="15">E24*(1+F25)</f>
        <v>4588.1087339999995</v>
      </c>
      <c r="G24" s="21">
        <f t="shared" si="15"/>
        <v>5551.6115681399988</v>
      </c>
      <c r="H24" s="21">
        <f t="shared" si="15"/>
        <v>6717.4499974493983</v>
      </c>
      <c r="I24" s="21">
        <f t="shared" si="15"/>
        <v>8128.1144969137713</v>
      </c>
    </row>
    <row r="25" spans="1:9" x14ac:dyDescent="0.3">
      <c r="A25" s="11" t="s">
        <v>52</v>
      </c>
      <c r="B25" s="58">
        <f t="shared" ref="B25" si="16">B24/B10</f>
        <v>0.19361455421640847</v>
      </c>
      <c r="C25" s="58">
        <f t="shared" ref="C25:D25" si="17">C24/C10</f>
        <v>0.19974166898564058</v>
      </c>
      <c r="D25" s="58">
        <f t="shared" si="17"/>
        <v>0.21073889141070257</v>
      </c>
      <c r="E25" s="77">
        <v>0.21</v>
      </c>
      <c r="F25" s="77">
        <v>0.21</v>
      </c>
      <c r="G25" s="77">
        <v>0.21</v>
      </c>
      <c r="H25" s="77">
        <v>0.21</v>
      </c>
      <c r="I25" s="77">
        <v>0.21</v>
      </c>
    </row>
    <row r="26" spans="1:9" s="2" customFormat="1" x14ac:dyDescent="0.3">
      <c r="A26" s="10" t="s">
        <v>57</v>
      </c>
      <c r="B26" s="24">
        <f>B16+B22+B24</f>
        <v>6266.71</v>
      </c>
      <c r="C26" s="24">
        <f>C16+C22+C24</f>
        <v>9330.4600000000009</v>
      </c>
      <c r="D26" s="24">
        <f t="shared" ref="D26" si="18">D16+D22+D24</f>
        <v>11341.05</v>
      </c>
      <c r="E26" s="24">
        <f>E16+E22+E24</f>
        <v>13844.239299999999</v>
      </c>
      <c r="F26" s="24">
        <f t="shared" ref="F26:I26" si="19">F16+F22+F24</f>
        <v>17063.274469999997</v>
      </c>
      <c r="G26" s="24">
        <f t="shared" si="19"/>
        <v>21033.532705779995</v>
      </c>
      <c r="H26" s="24">
        <f t="shared" si="19"/>
        <v>25930.926739373001</v>
      </c>
      <c r="I26" s="24">
        <f t="shared" si="19"/>
        <v>31972.693820961536</v>
      </c>
    </row>
    <row r="27" spans="1:9" x14ac:dyDescent="0.3">
      <c r="A27" s="11" t="s">
        <v>44</v>
      </c>
    </row>
    <row r="28" spans="1:9" s="2" customFormat="1" x14ac:dyDescent="0.3">
      <c r="A28" s="15" t="s">
        <v>58</v>
      </c>
      <c r="B28" s="24">
        <f>B10-B26</f>
        <v>2133.3300000000008</v>
      </c>
      <c r="C28" s="24">
        <f t="shared" ref="C28:I28" si="20">C10-C26</f>
        <v>3103.1999999999989</v>
      </c>
      <c r="D28" s="24">
        <f t="shared" si="20"/>
        <v>3529.2000000000007</v>
      </c>
      <c r="E28" s="24">
        <f t="shared" si="20"/>
        <v>4594.8707000000013</v>
      </c>
      <c r="F28" s="24">
        <f t="shared" si="20"/>
        <v>5801.2219300000033</v>
      </c>
      <c r="G28" s="24">
        <f t="shared" si="20"/>
        <v>7318.4428302200031</v>
      </c>
      <c r="H28" s="24">
        <f t="shared" si="20"/>
        <v>9225.5229252669997</v>
      </c>
      <c r="I28" s="24">
        <f t="shared" si="20"/>
        <v>11621.303763192063</v>
      </c>
    </row>
    <row r="29" spans="1:9" x14ac:dyDescent="0.3">
      <c r="A29" s="11" t="s">
        <v>44</v>
      </c>
      <c r="B29" s="19"/>
      <c r="C29" s="19"/>
      <c r="D29" s="19"/>
      <c r="E29" s="19"/>
      <c r="F29" s="19"/>
      <c r="G29" s="19"/>
      <c r="H29" s="19"/>
      <c r="I29" s="19"/>
    </row>
    <row r="30" spans="1:9" x14ac:dyDescent="0.3">
      <c r="A30" s="10" t="s">
        <v>90</v>
      </c>
      <c r="B30" s="58">
        <f>B28/B10</f>
        <v>0.25396664777786782</v>
      </c>
      <c r="C30" s="58">
        <f>C28/C10</f>
        <v>0.24958057402245187</v>
      </c>
      <c r="D30" s="58">
        <f t="shared" ref="D30:I30" si="21">D28/D10</f>
        <v>0.23733292984314325</v>
      </c>
      <c r="E30" s="58">
        <f t="shared" si="21"/>
        <v>0.2491915661873052</v>
      </c>
      <c r="F30" s="58">
        <f t="shared" si="21"/>
        <v>0.25372183268379372</v>
      </c>
      <c r="G30" s="58">
        <f t="shared" si="21"/>
        <v>0.25812814422499025</v>
      </c>
      <c r="H30" s="58">
        <f t="shared" si="21"/>
        <v>0.26241338398131642</v>
      </c>
      <c r="I30" s="58">
        <f t="shared" si="21"/>
        <v>0.26658036443568556</v>
      </c>
    </row>
    <row r="31" spans="1:9" x14ac:dyDescent="0.3">
      <c r="A31" s="12" t="s">
        <v>61</v>
      </c>
      <c r="B31" s="25">
        <f>'AR PL'!B11</f>
        <v>453.08</v>
      </c>
      <c r="C31" s="25">
        <f>'AR PL'!C11</f>
        <v>517.23</v>
      </c>
      <c r="D31" s="25">
        <f>'AR PL'!D11</f>
        <v>575.32000000000005</v>
      </c>
      <c r="E31" s="66">
        <f>'Fixed Asset'!E11</f>
        <v>639.48689999999988</v>
      </c>
      <c r="F31" s="66">
        <f>'Fixed Asset'!F11</f>
        <v>715.98689999999988</v>
      </c>
      <c r="G31" s="66">
        <f>'Fixed Asset'!G11</f>
        <v>792.48689999999999</v>
      </c>
      <c r="H31" s="66">
        <f>'Fixed Asset'!H11</f>
        <v>868.98689999999999</v>
      </c>
      <c r="I31" s="66">
        <f>'Fixed Asset'!I11</f>
        <v>945.48689999999999</v>
      </c>
    </row>
    <row r="32" spans="1:9" s="2" customFormat="1" x14ac:dyDescent="0.3">
      <c r="A32" s="10" t="s">
        <v>77</v>
      </c>
      <c r="B32" s="24">
        <f t="shared" ref="B32:I32" si="22">B28-B31</f>
        <v>1680.2500000000009</v>
      </c>
      <c r="C32" s="24">
        <f t="shared" ref="C32" si="23">C28-C31</f>
        <v>2585.9699999999989</v>
      </c>
      <c r="D32" s="24">
        <f t="shared" si="22"/>
        <v>2953.8800000000006</v>
      </c>
      <c r="E32" s="24">
        <f t="shared" si="22"/>
        <v>3955.3838000000014</v>
      </c>
      <c r="F32" s="24">
        <f t="shared" si="22"/>
        <v>5085.2350300000035</v>
      </c>
      <c r="G32" s="24">
        <f t="shared" si="22"/>
        <v>6525.9559302200032</v>
      </c>
      <c r="H32" s="24">
        <f t="shared" si="22"/>
        <v>8356.5360252669998</v>
      </c>
      <c r="I32" s="24">
        <f t="shared" si="22"/>
        <v>10675.816863192063</v>
      </c>
    </row>
    <row r="33" spans="1:9" x14ac:dyDescent="0.3">
      <c r="A33" s="12" t="s">
        <v>59</v>
      </c>
      <c r="B33" s="25">
        <f>'AR PL'!B10</f>
        <v>133.94999999999999</v>
      </c>
      <c r="C33" s="25">
        <f>'AR PL'!C10</f>
        <v>115.93</v>
      </c>
      <c r="D33" s="25">
        <f>'AR PL'!D10</f>
        <v>204.82</v>
      </c>
      <c r="E33" s="66">
        <f>'Debt Schedule'!E16</f>
        <v>257.70299999999997</v>
      </c>
      <c r="F33" s="66">
        <f>'Debt Schedule'!F16</f>
        <v>297.70300000000003</v>
      </c>
      <c r="G33" s="66">
        <f>'Debt Schedule'!G16</f>
        <v>337.70300000000003</v>
      </c>
      <c r="H33" s="66">
        <f>'Debt Schedule'!H16</f>
        <v>377.70300000000003</v>
      </c>
      <c r="I33" s="66">
        <f>'Debt Schedule'!I16</f>
        <v>417.70300000000009</v>
      </c>
    </row>
    <row r="34" spans="1:9" x14ac:dyDescent="0.3">
      <c r="A34" s="11" t="s">
        <v>44</v>
      </c>
      <c r="E34" s="66"/>
      <c r="F34" s="66"/>
      <c r="G34" s="66"/>
      <c r="H34" s="66"/>
      <c r="I34" s="66"/>
    </row>
    <row r="35" spans="1:9" s="2" customFormat="1" x14ac:dyDescent="0.3">
      <c r="A35" s="15" t="s">
        <v>272</v>
      </c>
      <c r="B35" s="3">
        <f t="shared" ref="B35:I35" si="24">B32-B33</f>
        <v>1546.3000000000009</v>
      </c>
      <c r="C35" s="3">
        <f t="shared" ref="C35" si="25">C32-C33</f>
        <v>2470.0399999999991</v>
      </c>
      <c r="D35" s="3">
        <f t="shared" si="24"/>
        <v>2749.0600000000004</v>
      </c>
      <c r="E35" s="3">
        <f t="shared" si="24"/>
        <v>3697.6808000000015</v>
      </c>
      <c r="F35" s="3">
        <f t="shared" si="24"/>
        <v>4787.532030000003</v>
      </c>
      <c r="G35" s="3">
        <f t="shared" si="24"/>
        <v>6188.2529302200028</v>
      </c>
      <c r="H35" s="3">
        <f t="shared" si="24"/>
        <v>7978.8330252669994</v>
      </c>
      <c r="I35" s="3">
        <f t="shared" si="24"/>
        <v>10258.113863192064</v>
      </c>
    </row>
    <row r="36" spans="1:9" x14ac:dyDescent="0.3">
      <c r="A36" s="11" t="s">
        <v>44</v>
      </c>
    </row>
    <row r="37" spans="1:9" x14ac:dyDescent="0.3">
      <c r="A37" s="12" t="s">
        <v>63</v>
      </c>
      <c r="B37" s="1">
        <f>'AR PL'!B3</f>
        <v>66.349999999999994</v>
      </c>
      <c r="C37" s="1">
        <f>'AR PL'!C3</f>
        <v>115.51</v>
      </c>
      <c r="D37" s="1">
        <f>'AR PL'!D3</f>
        <v>74.930000000000007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</row>
    <row r="38" spans="1:9" x14ac:dyDescent="0.3">
      <c r="A38" s="11" t="s">
        <v>44</v>
      </c>
    </row>
    <row r="39" spans="1:9" s="2" customFormat="1" x14ac:dyDescent="0.3">
      <c r="A39" s="15" t="s">
        <v>64</v>
      </c>
      <c r="B39" s="24">
        <f t="shared" ref="B39:I39" si="26">B35+B37</f>
        <v>1612.6500000000008</v>
      </c>
      <c r="C39" s="24">
        <f t="shared" ref="C39" si="27">C35+C37</f>
        <v>2585.5499999999993</v>
      </c>
      <c r="D39" s="24">
        <f t="shared" si="26"/>
        <v>2823.9900000000002</v>
      </c>
      <c r="E39" s="24">
        <f t="shared" si="26"/>
        <v>3697.6808000000015</v>
      </c>
      <c r="F39" s="24">
        <f t="shared" si="26"/>
        <v>4787.532030000003</v>
      </c>
      <c r="G39" s="24">
        <f t="shared" si="26"/>
        <v>6188.2529302200028</v>
      </c>
      <c r="H39" s="24">
        <f t="shared" si="26"/>
        <v>7978.8330252669994</v>
      </c>
      <c r="I39" s="24">
        <f t="shared" si="26"/>
        <v>10258.113863192064</v>
      </c>
    </row>
    <row r="40" spans="1:9" x14ac:dyDescent="0.3">
      <c r="A40" s="15" t="s">
        <v>91</v>
      </c>
      <c r="B40" s="25"/>
      <c r="C40" s="25"/>
      <c r="D40" s="25"/>
    </row>
    <row r="41" spans="1:9" x14ac:dyDescent="0.3">
      <c r="A41" s="17" t="s">
        <v>65</v>
      </c>
      <c r="B41" s="25"/>
      <c r="C41" s="25"/>
      <c r="D41" s="25"/>
      <c r="E41" s="25"/>
      <c r="F41" s="25"/>
      <c r="G41" s="25"/>
      <c r="H41" s="25"/>
      <c r="I41" s="25"/>
    </row>
    <row r="42" spans="1:9" s="2" customFormat="1" x14ac:dyDescent="0.3">
      <c r="A42" s="15" t="s">
        <v>62</v>
      </c>
      <c r="B42" s="24">
        <f>B39+B40+B41</f>
        <v>1612.6500000000008</v>
      </c>
      <c r="C42" s="24">
        <f t="shared" ref="C42:I42" si="28">C39+C40+C41</f>
        <v>2585.5499999999993</v>
      </c>
      <c r="D42" s="24">
        <f t="shared" si="28"/>
        <v>2823.9900000000002</v>
      </c>
      <c r="E42" s="24">
        <f t="shared" si="28"/>
        <v>3697.6808000000015</v>
      </c>
      <c r="F42" s="24">
        <f t="shared" si="28"/>
        <v>4787.532030000003</v>
      </c>
      <c r="G42" s="24">
        <f t="shared" si="28"/>
        <v>6188.2529302200028</v>
      </c>
      <c r="H42" s="24">
        <f t="shared" si="28"/>
        <v>7978.8330252669994</v>
      </c>
      <c r="I42" s="24">
        <f t="shared" si="28"/>
        <v>10258.113863192064</v>
      </c>
    </row>
    <row r="43" spans="1:9" x14ac:dyDescent="0.3">
      <c r="A43" s="11" t="s">
        <v>44</v>
      </c>
    </row>
    <row r="44" spans="1:9" x14ac:dyDescent="0.3">
      <c r="A44" s="12" t="s">
        <v>66</v>
      </c>
      <c r="B44" s="25">
        <f>'AR PL'!B20</f>
        <v>414.40000000000003</v>
      </c>
      <c r="C44" s="25">
        <f>'AR PL'!C20</f>
        <v>696.63</v>
      </c>
      <c r="D44" s="25">
        <f>'AR PL'!D20</f>
        <v>661.65</v>
      </c>
      <c r="E44" s="25">
        <f>E42*E45</f>
        <v>924.42020000000036</v>
      </c>
      <c r="F44" s="25">
        <f t="shared" ref="F44:I44" si="29">F42*F45</f>
        <v>1196.8830075000008</v>
      </c>
      <c r="G44" s="25">
        <f t="shared" si="29"/>
        <v>1547.0632325550007</v>
      </c>
      <c r="H44" s="25">
        <f t="shared" si="29"/>
        <v>1994.7082563167498</v>
      </c>
      <c r="I44" s="25">
        <f t="shared" si="29"/>
        <v>2564.528465798016</v>
      </c>
    </row>
    <row r="45" spans="1:9" x14ac:dyDescent="0.3">
      <c r="A45" s="11" t="s">
        <v>67</v>
      </c>
      <c r="B45" s="19">
        <f>B44/B42</f>
        <v>0.25696834403001262</v>
      </c>
      <c r="C45" s="19">
        <f t="shared" ref="C45:D45" si="30">C44/C42</f>
        <v>0.2694320357370773</v>
      </c>
      <c r="D45" s="19">
        <f t="shared" si="30"/>
        <v>0.23429615543964388</v>
      </c>
      <c r="E45" s="43">
        <v>0.25</v>
      </c>
      <c r="F45" s="43">
        <v>0.25</v>
      </c>
      <c r="G45" s="43">
        <v>0.25</v>
      </c>
      <c r="H45" s="43">
        <v>0.25</v>
      </c>
      <c r="I45" s="43">
        <v>0.25</v>
      </c>
    </row>
    <row r="46" spans="1:9" s="2" customFormat="1" x14ac:dyDescent="0.3">
      <c r="A46" s="15" t="s">
        <v>68</v>
      </c>
      <c r="B46" s="24">
        <f>B42-B44</f>
        <v>1198.2500000000007</v>
      </c>
      <c r="C46" s="24">
        <f t="shared" ref="C46:I46" si="31">C42-C44</f>
        <v>1888.9199999999992</v>
      </c>
      <c r="D46" s="24">
        <f t="shared" si="31"/>
        <v>2162.34</v>
      </c>
      <c r="E46" s="24">
        <f t="shared" si="31"/>
        <v>2773.260600000001</v>
      </c>
      <c r="F46" s="24">
        <f t="shared" si="31"/>
        <v>3590.6490225000025</v>
      </c>
      <c r="G46" s="24">
        <f t="shared" si="31"/>
        <v>4641.1896976650023</v>
      </c>
      <c r="H46" s="24">
        <f t="shared" si="31"/>
        <v>5984.1247689502497</v>
      </c>
      <c r="I46" s="24">
        <f t="shared" si="31"/>
        <v>7693.5853973940484</v>
      </c>
    </row>
    <row r="47" spans="1:9" x14ac:dyDescent="0.3">
      <c r="A47" s="11" t="s">
        <v>44</v>
      </c>
      <c r="B47" s="85"/>
      <c r="C47" s="85">
        <f>C46/B46-1</f>
        <v>0.57639891508449659</v>
      </c>
      <c r="D47" s="85">
        <f t="shared" ref="D47" si="32">D46/C46-1</f>
        <v>0.14474938059843789</v>
      </c>
      <c r="E47" s="85">
        <f t="shared" ref="E47" si="33">E46/D46-1</f>
        <v>0.28252753960986743</v>
      </c>
      <c r="F47" s="85">
        <f t="shared" ref="F47" si="34">F46/E46-1</f>
        <v>0.29473913216089431</v>
      </c>
      <c r="G47" s="85">
        <f t="shared" ref="G47" si="35">G46/F46-1</f>
        <v>0.29257682067559942</v>
      </c>
      <c r="H47" s="85">
        <f t="shared" ref="H47" si="36">H46/G46-1</f>
        <v>0.2893514720936492</v>
      </c>
      <c r="I47" s="85">
        <f t="shared" ref="I47" si="37">I46/H46-1</f>
        <v>0.28566594020794067</v>
      </c>
    </row>
    <row r="48" spans="1:9" x14ac:dyDescent="0.3">
      <c r="A48" s="15" t="s">
        <v>69</v>
      </c>
      <c r="B48" s="19">
        <f t="shared" ref="B48" si="38">B46/B10</f>
        <v>0.14264813024699888</v>
      </c>
      <c r="C48" s="19">
        <f t="shared" ref="C48:I48" si="39">C46/C10</f>
        <v>0.15191986912944372</v>
      </c>
      <c r="D48" s="19">
        <f t="shared" si="39"/>
        <v>0.14541382962626723</v>
      </c>
      <c r="E48" s="19">
        <f t="shared" si="39"/>
        <v>0.15040100091598785</v>
      </c>
      <c r="F48" s="19">
        <f t="shared" si="39"/>
        <v>0.15704037209846453</v>
      </c>
      <c r="G48" s="19">
        <f t="shared" si="39"/>
        <v>0.16369898781027936</v>
      </c>
      <c r="H48" s="19">
        <f t="shared" si="39"/>
        <v>0.17021413783340647</v>
      </c>
      <c r="I48" s="19">
        <f t="shared" si="39"/>
        <v>0.17648267705989559</v>
      </c>
    </row>
    <row r="49" spans="1:9" x14ac:dyDescent="0.3">
      <c r="A49" s="15"/>
    </row>
    <row r="50" spans="1:9" x14ac:dyDescent="0.3">
      <c r="A50" s="11"/>
    </row>
    <row r="51" spans="1:9" x14ac:dyDescent="0.3">
      <c r="A51" s="17" t="s">
        <v>70</v>
      </c>
      <c r="B51" s="20">
        <f>'AR PL'!B27</f>
        <v>60.26</v>
      </c>
      <c r="C51" s="20">
        <f>'AR PL'!C27</f>
        <v>297.44</v>
      </c>
      <c r="D51" s="20">
        <f>'AR PL'!D27</f>
        <v>297.44</v>
      </c>
      <c r="E51" s="20">
        <v>297.44</v>
      </c>
      <c r="F51" s="20">
        <v>297.44</v>
      </c>
      <c r="G51" s="20">
        <v>297.44</v>
      </c>
      <c r="H51" s="20">
        <v>297.44</v>
      </c>
      <c r="I51" s="20">
        <v>297.44</v>
      </c>
    </row>
    <row r="52" spans="1:9" x14ac:dyDescent="0.3">
      <c r="A52" s="17" t="s">
        <v>71</v>
      </c>
      <c r="B52" s="20">
        <f>'AR PL'!B28</f>
        <v>10</v>
      </c>
      <c r="C52" s="20">
        <f>'AR PL'!C28</f>
        <v>10</v>
      </c>
      <c r="D52" s="20">
        <f>'AR PL'!D28</f>
        <v>10</v>
      </c>
      <c r="E52" s="20">
        <v>10</v>
      </c>
      <c r="F52" s="20">
        <v>10</v>
      </c>
      <c r="G52" s="20">
        <v>10</v>
      </c>
      <c r="H52" s="20">
        <v>10</v>
      </c>
      <c r="I52" s="20">
        <v>10</v>
      </c>
    </row>
    <row r="53" spans="1:9" x14ac:dyDescent="0.3">
      <c r="A53" s="17" t="s">
        <v>285</v>
      </c>
      <c r="B53" s="20">
        <f>'AR PL'!B29</f>
        <v>6.0259999999999998</v>
      </c>
      <c r="C53" s="20">
        <f>'AR PL'!C29</f>
        <v>29.744</v>
      </c>
      <c r="D53" s="20">
        <f>'AR PL'!D29</f>
        <v>29.744</v>
      </c>
      <c r="E53" s="20">
        <f>E51/E52</f>
        <v>29.744</v>
      </c>
      <c r="F53" s="20">
        <f t="shared" ref="F53:I53" si="40">F51/F52</f>
        <v>29.744</v>
      </c>
      <c r="G53" s="20">
        <f t="shared" si="40"/>
        <v>29.744</v>
      </c>
      <c r="H53" s="20">
        <f t="shared" si="40"/>
        <v>29.744</v>
      </c>
      <c r="I53" s="20">
        <f t="shared" si="40"/>
        <v>29.744</v>
      </c>
    </row>
    <row r="54" spans="1:9" x14ac:dyDescent="0.3">
      <c r="A54" s="17" t="s">
        <v>73</v>
      </c>
      <c r="B54" s="20">
        <f>B46/B53</f>
        <v>198.84666445403263</v>
      </c>
      <c r="C54" s="20">
        <f t="shared" ref="C54:D54" si="41">C46/C53</f>
        <v>63.505917159763285</v>
      </c>
      <c r="D54" s="20">
        <f t="shared" si="41"/>
        <v>72.698359332974718</v>
      </c>
      <c r="E54" s="20">
        <f t="shared" ref="E54" si="42">E46/E53</f>
        <v>93.237647928994122</v>
      </c>
      <c r="F54" s="20">
        <f t="shared" ref="F54" si="43">F46/F53</f>
        <v>120.71843136430886</v>
      </c>
      <c r="G54" s="20">
        <f t="shared" ref="G54" si="44">G46/G53</f>
        <v>156.0378462098239</v>
      </c>
      <c r="H54" s="20">
        <f t="shared" ref="H54" si="45">H46/H53</f>
        <v>201.18762671295892</v>
      </c>
      <c r="I54" s="20">
        <f t="shared" ref="I54" si="46">I46/I53</f>
        <v>258.66007925612053</v>
      </c>
    </row>
    <row r="56" spans="1:9" hidden="1" x14ac:dyDescent="0.3">
      <c r="A56" s="17" t="s">
        <v>74</v>
      </c>
    </row>
    <row r="57" spans="1:9" hidden="1" x14ac:dyDescent="0.3">
      <c r="A57" s="17" t="s">
        <v>75</v>
      </c>
    </row>
    <row r="58" spans="1:9" hidden="1" x14ac:dyDescent="0.3"/>
    <row r="59" spans="1:9" hidden="1" x14ac:dyDescent="0.3">
      <c r="A59" s="17" t="s">
        <v>76</v>
      </c>
    </row>
    <row r="60" spans="1:9" hidden="1" x14ac:dyDescent="0.3"/>
    <row r="61" spans="1:9" hidden="1" x14ac:dyDescent="0.3">
      <c r="A61" s="15" t="s">
        <v>77</v>
      </c>
    </row>
    <row r="62" spans="1:9" hidden="1" x14ac:dyDescent="0.3"/>
    <row r="63" spans="1:9" hidden="1" x14ac:dyDescent="0.3"/>
    <row r="64" spans="1:9" hidden="1" x14ac:dyDescent="0.3"/>
    <row r="65" spans="1:1" hidden="1" x14ac:dyDescent="0.3"/>
    <row r="66" spans="1:1" hidden="1" x14ac:dyDescent="0.3"/>
    <row r="67" spans="1:1" hidden="1" x14ac:dyDescent="0.3"/>
    <row r="68" spans="1:1" hidden="1" x14ac:dyDescent="0.3"/>
    <row r="69" spans="1:1" hidden="1" x14ac:dyDescent="0.3"/>
    <row r="70" spans="1:1" hidden="1" x14ac:dyDescent="0.3"/>
    <row r="71" spans="1:1" hidden="1" x14ac:dyDescent="0.3"/>
    <row r="72" spans="1:1" hidden="1" x14ac:dyDescent="0.3">
      <c r="A72" t="s">
        <v>83</v>
      </c>
    </row>
    <row r="73" spans="1:1" hidden="1" x14ac:dyDescent="0.3">
      <c r="A73" t="s">
        <v>84</v>
      </c>
    </row>
    <row r="74" spans="1:1" hidden="1" x14ac:dyDescent="0.3">
      <c r="A74" t="s">
        <v>85</v>
      </c>
    </row>
    <row r="75" spans="1:1" hidden="1" x14ac:dyDescent="0.3">
      <c r="A75" t="s">
        <v>86</v>
      </c>
    </row>
    <row r="76" spans="1:1" hidden="1" x14ac:dyDescent="0.3"/>
    <row r="77" spans="1:1" hidden="1" x14ac:dyDescent="0.3">
      <c r="A77" t="s">
        <v>82</v>
      </c>
    </row>
    <row r="78" spans="1:1" hidden="1" x14ac:dyDescent="0.3">
      <c r="A78" s="2" t="s">
        <v>87</v>
      </c>
    </row>
    <row r="81" spans="1:4" x14ac:dyDescent="0.3">
      <c r="A81" s="2"/>
      <c r="C81" s="20"/>
      <c r="D81" s="19"/>
    </row>
    <row r="84" spans="1:4" x14ac:dyDescent="0.3">
      <c r="B84" s="20"/>
      <c r="C84" s="20"/>
    </row>
    <row r="85" spans="1:4" x14ac:dyDescent="0.3">
      <c r="B85" s="2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336A-B33A-4294-8F50-D354D97D0123}">
  <dimension ref="A1:I124"/>
  <sheetViews>
    <sheetView zoomScale="85" zoomScaleNormal="85" workbookViewId="0">
      <pane xSplit="1" ySplit="3" topLeftCell="B38" activePane="bottomRight" state="frozen"/>
      <selection pane="topRight" activeCell="B1" sqref="B1"/>
      <selection pane="bottomLeft" activeCell="A4" sqref="A4"/>
      <selection pane="bottomRight" activeCell="E25" sqref="E25:I25"/>
    </sheetView>
  </sheetViews>
  <sheetFormatPr defaultColWidth="9.109375" defaultRowHeight="14.4" x14ac:dyDescent="0.3"/>
  <cols>
    <col min="1" max="1" width="76.88671875" customWidth="1"/>
    <col min="2" max="9" width="12" customWidth="1"/>
  </cols>
  <sheetData>
    <row r="1" spans="1:9" x14ac:dyDescent="0.3">
      <c r="C1" s="21"/>
    </row>
    <row r="2" spans="1:9" x14ac:dyDescent="0.3">
      <c r="B2" s="83">
        <f>B32-B61</f>
        <v>0</v>
      </c>
      <c r="C2" s="83">
        <f>C32-C61</f>
        <v>0</v>
      </c>
      <c r="D2" s="83">
        <f>D32-D61</f>
        <v>0</v>
      </c>
      <c r="E2" s="83">
        <f t="shared" ref="E2:I2" si="0">E32-E61</f>
        <v>0</v>
      </c>
      <c r="F2" s="83">
        <f t="shared" si="0"/>
        <v>0</v>
      </c>
      <c r="G2" s="83">
        <f t="shared" si="0"/>
        <v>0</v>
      </c>
      <c r="H2" s="83">
        <f t="shared" si="0"/>
        <v>0</v>
      </c>
      <c r="I2" s="83">
        <f t="shared" si="0"/>
        <v>0</v>
      </c>
    </row>
    <row r="3" spans="1:9" s="2" customFormat="1" x14ac:dyDescent="0.3">
      <c r="A3" s="2" t="s">
        <v>95</v>
      </c>
      <c r="B3" s="8" t="s">
        <v>93</v>
      </c>
      <c r="C3" s="8" t="s">
        <v>116</v>
      </c>
      <c r="D3" s="8" t="s">
        <v>117</v>
      </c>
      <c r="E3" s="8" t="s">
        <v>375</v>
      </c>
      <c r="F3" s="8" t="s">
        <v>376</v>
      </c>
      <c r="G3" s="8" t="s">
        <v>377</v>
      </c>
      <c r="H3" s="8" t="s">
        <v>378</v>
      </c>
      <c r="I3" s="8" t="s">
        <v>379</v>
      </c>
    </row>
    <row r="4" spans="1:9" s="64" customFormat="1" x14ac:dyDescent="0.3">
      <c r="A4" s="64" t="s">
        <v>96</v>
      </c>
    </row>
    <row r="5" spans="1:9" x14ac:dyDescent="0.3">
      <c r="A5" s="2" t="s">
        <v>96</v>
      </c>
    </row>
    <row r="6" spans="1:9" x14ac:dyDescent="0.3">
      <c r="A6" s="2" t="s">
        <v>345</v>
      </c>
      <c r="B6" s="21"/>
      <c r="C6" s="21"/>
      <c r="D6" s="21"/>
      <c r="E6" s="21"/>
      <c r="F6" s="21"/>
      <c r="G6" s="21"/>
      <c r="H6" s="21"/>
      <c r="I6" s="21"/>
    </row>
    <row r="7" spans="1:9" s="52" customFormat="1" x14ac:dyDescent="0.3">
      <c r="A7" s="52" t="s">
        <v>291</v>
      </c>
      <c r="B7" s="88">
        <v>7497.21</v>
      </c>
      <c r="C7" s="88">
        <v>8050.54</v>
      </c>
      <c r="D7" s="88">
        <v>9647.86</v>
      </c>
      <c r="E7" s="88">
        <f>'Fixed Asset'!E16</f>
        <v>10708.373099999999</v>
      </c>
      <c r="F7" s="88">
        <f>'Fixed Asset'!F16</f>
        <v>11692.386199999999</v>
      </c>
      <c r="G7" s="88">
        <f>'Fixed Asset'!G16</f>
        <v>12599.899300000001</v>
      </c>
      <c r="H7" s="88">
        <f>'Fixed Asset'!H16</f>
        <v>13430.912400000001</v>
      </c>
      <c r="I7" s="88">
        <f>'Fixed Asset'!I16</f>
        <v>14185.425500000001</v>
      </c>
    </row>
    <row r="8" spans="1:9" x14ac:dyDescent="0.3">
      <c r="A8" t="s">
        <v>346</v>
      </c>
      <c r="B8" s="21">
        <v>216.76</v>
      </c>
      <c r="C8" s="21">
        <v>255.35</v>
      </c>
      <c r="D8" s="21">
        <v>287.20999999999998</v>
      </c>
      <c r="E8" s="21">
        <v>287.20999999999998</v>
      </c>
      <c r="F8" s="21">
        <v>287.20999999999998</v>
      </c>
      <c r="G8" s="21">
        <v>287.20999999999998</v>
      </c>
      <c r="H8" s="21">
        <v>287.20999999999998</v>
      </c>
      <c r="I8" s="21">
        <v>287.20999999999998</v>
      </c>
    </row>
    <row r="9" spans="1:9" x14ac:dyDescent="0.3">
      <c r="A9" t="s">
        <v>292</v>
      </c>
      <c r="B9" s="21">
        <v>772.26</v>
      </c>
      <c r="C9" s="1">
        <v>1671.63</v>
      </c>
      <c r="D9" s="1">
        <v>2405.54</v>
      </c>
      <c r="E9" s="1">
        <v>2405.54</v>
      </c>
      <c r="F9" s="1">
        <v>2405.54</v>
      </c>
      <c r="G9" s="1">
        <v>2405.54</v>
      </c>
      <c r="H9" s="1">
        <v>2405.54</v>
      </c>
      <c r="I9" s="1">
        <v>2405.54</v>
      </c>
    </row>
    <row r="10" spans="1:9" x14ac:dyDescent="0.3">
      <c r="A10" t="s">
        <v>293</v>
      </c>
      <c r="B10" s="21">
        <v>0.62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</row>
    <row r="11" spans="1:9" x14ac:dyDescent="0.3">
      <c r="A11" t="s">
        <v>294</v>
      </c>
      <c r="B11" s="21">
        <v>112.37</v>
      </c>
      <c r="C11" s="21">
        <v>119.4</v>
      </c>
      <c r="D11" s="21">
        <v>114.73</v>
      </c>
      <c r="E11" s="21">
        <v>114.73</v>
      </c>
      <c r="F11" s="21">
        <v>114.73</v>
      </c>
      <c r="G11" s="21">
        <v>114.73</v>
      </c>
      <c r="H11" s="21">
        <v>114.73</v>
      </c>
      <c r="I11" s="21">
        <v>114.73</v>
      </c>
    </row>
    <row r="12" spans="1:9" x14ac:dyDescent="0.3">
      <c r="A12" s="2" t="s">
        <v>295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3">
      <c r="A13" t="s">
        <v>347</v>
      </c>
      <c r="B13" s="21">
        <v>4.16</v>
      </c>
      <c r="C13" s="21">
        <v>4.16</v>
      </c>
      <c r="D13" s="21">
        <v>4.16</v>
      </c>
      <c r="E13" s="21">
        <v>4.16</v>
      </c>
      <c r="F13" s="21">
        <v>4.16</v>
      </c>
      <c r="G13" s="21">
        <v>4.16</v>
      </c>
      <c r="H13" s="21">
        <v>4.16</v>
      </c>
      <c r="I13" s="21">
        <v>4.16</v>
      </c>
    </row>
    <row r="14" spans="1:9" x14ac:dyDescent="0.3">
      <c r="A14" t="s">
        <v>348</v>
      </c>
      <c r="B14">
        <v>10.55</v>
      </c>
      <c r="C14" s="21">
        <v>14.72</v>
      </c>
      <c r="D14" s="21">
        <v>44.82</v>
      </c>
      <c r="E14" s="21">
        <v>44.82</v>
      </c>
      <c r="F14" s="21">
        <v>44.82</v>
      </c>
      <c r="G14" s="21">
        <v>44.82</v>
      </c>
      <c r="H14" s="21">
        <v>44.82</v>
      </c>
      <c r="I14" s="21">
        <v>44.82</v>
      </c>
    </row>
    <row r="15" spans="1:9" x14ac:dyDescent="0.3">
      <c r="A15" t="s">
        <v>349</v>
      </c>
      <c r="B15" s="21">
        <v>80.58</v>
      </c>
      <c r="C15" s="21">
        <v>140.52000000000001</v>
      </c>
      <c r="D15" s="21">
        <v>68.209999999999994</v>
      </c>
      <c r="E15" s="21">
        <v>68.209999999999994</v>
      </c>
      <c r="F15" s="21">
        <v>68.209999999999994</v>
      </c>
      <c r="G15" s="21">
        <v>68.209999999999994</v>
      </c>
      <c r="H15" s="21">
        <v>68.209999999999994</v>
      </c>
      <c r="I15" s="21">
        <v>68.209999999999994</v>
      </c>
    </row>
    <row r="16" spans="1:9" x14ac:dyDescent="0.3">
      <c r="A16" t="s">
        <v>296</v>
      </c>
      <c r="B16" s="21">
        <v>18.14</v>
      </c>
      <c r="C16" s="21">
        <v>11.6</v>
      </c>
      <c r="D16" s="21">
        <v>18.649999999999999</v>
      </c>
      <c r="E16" s="21">
        <v>18.649999999999999</v>
      </c>
      <c r="F16" s="21">
        <v>18.649999999999999</v>
      </c>
      <c r="G16" s="21">
        <v>18.649999999999999</v>
      </c>
      <c r="H16" s="21">
        <v>18.649999999999999</v>
      </c>
      <c r="I16" s="21">
        <v>18.649999999999999</v>
      </c>
    </row>
    <row r="17" spans="1:9" x14ac:dyDescent="0.3">
      <c r="A17" t="s">
        <v>350</v>
      </c>
      <c r="B17" s="21">
        <v>33.74</v>
      </c>
      <c r="C17" s="21">
        <v>21.31</v>
      </c>
      <c r="D17" s="21">
        <v>91.26</v>
      </c>
      <c r="E17" s="21">
        <v>91.26</v>
      </c>
      <c r="F17" s="21">
        <v>91.26</v>
      </c>
      <c r="G17" s="21">
        <v>91.26</v>
      </c>
      <c r="H17" s="21">
        <v>91.26</v>
      </c>
      <c r="I17" s="21">
        <v>91.26</v>
      </c>
    </row>
    <row r="18" spans="1:9" s="2" customFormat="1" x14ac:dyDescent="0.3">
      <c r="A18" t="s">
        <v>110</v>
      </c>
      <c r="B18" s="21">
        <v>244.1</v>
      </c>
      <c r="C18" s="21">
        <v>233.06</v>
      </c>
      <c r="D18" s="21">
        <v>297.13</v>
      </c>
      <c r="E18" s="21">
        <v>297.13</v>
      </c>
      <c r="F18" s="21">
        <v>297.13</v>
      </c>
      <c r="G18" s="21">
        <v>297.13</v>
      </c>
      <c r="H18" s="21">
        <v>297.13</v>
      </c>
      <c r="I18" s="21">
        <v>297.13</v>
      </c>
    </row>
    <row r="19" spans="1:9" s="2" customFormat="1" x14ac:dyDescent="0.3">
      <c r="A19" s="2" t="s">
        <v>351</v>
      </c>
      <c r="B19" s="21">
        <f>SUM(B7:B18)</f>
        <v>8990.49</v>
      </c>
      <c r="C19" s="21">
        <f>SUM(C7:C18)</f>
        <v>10522.289999999999</v>
      </c>
      <c r="D19" s="21">
        <f>SUM(D7:D18)</f>
        <v>12979.569999999998</v>
      </c>
      <c r="E19" s="21">
        <f t="shared" ref="E19:I19" si="1">SUM(E7:E18)</f>
        <v>14040.083099999994</v>
      </c>
      <c r="F19" s="21">
        <f t="shared" si="1"/>
        <v>15024.096199999994</v>
      </c>
      <c r="G19" s="21">
        <f t="shared" si="1"/>
        <v>15931.609299999998</v>
      </c>
      <c r="H19" s="21">
        <f t="shared" si="1"/>
        <v>16762.6224</v>
      </c>
      <c r="I19" s="21">
        <f t="shared" si="1"/>
        <v>17517.1355</v>
      </c>
    </row>
    <row r="20" spans="1:9" x14ac:dyDescent="0.3">
      <c r="A20" s="2" t="s">
        <v>97</v>
      </c>
      <c r="B20" s="21"/>
      <c r="C20" s="21"/>
      <c r="D20" s="21"/>
      <c r="E20" s="21"/>
      <c r="F20" s="21"/>
      <c r="G20" s="21"/>
      <c r="H20" s="21"/>
      <c r="I20" s="21"/>
    </row>
    <row r="21" spans="1:9" s="52" customFormat="1" x14ac:dyDescent="0.3">
      <c r="A21" s="52" t="s">
        <v>107</v>
      </c>
      <c r="B21" s="88">
        <v>1465.82</v>
      </c>
      <c r="C21" s="88">
        <v>2138.4699999999998</v>
      </c>
      <c r="D21" s="88">
        <v>2274.29</v>
      </c>
      <c r="E21" s="88">
        <f>'Working Capital Schedule'!E7</f>
        <v>2772.4338542465753</v>
      </c>
      <c r="F21" s="88">
        <f>'Working Capital Schedule'!F7</f>
        <v>3437.8179792657534</v>
      </c>
      <c r="G21" s="88">
        <f>'Working Capital Schedule'!G7</f>
        <v>4262.8942942895337</v>
      </c>
      <c r="H21" s="88">
        <f>'Working Capital Schedule'!H7</f>
        <v>5285.9889249190228</v>
      </c>
      <c r="I21" s="88">
        <f>'Working Capital Schedule'!I7</f>
        <v>6554.6262668995878</v>
      </c>
    </row>
    <row r="22" spans="1:9" x14ac:dyDescent="0.3">
      <c r="A22" s="2" t="s">
        <v>295</v>
      </c>
      <c r="B22" s="27"/>
      <c r="D22" s="27"/>
      <c r="E22" s="27"/>
      <c r="F22" s="27"/>
      <c r="G22" s="27"/>
      <c r="H22" s="27"/>
      <c r="I22" s="27"/>
    </row>
    <row r="23" spans="1:9" x14ac:dyDescent="0.3">
      <c r="A23" t="s">
        <v>347</v>
      </c>
      <c r="B23" s="21">
        <v>412.52</v>
      </c>
      <c r="C23" s="21">
        <v>316.74</v>
      </c>
      <c r="D23" s="21">
        <v>490.05</v>
      </c>
      <c r="E23" s="21">
        <v>490.05</v>
      </c>
      <c r="F23" s="21">
        <v>490.05</v>
      </c>
      <c r="G23" s="21">
        <v>490.05</v>
      </c>
      <c r="H23" s="21">
        <v>490.05</v>
      </c>
      <c r="I23" s="21">
        <v>490.05</v>
      </c>
    </row>
    <row r="24" spans="1:9" s="52" customFormat="1" x14ac:dyDescent="0.3">
      <c r="A24" s="52" t="s">
        <v>352</v>
      </c>
      <c r="B24" s="88">
        <v>1274.56</v>
      </c>
      <c r="C24" s="88">
        <v>1792.45</v>
      </c>
      <c r="D24" s="88">
        <v>1785.62</v>
      </c>
      <c r="E24" s="88">
        <f>'Working Capital Schedule'!E6</f>
        <v>2222.7968219178083</v>
      </c>
      <c r="F24" s="88">
        <f>'Working Capital Schedule'!F6</f>
        <v>2756.2680591780822</v>
      </c>
      <c r="G24" s="88">
        <f>'Working Capital Schedule'!G6</f>
        <v>3417.772393380822</v>
      </c>
      <c r="H24" s="88">
        <f>'Working Capital Schedule'!H6</f>
        <v>4238.0377677922197</v>
      </c>
      <c r="I24" s="88">
        <f>'Working Capital Schedule'!I6</f>
        <v>5255.1668320623521</v>
      </c>
    </row>
    <row r="25" spans="1:9" s="52" customFormat="1" x14ac:dyDescent="0.3">
      <c r="A25" s="52" t="s">
        <v>353</v>
      </c>
      <c r="B25" s="52">
        <v>138.29</v>
      </c>
      <c r="C25" s="88">
        <v>450.48</v>
      </c>
      <c r="D25" s="88">
        <v>607.98</v>
      </c>
      <c r="E25" s="88">
        <f>'Cash Flow'!E58</f>
        <v>2520.9226320547955</v>
      </c>
      <c r="F25" s="88">
        <f>'Cash Flow'!F58</f>
        <v>5192.8295462479491</v>
      </c>
      <c r="G25" s="88">
        <f>'Cash Flow'!G58</f>
        <v>8858.2735336124588</v>
      </c>
      <c r="H25" s="88">
        <f>'Cash Flow'!H58</f>
        <v>13777.608125790095</v>
      </c>
      <c r="I25" s="88">
        <f>'Cash Flow'!I58</f>
        <v>20277.628207986105</v>
      </c>
    </row>
    <row r="26" spans="1:9" x14ac:dyDescent="0.3">
      <c r="A26" t="s">
        <v>354</v>
      </c>
      <c r="B26">
        <v>143.71</v>
      </c>
      <c r="C26" s="21">
        <v>8.8699999999999992</v>
      </c>
      <c r="D26" s="21">
        <v>8.48</v>
      </c>
      <c r="E26" s="21">
        <v>8.48</v>
      </c>
      <c r="F26" s="21">
        <v>8.48</v>
      </c>
      <c r="G26" s="21">
        <v>8.48</v>
      </c>
      <c r="H26" s="21">
        <v>8.48</v>
      </c>
      <c r="I26" s="21">
        <v>8.48</v>
      </c>
    </row>
    <row r="27" spans="1:9" x14ac:dyDescent="0.3">
      <c r="A27" t="s">
        <v>355</v>
      </c>
      <c r="B27" s="21">
        <v>11.21</v>
      </c>
      <c r="C27" s="21">
        <v>8.8000000000000007</v>
      </c>
      <c r="D27" s="21">
        <v>11.02</v>
      </c>
      <c r="E27" s="21">
        <v>11.02</v>
      </c>
      <c r="F27" s="21">
        <v>11.02</v>
      </c>
      <c r="G27" s="21">
        <v>11.02</v>
      </c>
      <c r="H27" s="21">
        <v>11.02</v>
      </c>
      <c r="I27" s="21">
        <v>11.02</v>
      </c>
    </row>
    <row r="28" spans="1:9" x14ac:dyDescent="0.3">
      <c r="A28" t="s">
        <v>356</v>
      </c>
      <c r="B28" s="1">
        <v>225.85</v>
      </c>
      <c r="C28" s="21">
        <v>225.83</v>
      </c>
      <c r="D28" s="21">
        <v>234.84</v>
      </c>
      <c r="E28" s="21">
        <v>234.84</v>
      </c>
      <c r="F28" s="21">
        <v>234.84</v>
      </c>
      <c r="G28" s="21">
        <v>234.84</v>
      </c>
      <c r="H28" s="21">
        <v>234.84</v>
      </c>
      <c r="I28" s="21">
        <v>234.84</v>
      </c>
    </row>
    <row r="29" spans="1:9" x14ac:dyDescent="0.3">
      <c r="A29" t="s">
        <v>109</v>
      </c>
      <c r="B29" s="1">
        <v>266.95999999999998</v>
      </c>
      <c r="C29" s="21">
        <v>309.68</v>
      </c>
      <c r="D29" s="21">
        <v>362.67</v>
      </c>
      <c r="E29" s="21">
        <v>362.67</v>
      </c>
      <c r="F29" s="21">
        <v>362.67</v>
      </c>
      <c r="G29" s="21">
        <v>362.67</v>
      </c>
      <c r="H29" s="21">
        <v>362.67</v>
      </c>
      <c r="I29" s="21">
        <v>362.67</v>
      </c>
    </row>
    <row r="30" spans="1:9" x14ac:dyDescent="0.3">
      <c r="A30" s="2" t="s">
        <v>357</v>
      </c>
      <c r="B30" s="20">
        <f>SUM(B21:B29)</f>
        <v>3938.9199999999996</v>
      </c>
      <c r="C30" s="20">
        <f>SUM(C21:C29)</f>
        <v>5251.32</v>
      </c>
      <c r="D30" s="20">
        <f>SUM(D21:D29)</f>
        <v>5774.9500000000007</v>
      </c>
      <c r="E30" s="20">
        <f t="shared" ref="E30:I30" si="2">SUM(E21:E29)</f>
        <v>8623.2133082191795</v>
      </c>
      <c r="F30" s="20">
        <f t="shared" si="2"/>
        <v>12493.975584691785</v>
      </c>
      <c r="G30" s="20">
        <f t="shared" si="2"/>
        <v>17646.000221282815</v>
      </c>
      <c r="H30" s="20">
        <f t="shared" si="2"/>
        <v>24408.694818501335</v>
      </c>
      <c r="I30" s="20">
        <f t="shared" si="2"/>
        <v>33194.481306948044</v>
      </c>
    </row>
    <row r="31" spans="1:9" s="2" customFormat="1" x14ac:dyDescent="0.3">
      <c r="A31" t="s">
        <v>358</v>
      </c>
      <c r="B31" s="87">
        <v>0</v>
      </c>
      <c r="C31" s="87">
        <v>3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</row>
    <row r="32" spans="1:9" s="2" customFormat="1" x14ac:dyDescent="0.3">
      <c r="A32" s="2" t="s">
        <v>359</v>
      </c>
      <c r="B32" s="116">
        <f>B19+B30+B31</f>
        <v>12929.41</v>
      </c>
      <c r="C32" s="116">
        <f>C19+C30+C31</f>
        <v>15776.609999999999</v>
      </c>
      <c r="D32" s="116">
        <f>D19+D30+D31</f>
        <v>18754.519999999997</v>
      </c>
      <c r="E32" s="116">
        <f t="shared" ref="E32:I32" si="3">E19+E30+E31</f>
        <v>22663.296408219176</v>
      </c>
      <c r="F32" s="116">
        <f t="shared" si="3"/>
        <v>27518.07178469178</v>
      </c>
      <c r="G32" s="116">
        <f t="shared" si="3"/>
        <v>33577.609521282815</v>
      </c>
      <c r="H32" s="116">
        <f t="shared" si="3"/>
        <v>41171.317218501339</v>
      </c>
      <c r="I32" s="116">
        <f t="shared" si="3"/>
        <v>50711.616806948048</v>
      </c>
    </row>
    <row r="33" spans="1:9" s="2" customFormat="1" x14ac:dyDescent="0.3">
      <c r="A33" s="2" t="s">
        <v>98</v>
      </c>
      <c r="B33" s="87"/>
      <c r="C33" s="21"/>
      <c r="D33" s="21"/>
      <c r="E33" s="21"/>
      <c r="F33" s="21"/>
      <c r="G33" s="21"/>
      <c r="H33" s="21"/>
      <c r="I33" s="21"/>
    </row>
    <row r="34" spans="1:9" s="2" customFormat="1" x14ac:dyDescent="0.3">
      <c r="A34" s="2" t="s">
        <v>99</v>
      </c>
      <c r="B34" s="27"/>
      <c r="C34" s="27"/>
      <c r="D34" s="27"/>
      <c r="E34" s="27"/>
      <c r="F34" s="27"/>
      <c r="G34" s="27"/>
      <c r="H34" s="27"/>
      <c r="I34" s="27"/>
    </row>
    <row r="35" spans="1:9" x14ac:dyDescent="0.3">
      <c r="A35" t="s">
        <v>297</v>
      </c>
      <c r="B35" s="21">
        <v>60.26</v>
      </c>
      <c r="C35" s="21">
        <v>297.44</v>
      </c>
      <c r="D35" s="21">
        <v>297.44</v>
      </c>
      <c r="E35" s="21">
        <v>297.44</v>
      </c>
      <c r="F35" s="21">
        <v>297.44</v>
      </c>
      <c r="G35" s="21">
        <v>297.44</v>
      </c>
      <c r="H35" s="21">
        <v>297.44</v>
      </c>
      <c r="I35" s="21">
        <v>297.44</v>
      </c>
    </row>
    <row r="36" spans="1:9" s="52" customFormat="1" x14ac:dyDescent="0.3">
      <c r="A36" s="52" t="s">
        <v>298</v>
      </c>
      <c r="B36" s="89">
        <v>6796.16</v>
      </c>
      <c r="C36" s="53">
        <v>8267.92</v>
      </c>
      <c r="D36" s="53">
        <v>10029.61</v>
      </c>
      <c r="E36" s="53">
        <f>'Other Equity'!E7</f>
        <v>12624.406600000002</v>
      </c>
      <c r="F36" s="53">
        <f>'Other Equity'!F7</f>
        <v>16036.591622500004</v>
      </c>
      <c r="G36" s="53">
        <f>'Other Equity'!G7</f>
        <v>20499.317320165006</v>
      </c>
      <c r="H36" s="53">
        <f>'Other Equity'!H7</f>
        <v>26304.978089115255</v>
      </c>
      <c r="I36" s="53">
        <f>'Other Equity'!I7</f>
        <v>33820.099486509302</v>
      </c>
    </row>
    <row r="37" spans="1:9" x14ac:dyDescent="0.3">
      <c r="A37" s="2" t="s">
        <v>360</v>
      </c>
      <c r="B37" s="3">
        <f>SUM(B35:B36)</f>
        <v>6856.42</v>
      </c>
      <c r="C37" s="3">
        <f>SUM(C35:C36)</f>
        <v>8565.36</v>
      </c>
      <c r="D37" s="3">
        <f>SUM(D35:D36)</f>
        <v>10327.050000000001</v>
      </c>
      <c r="E37" s="3">
        <f t="shared" ref="E37:I37" si="4">SUM(E35:E36)</f>
        <v>12921.846600000003</v>
      </c>
      <c r="F37" s="3">
        <f t="shared" si="4"/>
        <v>16334.031622500004</v>
      </c>
      <c r="G37" s="3">
        <f t="shared" si="4"/>
        <v>20796.757320165005</v>
      </c>
      <c r="H37" s="3">
        <f t="shared" si="4"/>
        <v>26602.418089115254</v>
      </c>
      <c r="I37" s="3">
        <f t="shared" si="4"/>
        <v>34117.539486509304</v>
      </c>
    </row>
    <row r="38" spans="1:9" s="2" customFormat="1" x14ac:dyDescent="0.3">
      <c r="A38" s="2" t="s">
        <v>173</v>
      </c>
      <c r="B38" s="20"/>
      <c r="C38" s="87"/>
      <c r="D38" s="87"/>
      <c r="E38" s="87"/>
      <c r="F38" s="87"/>
      <c r="G38" s="87"/>
      <c r="H38" s="87"/>
      <c r="I38" s="87"/>
    </row>
    <row r="39" spans="1:9" x14ac:dyDescent="0.3">
      <c r="A39" s="2" t="s">
        <v>100</v>
      </c>
      <c r="B39" s="20"/>
      <c r="C39" s="66"/>
      <c r="D39" s="66"/>
      <c r="E39" s="66"/>
      <c r="F39" s="66"/>
      <c r="G39" s="66"/>
      <c r="H39" s="66"/>
      <c r="I39" s="66"/>
    </row>
    <row r="40" spans="1:9" s="2" customFormat="1" x14ac:dyDescent="0.3">
      <c r="A40" s="2" t="s">
        <v>299</v>
      </c>
      <c r="B40" s="75"/>
      <c r="C40" s="75"/>
      <c r="D40" s="75"/>
      <c r="E40" s="75"/>
      <c r="F40" s="75"/>
      <c r="G40" s="75"/>
      <c r="H40" s="75"/>
      <c r="I40" s="75"/>
    </row>
    <row r="41" spans="1:9" s="54" customFormat="1" x14ac:dyDescent="0.3">
      <c r="A41" s="52" t="s">
        <v>361</v>
      </c>
      <c r="B41" s="55">
        <v>1965.01</v>
      </c>
      <c r="C41" s="88">
        <v>1753.3</v>
      </c>
      <c r="D41" s="88">
        <v>2311.52</v>
      </c>
      <c r="E41" s="88">
        <f>'Debt Schedule'!E12</f>
        <v>2811.52</v>
      </c>
      <c r="F41" s="88">
        <f>'Debt Schedule'!F12</f>
        <v>3311.5200000000004</v>
      </c>
      <c r="G41" s="88">
        <f>'Debt Schedule'!G12</f>
        <v>3811.5200000000004</v>
      </c>
      <c r="H41" s="88">
        <f>'Debt Schedule'!H12</f>
        <v>4311.5200000000004</v>
      </c>
      <c r="I41" s="88">
        <f>'Debt Schedule'!I12</f>
        <v>4811.5200000000004</v>
      </c>
    </row>
    <row r="42" spans="1:9" s="2" customFormat="1" x14ac:dyDescent="0.3">
      <c r="A42" t="s">
        <v>362</v>
      </c>
      <c r="B42" s="20">
        <v>63.83</v>
      </c>
      <c r="C42" s="20">
        <v>95.18</v>
      </c>
      <c r="D42" s="20">
        <v>97.57</v>
      </c>
      <c r="E42" s="20">
        <v>97.57</v>
      </c>
      <c r="F42" s="20">
        <v>97.57</v>
      </c>
      <c r="G42" s="20">
        <v>97.57</v>
      </c>
      <c r="H42" s="20">
        <v>97.57</v>
      </c>
      <c r="I42" s="20">
        <v>97.57</v>
      </c>
    </row>
    <row r="43" spans="1:9" x14ac:dyDescent="0.3">
      <c r="A43" t="s">
        <v>363</v>
      </c>
      <c r="B43" s="20">
        <v>0.54</v>
      </c>
      <c r="C43" s="21">
        <v>153.86000000000001</v>
      </c>
      <c r="D43" s="21">
        <v>159.47</v>
      </c>
      <c r="E43" s="21">
        <v>159.47</v>
      </c>
      <c r="F43" s="21">
        <v>159.47</v>
      </c>
      <c r="G43" s="21">
        <v>159.47</v>
      </c>
      <c r="H43" s="21">
        <v>159.47</v>
      </c>
      <c r="I43" s="21">
        <v>159.47</v>
      </c>
    </row>
    <row r="44" spans="1:9" x14ac:dyDescent="0.3">
      <c r="A44" t="s">
        <v>300</v>
      </c>
      <c r="B44" s="20">
        <v>43.55</v>
      </c>
      <c r="C44" s="21">
        <v>51.58</v>
      </c>
      <c r="D44" s="21">
        <v>60.8</v>
      </c>
      <c r="E44" s="21">
        <v>60.8</v>
      </c>
      <c r="F44" s="21">
        <v>60.8</v>
      </c>
      <c r="G44" s="21">
        <v>60.8</v>
      </c>
      <c r="H44" s="21">
        <v>60.8</v>
      </c>
      <c r="I44" s="21">
        <v>60.8</v>
      </c>
    </row>
    <row r="45" spans="1:9" x14ac:dyDescent="0.3">
      <c r="A45" t="s">
        <v>364</v>
      </c>
      <c r="B45" s="20">
        <v>386.16</v>
      </c>
      <c r="C45" s="21">
        <v>677.46</v>
      </c>
      <c r="D45" s="21">
        <v>809.22</v>
      </c>
      <c r="E45" s="21">
        <v>809.22</v>
      </c>
      <c r="F45" s="21">
        <v>809.22</v>
      </c>
      <c r="G45" s="21">
        <v>809.22</v>
      </c>
      <c r="H45" s="21">
        <v>809.22</v>
      </c>
      <c r="I45" s="21">
        <v>809.22</v>
      </c>
    </row>
    <row r="46" spans="1:9" x14ac:dyDescent="0.3">
      <c r="A46" t="s">
        <v>365</v>
      </c>
      <c r="B46" s="20">
        <v>42.77</v>
      </c>
      <c r="C46" s="21">
        <v>39.56</v>
      </c>
      <c r="D46" s="21">
        <v>72.290000000000006</v>
      </c>
      <c r="E46" s="21">
        <v>72.290000000000006</v>
      </c>
      <c r="F46" s="21">
        <v>72.290000000000006</v>
      </c>
      <c r="G46" s="21">
        <v>72.290000000000006</v>
      </c>
      <c r="H46" s="21">
        <v>72.290000000000006</v>
      </c>
      <c r="I46" s="21">
        <v>72.290000000000006</v>
      </c>
    </row>
    <row r="47" spans="1:9" x14ac:dyDescent="0.3">
      <c r="A47" s="2" t="s">
        <v>366</v>
      </c>
      <c r="B47" s="20">
        <f>SUM(B41:B46)</f>
        <v>2501.8599999999997</v>
      </c>
      <c r="C47" s="20">
        <f>SUM(C41:C46)</f>
        <v>2770.94</v>
      </c>
      <c r="D47" s="20">
        <f>SUM(D41:D46)</f>
        <v>3510.87</v>
      </c>
      <c r="E47" s="20">
        <f t="shared" ref="E47:I47" si="5">SUM(E41:E46)</f>
        <v>4010.87</v>
      </c>
      <c r="F47" s="20">
        <f t="shared" si="5"/>
        <v>4510.8700000000008</v>
      </c>
      <c r="G47" s="20">
        <f t="shared" si="5"/>
        <v>5010.8700000000008</v>
      </c>
      <c r="H47" s="20">
        <f t="shared" si="5"/>
        <v>5510.8700000000008</v>
      </c>
      <c r="I47" s="20">
        <f t="shared" si="5"/>
        <v>6010.8700000000008</v>
      </c>
    </row>
    <row r="48" spans="1:9" x14ac:dyDescent="0.3">
      <c r="A48" s="2" t="s">
        <v>101</v>
      </c>
      <c r="B48" s="20"/>
      <c r="C48" s="21"/>
      <c r="D48" s="21"/>
      <c r="E48" s="21"/>
      <c r="F48" s="21"/>
      <c r="G48" s="21"/>
      <c r="H48" s="21"/>
      <c r="I48" s="21"/>
    </row>
    <row r="49" spans="1:9" x14ac:dyDescent="0.3">
      <c r="A49" s="2" t="s">
        <v>299</v>
      </c>
      <c r="B49" s="20"/>
      <c r="C49" s="21"/>
      <c r="D49" s="21"/>
      <c r="E49" s="21"/>
      <c r="F49" s="21"/>
      <c r="G49" s="21"/>
      <c r="H49" s="21"/>
      <c r="I49" s="21"/>
    </row>
    <row r="50" spans="1:9" s="54" customFormat="1" x14ac:dyDescent="0.3">
      <c r="A50" s="52" t="s">
        <v>361</v>
      </c>
      <c r="B50" s="55">
        <v>1425.95</v>
      </c>
      <c r="C50" s="55">
        <v>1786.05</v>
      </c>
      <c r="D50" s="89">
        <v>2042.54</v>
      </c>
      <c r="E50" s="89">
        <f>'Debt Schedule'!E6</f>
        <v>2342.54</v>
      </c>
      <c r="F50" s="89">
        <f>'Debt Schedule'!F6</f>
        <v>2642.54</v>
      </c>
      <c r="G50" s="89">
        <f>'Debt Schedule'!G6</f>
        <v>2942.54</v>
      </c>
      <c r="H50" s="89">
        <f>'Debt Schedule'!H6</f>
        <v>3242.54</v>
      </c>
      <c r="I50" s="89">
        <f>'Debt Schedule'!I6</f>
        <v>3542.54</v>
      </c>
    </row>
    <row r="51" spans="1:9" s="2" customFormat="1" x14ac:dyDescent="0.3">
      <c r="A51" t="s">
        <v>362</v>
      </c>
      <c r="B51" s="20">
        <v>13.8</v>
      </c>
      <c r="C51" s="20">
        <v>20.66</v>
      </c>
      <c r="D51">
        <v>25.9</v>
      </c>
      <c r="E51">
        <v>25.9</v>
      </c>
      <c r="F51">
        <v>25.9</v>
      </c>
      <c r="G51">
        <v>25.9</v>
      </c>
      <c r="H51">
        <v>25.9</v>
      </c>
      <c r="I51">
        <v>25.9</v>
      </c>
    </row>
    <row r="52" spans="1:9" s="2" customFormat="1" x14ac:dyDescent="0.3">
      <c r="A52" s="2" t="s">
        <v>367</v>
      </c>
      <c r="B52" s="75"/>
      <c r="C52" s="75"/>
      <c r="D52" s="75"/>
      <c r="E52" s="75"/>
      <c r="F52" s="75"/>
      <c r="G52" s="75"/>
      <c r="H52" s="75"/>
      <c r="I52" s="75"/>
    </row>
    <row r="53" spans="1:9" x14ac:dyDescent="0.3">
      <c r="A53" t="s">
        <v>373</v>
      </c>
      <c r="B53" s="20">
        <v>33.369999999999997</v>
      </c>
      <c r="C53" s="21">
        <v>55.98</v>
      </c>
      <c r="D53" s="21">
        <v>67.790000000000006</v>
      </c>
      <c r="E53" s="21">
        <v>67.790000000000006</v>
      </c>
      <c r="F53" s="21">
        <v>67.790000000000006</v>
      </c>
      <c r="G53" s="21">
        <v>67.790000000000006</v>
      </c>
      <c r="H53" s="21">
        <v>67.790000000000006</v>
      </c>
      <c r="I53" s="21">
        <v>67.790000000000006</v>
      </c>
    </row>
    <row r="54" spans="1:9" s="52" customFormat="1" x14ac:dyDescent="0.3">
      <c r="A54" s="52" t="s">
        <v>374</v>
      </c>
      <c r="B54" s="55">
        <v>1551.82</v>
      </c>
      <c r="C54" s="88">
        <v>2040.37</v>
      </c>
      <c r="D54" s="88">
        <v>2163.48</v>
      </c>
      <c r="E54" s="88">
        <f>'Working Capital Schedule'!E8</f>
        <v>2677.4598082191783</v>
      </c>
      <c r="F54" s="88">
        <f>'Working Capital Schedule'!F8</f>
        <v>3320.0501621917811</v>
      </c>
      <c r="G54" s="88">
        <f>'Working Capital Schedule'!G8</f>
        <v>4116.8622011178077</v>
      </c>
      <c r="H54" s="88">
        <f>'Working Capital Schedule'!H8</f>
        <v>5104.909129386082</v>
      </c>
      <c r="I54" s="88">
        <f>'Working Capital Schedule'!I8</f>
        <v>6330.0873204387417</v>
      </c>
    </row>
    <row r="55" spans="1:9" x14ac:dyDescent="0.3">
      <c r="A55" t="s">
        <v>368</v>
      </c>
      <c r="B55" s="20">
        <v>432.29</v>
      </c>
      <c r="C55" s="21">
        <v>371.7</v>
      </c>
      <c r="D55" s="21">
        <v>485.56</v>
      </c>
      <c r="E55" s="21">
        <v>485.56</v>
      </c>
      <c r="F55" s="21">
        <v>485.56</v>
      </c>
      <c r="G55" s="21">
        <v>485.56</v>
      </c>
      <c r="H55" s="21">
        <v>485.56</v>
      </c>
      <c r="I55" s="21">
        <v>485.56</v>
      </c>
    </row>
    <row r="56" spans="1:9" x14ac:dyDescent="0.3">
      <c r="A56" t="s">
        <v>112</v>
      </c>
      <c r="B56" s="20">
        <v>92.73</v>
      </c>
      <c r="C56" s="21">
        <v>143.97</v>
      </c>
      <c r="D56" s="21">
        <v>108.79</v>
      </c>
      <c r="E56" s="21">
        <v>108.79</v>
      </c>
      <c r="F56" s="21">
        <v>108.79</v>
      </c>
      <c r="G56" s="21">
        <v>108.79</v>
      </c>
      <c r="H56" s="21">
        <v>108.79</v>
      </c>
      <c r="I56" s="21">
        <v>108.79</v>
      </c>
    </row>
    <row r="57" spans="1:9" x14ac:dyDescent="0.3">
      <c r="A57" t="s">
        <v>300</v>
      </c>
      <c r="B57" s="93">
        <v>8.68</v>
      </c>
      <c r="C57" s="21">
        <v>7.38</v>
      </c>
      <c r="D57" s="21">
        <v>7.91</v>
      </c>
      <c r="E57" s="21">
        <v>7.91</v>
      </c>
      <c r="F57" s="21">
        <v>7.91</v>
      </c>
      <c r="G57" s="21">
        <v>7.91</v>
      </c>
      <c r="H57" s="21">
        <v>7.91</v>
      </c>
      <c r="I57" s="21">
        <v>7.91</v>
      </c>
    </row>
    <row r="58" spans="1:9" x14ac:dyDescent="0.3">
      <c r="A58" t="s">
        <v>369</v>
      </c>
      <c r="B58" s="94">
        <v>12.49</v>
      </c>
      <c r="C58" s="21">
        <v>14.2</v>
      </c>
      <c r="D58" s="21">
        <v>14.63</v>
      </c>
      <c r="E58" s="21">
        <v>14.63</v>
      </c>
      <c r="F58" s="21">
        <v>14.63</v>
      </c>
      <c r="G58" s="21">
        <v>14.63</v>
      </c>
      <c r="H58" s="21">
        <v>14.63</v>
      </c>
      <c r="I58" s="21">
        <v>14.63</v>
      </c>
    </row>
    <row r="59" spans="1:9" s="2" customFormat="1" x14ac:dyDescent="0.3">
      <c r="A59" s="2" t="s">
        <v>370</v>
      </c>
      <c r="B59" s="93">
        <f>SUM(B50:B58)</f>
        <v>3571.1299999999992</v>
      </c>
      <c r="C59" s="93">
        <f>SUM(C50:C58)</f>
        <v>4440.3100000000004</v>
      </c>
      <c r="D59" s="93">
        <f>SUM(D50:D58)</f>
        <v>4916.6000000000004</v>
      </c>
      <c r="E59" s="93">
        <f t="shared" ref="E59:I59" si="6">SUM(E50:E58)</f>
        <v>5730.5798082191786</v>
      </c>
      <c r="F59" s="93">
        <f t="shared" si="6"/>
        <v>6673.1701621917809</v>
      </c>
      <c r="G59" s="93">
        <f t="shared" si="6"/>
        <v>7769.9822011178085</v>
      </c>
      <c r="H59" s="93">
        <f t="shared" si="6"/>
        <v>9058.029129386081</v>
      </c>
      <c r="I59" s="93">
        <f t="shared" si="6"/>
        <v>10583.207320438742</v>
      </c>
    </row>
    <row r="60" spans="1:9" x14ac:dyDescent="0.3">
      <c r="A60" s="2" t="s">
        <v>371</v>
      </c>
      <c r="B60" s="95">
        <f>B47+B59</f>
        <v>6072.9899999999989</v>
      </c>
      <c r="C60" s="95">
        <f>C47+C59</f>
        <v>7211.25</v>
      </c>
      <c r="D60" s="95">
        <f>D47+D59</f>
        <v>8427.4700000000012</v>
      </c>
      <c r="E60" s="95">
        <f t="shared" ref="E60:I60" si="7">E47+E59</f>
        <v>9741.4498082191785</v>
      </c>
      <c r="F60" s="95">
        <f t="shared" si="7"/>
        <v>11184.040162191781</v>
      </c>
      <c r="G60" s="95">
        <f t="shared" si="7"/>
        <v>12780.85220111781</v>
      </c>
      <c r="H60" s="95">
        <f t="shared" si="7"/>
        <v>14568.899129386082</v>
      </c>
      <c r="I60" s="95">
        <f t="shared" si="7"/>
        <v>16594.077320438744</v>
      </c>
    </row>
    <row r="61" spans="1:9" x14ac:dyDescent="0.3">
      <c r="A61" s="2" t="s">
        <v>372</v>
      </c>
      <c r="B61" s="95">
        <f>B37+B60</f>
        <v>12929.41</v>
      </c>
      <c r="C61" s="95">
        <f>C37+C60</f>
        <v>15776.61</v>
      </c>
      <c r="D61" s="95">
        <f>D37+D60</f>
        <v>18754.520000000004</v>
      </c>
      <c r="E61" s="95">
        <f t="shared" ref="E61:I61" si="8">E37+E60</f>
        <v>22663.296408219183</v>
      </c>
      <c r="F61" s="95">
        <f t="shared" si="8"/>
        <v>27518.071784691783</v>
      </c>
      <c r="G61" s="95">
        <f t="shared" si="8"/>
        <v>33577.609521282815</v>
      </c>
      <c r="H61" s="95">
        <f t="shared" si="8"/>
        <v>41171.317218501339</v>
      </c>
      <c r="I61" s="95">
        <f t="shared" si="8"/>
        <v>50711.616806948048</v>
      </c>
    </row>
    <row r="62" spans="1:9" x14ac:dyDescent="0.3">
      <c r="B62" s="95"/>
      <c r="C62" s="95"/>
      <c r="D62" s="95"/>
      <c r="E62" s="95"/>
      <c r="F62" s="95"/>
      <c r="G62" s="95"/>
      <c r="H62" s="95"/>
      <c r="I62" s="95"/>
    </row>
    <row r="63" spans="1:9" x14ac:dyDescent="0.3">
      <c r="A63" s="2"/>
      <c r="B63" s="75"/>
      <c r="C63" s="75"/>
      <c r="D63" s="75"/>
      <c r="E63" s="75"/>
      <c r="F63" s="75"/>
      <c r="G63" s="75"/>
      <c r="H63" s="75"/>
      <c r="I63" s="75"/>
    </row>
    <row r="64" spans="1:9" x14ac:dyDescent="0.3">
      <c r="B64" s="21"/>
      <c r="C64" s="21"/>
    </row>
    <row r="65" spans="2:3" x14ac:dyDescent="0.3">
      <c r="B65" s="21"/>
      <c r="C65" s="21"/>
    </row>
    <row r="66" spans="2:3" s="2" customFormat="1" x14ac:dyDescent="0.3">
      <c r="B66" s="27"/>
      <c r="C66" s="27"/>
    </row>
    <row r="67" spans="2:3" s="2" customFormat="1" x14ac:dyDescent="0.3">
      <c r="B67" s="27"/>
      <c r="C67" s="27"/>
    </row>
    <row r="72" spans="2:3" x14ac:dyDescent="0.3">
      <c r="B72" s="58"/>
      <c r="C72" s="58"/>
    </row>
    <row r="73" spans="2:3" x14ac:dyDescent="0.3">
      <c r="B73" s="58"/>
      <c r="C73" s="58"/>
    </row>
    <row r="74" spans="2:3" x14ac:dyDescent="0.3">
      <c r="B74" s="58"/>
      <c r="C74" s="58"/>
    </row>
    <row r="75" spans="2:3" x14ac:dyDescent="0.3">
      <c r="B75" s="58"/>
      <c r="C75" s="58"/>
    </row>
    <row r="76" spans="2:3" x14ac:dyDescent="0.3">
      <c r="B76" s="58"/>
      <c r="C76" s="58"/>
    </row>
    <row r="77" spans="2:3" x14ac:dyDescent="0.3">
      <c r="B77" s="58"/>
      <c r="C77" s="58"/>
    </row>
    <row r="78" spans="2:3" x14ac:dyDescent="0.3">
      <c r="B78" s="58"/>
      <c r="C78" s="58"/>
    </row>
    <row r="79" spans="2:3" x14ac:dyDescent="0.3">
      <c r="B79" s="58"/>
      <c r="C79" s="58"/>
    </row>
    <row r="80" spans="2:3" x14ac:dyDescent="0.3">
      <c r="B80" s="58"/>
      <c r="C80" s="58"/>
    </row>
    <row r="81" spans="2:3" x14ac:dyDescent="0.3">
      <c r="B81" s="58"/>
      <c r="C81" s="58"/>
    </row>
    <row r="82" spans="2:3" x14ac:dyDescent="0.3">
      <c r="B82" s="58"/>
      <c r="C82" s="58"/>
    </row>
    <row r="83" spans="2:3" x14ac:dyDescent="0.3">
      <c r="B83" s="58"/>
      <c r="C83" s="58"/>
    </row>
    <row r="84" spans="2:3" x14ac:dyDescent="0.3">
      <c r="B84" s="58"/>
      <c r="C84" s="58"/>
    </row>
    <row r="85" spans="2:3" x14ac:dyDescent="0.3">
      <c r="B85" s="58"/>
      <c r="C85" s="58"/>
    </row>
    <row r="86" spans="2:3" x14ac:dyDescent="0.3">
      <c r="B86" s="58"/>
      <c r="C86" s="58"/>
    </row>
    <row r="87" spans="2:3" x14ac:dyDescent="0.3">
      <c r="B87" s="58"/>
      <c r="C87" s="58"/>
    </row>
    <row r="88" spans="2:3" x14ac:dyDescent="0.3">
      <c r="B88" s="58"/>
      <c r="C88" s="58"/>
    </row>
    <row r="89" spans="2:3" x14ac:dyDescent="0.3">
      <c r="B89" s="58"/>
      <c r="C89" s="58"/>
    </row>
    <row r="90" spans="2:3" x14ac:dyDescent="0.3">
      <c r="B90" s="58"/>
      <c r="C90" s="58"/>
    </row>
    <row r="91" spans="2:3" x14ac:dyDescent="0.3">
      <c r="B91" s="58"/>
      <c r="C91" s="58"/>
    </row>
    <row r="92" spans="2:3" x14ac:dyDescent="0.3">
      <c r="B92" s="58"/>
      <c r="C92" s="58"/>
    </row>
    <row r="93" spans="2:3" x14ac:dyDescent="0.3">
      <c r="B93" s="58"/>
      <c r="C93" s="58"/>
    </row>
    <row r="94" spans="2:3" x14ac:dyDescent="0.3">
      <c r="B94" s="58"/>
      <c r="C94" s="58"/>
    </row>
    <row r="95" spans="2:3" x14ac:dyDescent="0.3">
      <c r="B95" s="58"/>
      <c r="C95" s="58"/>
    </row>
    <row r="96" spans="2:3" x14ac:dyDescent="0.3">
      <c r="B96" s="58"/>
      <c r="C96" s="58"/>
    </row>
    <row r="97" spans="2:3" x14ac:dyDescent="0.3">
      <c r="B97" s="58"/>
      <c r="C97" s="58"/>
    </row>
    <row r="98" spans="2:3" x14ac:dyDescent="0.3">
      <c r="B98" s="58"/>
      <c r="C98" s="58"/>
    </row>
    <row r="99" spans="2:3" x14ac:dyDescent="0.3">
      <c r="B99" s="58"/>
      <c r="C99" s="58"/>
    </row>
    <row r="100" spans="2:3" x14ac:dyDescent="0.3">
      <c r="B100" s="58"/>
      <c r="C100" s="58"/>
    </row>
    <row r="101" spans="2:3" x14ac:dyDescent="0.3">
      <c r="B101" s="58"/>
      <c r="C101" s="58"/>
    </row>
    <row r="102" spans="2:3" x14ac:dyDescent="0.3">
      <c r="B102" s="58"/>
      <c r="C102" s="58"/>
    </row>
    <row r="103" spans="2:3" x14ac:dyDescent="0.3">
      <c r="B103" s="58"/>
      <c r="C103" s="58"/>
    </row>
    <row r="104" spans="2:3" x14ac:dyDescent="0.3">
      <c r="B104" s="58"/>
      <c r="C104" s="58"/>
    </row>
    <row r="105" spans="2:3" x14ac:dyDescent="0.3">
      <c r="B105" s="58"/>
      <c r="C105" s="58"/>
    </row>
    <row r="106" spans="2:3" x14ac:dyDescent="0.3">
      <c r="B106" s="58"/>
      <c r="C106" s="58"/>
    </row>
    <row r="107" spans="2:3" x14ac:dyDescent="0.3">
      <c r="B107" s="58"/>
      <c r="C107" s="58"/>
    </row>
    <row r="108" spans="2:3" x14ac:dyDescent="0.3">
      <c r="B108" s="58"/>
      <c r="C108" s="58"/>
    </row>
    <row r="109" spans="2:3" x14ac:dyDescent="0.3">
      <c r="B109" s="58"/>
      <c r="C109" s="58"/>
    </row>
    <row r="110" spans="2:3" x14ac:dyDescent="0.3">
      <c r="B110" s="58"/>
      <c r="C110" s="58"/>
    </row>
    <row r="111" spans="2:3" x14ac:dyDescent="0.3">
      <c r="B111" s="58"/>
      <c r="C111" s="58"/>
    </row>
    <row r="112" spans="2:3" x14ac:dyDescent="0.3">
      <c r="B112" s="58"/>
      <c r="C112" s="58"/>
    </row>
    <row r="113" spans="2:3" x14ac:dyDescent="0.3">
      <c r="B113" s="58"/>
      <c r="C113" s="58"/>
    </row>
    <row r="114" spans="2:3" x14ac:dyDescent="0.3">
      <c r="B114" s="58"/>
      <c r="C114" s="58"/>
    </row>
    <row r="115" spans="2:3" x14ac:dyDescent="0.3">
      <c r="B115" s="58"/>
      <c r="C115" s="58"/>
    </row>
    <row r="116" spans="2:3" x14ac:dyDescent="0.3">
      <c r="B116" s="58"/>
      <c r="C116" s="58"/>
    </row>
    <row r="117" spans="2:3" x14ac:dyDescent="0.3">
      <c r="B117" s="58"/>
      <c r="C117" s="58"/>
    </row>
    <row r="118" spans="2:3" x14ac:dyDescent="0.3">
      <c r="B118" s="58"/>
      <c r="C118" s="58"/>
    </row>
    <row r="119" spans="2:3" x14ac:dyDescent="0.3">
      <c r="B119" s="58"/>
      <c r="C119" s="58"/>
    </row>
    <row r="120" spans="2:3" x14ac:dyDescent="0.3">
      <c r="B120" s="58"/>
      <c r="C120" s="58"/>
    </row>
    <row r="121" spans="2:3" x14ac:dyDescent="0.3">
      <c r="B121" s="58"/>
      <c r="C121" s="58"/>
    </row>
    <row r="122" spans="2:3" x14ac:dyDescent="0.3">
      <c r="B122" s="58"/>
      <c r="C122" s="58"/>
    </row>
    <row r="123" spans="2:3" x14ac:dyDescent="0.3">
      <c r="B123" s="58"/>
      <c r="C123" s="58"/>
    </row>
    <row r="124" spans="2:3" x14ac:dyDescent="0.3">
      <c r="B124" s="58"/>
      <c r="C124" s="5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246A-823D-4E18-B691-3B282BA72195}">
  <dimension ref="A1:T62"/>
  <sheetViews>
    <sheetView tabSelected="1" zoomScale="99" zoomScaleNormal="99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M40" sqref="M40"/>
    </sheetView>
  </sheetViews>
  <sheetFormatPr defaultRowHeight="14.4" x14ac:dyDescent="0.3"/>
  <cols>
    <col min="1" max="1" width="81.88671875" customWidth="1"/>
  </cols>
  <sheetData>
    <row r="1" spans="1:20" x14ac:dyDescent="0.3">
      <c r="A1" s="2" t="s">
        <v>301</v>
      </c>
      <c r="B1" t="s">
        <v>93</v>
      </c>
      <c r="C1" t="str">
        <f>'P&amp;L'!C1</f>
        <v>FY22</v>
      </c>
      <c r="D1" t="str">
        <f>'P&amp;L'!D1</f>
        <v>FY23</v>
      </c>
      <c r="E1" t="str">
        <f>'P&amp;L'!E1</f>
        <v>FY24E</v>
      </c>
      <c r="F1" t="str">
        <f>'P&amp;L'!F1</f>
        <v>FY25E</v>
      </c>
      <c r="G1" t="str">
        <f>'P&amp;L'!G1</f>
        <v>FY26E</v>
      </c>
      <c r="H1" t="str">
        <f>'P&amp;L'!H1</f>
        <v>FY27E</v>
      </c>
      <c r="I1" t="str">
        <f>'P&amp;L'!I1</f>
        <v>FY28E</v>
      </c>
    </row>
    <row r="2" spans="1:20" x14ac:dyDescent="0.3">
      <c r="A2" s="22"/>
      <c r="B2" s="22"/>
      <c r="C2" s="22"/>
      <c r="D2" s="22"/>
      <c r="E2" s="22"/>
      <c r="F2" s="22"/>
      <c r="G2" s="22"/>
      <c r="H2" s="22"/>
      <c r="I2" s="22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s="52" customFormat="1" x14ac:dyDescent="0.3">
      <c r="A3" s="2" t="s">
        <v>380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96"/>
      <c r="R3" s="96"/>
      <c r="S3" s="96"/>
      <c r="T3" s="96"/>
    </row>
    <row r="4" spans="1:20" x14ac:dyDescent="0.3">
      <c r="A4" s="2" t="s">
        <v>381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20" s="52" customFormat="1" x14ac:dyDescent="0.3">
      <c r="A5" s="52" t="s">
        <v>402</v>
      </c>
      <c r="B5" s="88">
        <v>1612.65</v>
      </c>
      <c r="C5" s="88"/>
      <c r="D5" s="88"/>
      <c r="E5" s="88">
        <f>'P&amp;L'!E46</f>
        <v>2773.260600000001</v>
      </c>
      <c r="F5" s="88">
        <f>'P&amp;L'!F46</f>
        <v>3590.6490225000025</v>
      </c>
      <c r="G5" s="88">
        <f>'P&amp;L'!G46</f>
        <v>4641.1896976650023</v>
      </c>
      <c r="H5" s="88">
        <f>'P&amp;L'!H46</f>
        <v>5984.1247689502497</v>
      </c>
      <c r="I5" s="88">
        <f>'P&amp;L'!I46</f>
        <v>7693.5853973940484</v>
      </c>
      <c r="J5" s="88"/>
      <c r="K5" s="88"/>
      <c r="L5" s="88"/>
      <c r="M5" s="88"/>
      <c r="N5" s="88"/>
      <c r="O5" s="88"/>
      <c r="P5" s="88"/>
    </row>
    <row r="6" spans="1:20" x14ac:dyDescent="0.3">
      <c r="A6" t="s">
        <v>401</v>
      </c>
      <c r="B6" s="21">
        <v>-2.73</v>
      </c>
      <c r="C6" s="97"/>
      <c r="D6" s="97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20" x14ac:dyDescent="0.3">
      <c r="A7" s="2" t="s">
        <v>106</v>
      </c>
      <c r="B7" s="97"/>
      <c r="C7" s="97"/>
      <c r="D7" s="97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0" s="52" customFormat="1" x14ac:dyDescent="0.3">
      <c r="A8" s="52" t="s">
        <v>104</v>
      </c>
      <c r="B8" s="118">
        <v>134.01</v>
      </c>
      <c r="C8" s="118"/>
      <c r="D8" s="118"/>
      <c r="E8" s="88">
        <f>'P&amp;L'!E33*(1-'P&amp;L'!E45)</f>
        <v>193.27724999999998</v>
      </c>
      <c r="F8" s="88">
        <f>'P&amp;L'!F33*(1-'P&amp;L'!F45)</f>
        <v>223.27725000000004</v>
      </c>
      <c r="G8" s="88">
        <f>'P&amp;L'!G33*(1-'P&amp;L'!G45)</f>
        <v>253.27725000000004</v>
      </c>
      <c r="H8" s="88">
        <f>'P&amp;L'!H33*(1-'P&amp;L'!H45)</f>
        <v>283.27725000000004</v>
      </c>
      <c r="I8" s="88">
        <f>'P&amp;L'!I33*(1-'P&amp;L'!I45)</f>
        <v>313.27725000000009</v>
      </c>
      <c r="J8" s="88"/>
      <c r="K8" s="88"/>
      <c r="L8" s="88"/>
      <c r="M8" s="88"/>
      <c r="N8" s="88"/>
      <c r="O8" s="88"/>
      <c r="P8" s="88"/>
    </row>
    <row r="9" spans="1:20" x14ac:dyDescent="0.3">
      <c r="A9" t="s">
        <v>302</v>
      </c>
      <c r="B9" s="97">
        <v>-9.02</v>
      </c>
      <c r="C9" s="97"/>
      <c r="D9" s="97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20" x14ac:dyDescent="0.3">
      <c r="A10" t="s">
        <v>382</v>
      </c>
      <c r="B10" s="97">
        <v>-5.99</v>
      </c>
      <c r="C10" s="97"/>
      <c r="D10" s="97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20" x14ac:dyDescent="0.3">
      <c r="A11" t="s">
        <v>383</v>
      </c>
      <c r="B11" s="97">
        <v>-25.45</v>
      </c>
      <c r="C11" s="97"/>
      <c r="D11" s="97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20" x14ac:dyDescent="0.3">
      <c r="A12" t="s">
        <v>384</v>
      </c>
      <c r="B12" s="21">
        <v>11.94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20" x14ac:dyDescent="0.3">
      <c r="A13" t="s">
        <v>385</v>
      </c>
      <c r="B13" s="21">
        <v>-1.38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20" s="52" customFormat="1" x14ac:dyDescent="0.3">
      <c r="A14" s="52" t="s">
        <v>289</v>
      </c>
      <c r="B14" s="88">
        <v>453.08</v>
      </c>
      <c r="C14" s="88"/>
      <c r="D14" s="88"/>
      <c r="E14" s="88">
        <f>'Fixed Asset'!E11</f>
        <v>639.48689999999988</v>
      </c>
      <c r="F14" s="88">
        <f>'Fixed Asset'!F11</f>
        <v>715.98689999999988</v>
      </c>
      <c r="G14" s="88">
        <f>'Fixed Asset'!G11</f>
        <v>792.48689999999999</v>
      </c>
      <c r="H14" s="88">
        <f>'Fixed Asset'!H11</f>
        <v>868.98689999999999</v>
      </c>
      <c r="I14" s="88">
        <f>'Fixed Asset'!I11</f>
        <v>945.48689999999999</v>
      </c>
      <c r="J14" s="88"/>
      <c r="K14" s="88"/>
      <c r="L14" s="88"/>
      <c r="M14" s="88"/>
      <c r="N14" s="88"/>
      <c r="O14" s="88"/>
      <c r="P14" s="88"/>
    </row>
    <row r="15" spans="1:20" x14ac:dyDescent="0.3">
      <c r="A15" s="2" t="s">
        <v>386</v>
      </c>
      <c r="B15" s="21">
        <v>3.4</v>
      </c>
      <c r="C15" s="27"/>
      <c r="D15" s="27"/>
      <c r="E15" s="27"/>
      <c r="F15" s="27"/>
      <c r="G15" s="27"/>
      <c r="H15" s="27"/>
      <c r="I15" s="27"/>
      <c r="J15" s="21"/>
      <c r="K15" s="21"/>
      <c r="L15" s="21"/>
      <c r="M15" s="21"/>
      <c r="N15" s="21"/>
      <c r="O15" s="21"/>
      <c r="P15" s="21"/>
    </row>
    <row r="16" spans="1:20" x14ac:dyDescent="0.3">
      <c r="A16" s="2" t="s">
        <v>387</v>
      </c>
      <c r="B16" s="21">
        <v>-11.99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8" x14ac:dyDescent="0.3">
      <c r="A17" t="s">
        <v>388</v>
      </c>
      <c r="B17" s="21">
        <v>-9.0500000000000007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8" s="2" customFormat="1" x14ac:dyDescent="0.3">
      <c r="A18" t="s">
        <v>389</v>
      </c>
      <c r="B18" s="21">
        <v>0.97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8" x14ac:dyDescent="0.3">
      <c r="A19" t="s">
        <v>390</v>
      </c>
      <c r="B19" s="21">
        <v>0.15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8" x14ac:dyDescent="0.3">
      <c r="A20" s="2" t="s">
        <v>391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8" s="52" customFormat="1" x14ac:dyDescent="0.3">
      <c r="A21" s="52" t="s">
        <v>108</v>
      </c>
      <c r="B21" s="88">
        <v>-400.1</v>
      </c>
      <c r="C21" s="88"/>
      <c r="D21" s="88"/>
      <c r="E21" s="88">
        <f>'Working Capital Schedule'!D6-'Working Capital Schedule'!E6</f>
        <v>-437.17682191780841</v>
      </c>
      <c r="F21" s="88">
        <f>'Working Capital Schedule'!E6-'Working Capital Schedule'!F6</f>
        <v>-533.47123726027394</v>
      </c>
      <c r="G21" s="88">
        <f>'Working Capital Schedule'!F6-'Working Capital Schedule'!G6</f>
        <v>-661.50433420273976</v>
      </c>
      <c r="H21" s="88">
        <f>'Working Capital Schedule'!G6-'Working Capital Schedule'!H6</f>
        <v>-820.26537441139772</v>
      </c>
      <c r="I21" s="88">
        <f>'Working Capital Schedule'!H6-'Working Capital Schedule'!I6</f>
        <v>-1017.1290642701324</v>
      </c>
      <c r="J21" s="88"/>
      <c r="K21" s="88"/>
      <c r="L21" s="88"/>
      <c r="M21" s="88"/>
      <c r="N21" s="88"/>
      <c r="O21" s="88"/>
      <c r="P21" s="88"/>
    </row>
    <row r="22" spans="1:18" s="52" customFormat="1" x14ac:dyDescent="0.3">
      <c r="A22" s="52" t="s">
        <v>107</v>
      </c>
      <c r="B22" s="88">
        <v>-259.83</v>
      </c>
      <c r="C22" s="88"/>
      <c r="D22" s="88"/>
      <c r="E22" s="88">
        <f>'Working Capital Schedule'!D7-'Working Capital Schedule'!E7</f>
        <v>-498.1438542465753</v>
      </c>
      <c r="F22" s="88">
        <f>'Working Capital Schedule'!E7-'Working Capital Schedule'!F7</f>
        <v>-665.3841250191781</v>
      </c>
      <c r="G22" s="88">
        <f>'Working Capital Schedule'!F7-'Working Capital Schedule'!G7</f>
        <v>-825.07631502378035</v>
      </c>
      <c r="H22" s="88">
        <f>'Working Capital Schedule'!G7-'Working Capital Schedule'!H7</f>
        <v>-1023.0946306294891</v>
      </c>
      <c r="I22" s="88">
        <f>'Working Capital Schedule'!H7-'Working Capital Schedule'!I7</f>
        <v>-1268.637341980565</v>
      </c>
      <c r="J22" s="88"/>
      <c r="K22" s="88"/>
      <c r="L22" s="88"/>
      <c r="M22" s="88"/>
      <c r="N22" s="88"/>
      <c r="O22" s="88"/>
      <c r="P22" s="88"/>
    </row>
    <row r="23" spans="1:18" x14ac:dyDescent="0.3">
      <c r="A23" t="s">
        <v>392</v>
      </c>
      <c r="B23" s="21">
        <v>1.07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8" x14ac:dyDescent="0.3">
      <c r="A24" t="s">
        <v>393</v>
      </c>
      <c r="B24" s="21">
        <v>-0.61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8" x14ac:dyDescent="0.3">
      <c r="A25" t="s">
        <v>394</v>
      </c>
      <c r="B25" s="21">
        <v>35.700000000000003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8" x14ac:dyDescent="0.3">
      <c r="A26" t="s">
        <v>395</v>
      </c>
      <c r="B26" s="27">
        <v>-3.96</v>
      </c>
      <c r="C26" s="27"/>
      <c r="D26" s="27"/>
      <c r="E26" s="27"/>
      <c r="F26" s="27"/>
      <c r="G26" s="27"/>
      <c r="H26" s="27"/>
      <c r="I26" s="27"/>
      <c r="J26" s="21"/>
      <c r="K26" s="21"/>
      <c r="L26" s="21"/>
      <c r="M26" s="21"/>
      <c r="N26" s="21"/>
      <c r="O26" s="21"/>
      <c r="P26" s="21"/>
    </row>
    <row r="27" spans="1:18" s="2" customFormat="1" x14ac:dyDescent="0.3">
      <c r="A27" s="2" t="s">
        <v>396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8" s="52" customFormat="1" x14ac:dyDescent="0.3">
      <c r="A28" s="54" t="s">
        <v>111</v>
      </c>
      <c r="B28" s="119">
        <v>480.23</v>
      </c>
      <c r="C28" s="119"/>
      <c r="D28" s="119"/>
      <c r="E28" s="119">
        <f>'Working Capital Schedule'!E8-'Working Capital Schedule'!D8</f>
        <v>513.97980821917827</v>
      </c>
      <c r="F28" s="119">
        <f>'Working Capital Schedule'!F8-'Working Capital Schedule'!E8</f>
        <v>642.59035397260277</v>
      </c>
      <c r="G28" s="119">
        <f>'Working Capital Schedule'!G8-'Working Capital Schedule'!F8</f>
        <v>796.81203892602662</v>
      </c>
      <c r="H28" s="119">
        <f>'Working Capital Schedule'!H8-'Working Capital Schedule'!G8</f>
        <v>988.04692826827431</v>
      </c>
      <c r="I28" s="119">
        <f>'Working Capital Schedule'!I8-'Working Capital Schedule'!H8</f>
        <v>1225.1781910526597</v>
      </c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3">
      <c r="A29" s="2" t="s">
        <v>300</v>
      </c>
      <c r="B29" s="21">
        <v>7.46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5.6" customHeight="1" x14ac:dyDescent="0.3">
      <c r="A30" s="117" t="s">
        <v>397</v>
      </c>
      <c r="B30" s="21">
        <v>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3">
      <c r="A31" t="s">
        <v>398</v>
      </c>
      <c r="B31" s="21">
        <v>16.440000000000001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x14ac:dyDescent="0.3">
      <c r="A32" s="2" t="s">
        <v>303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s="2" customFormat="1" x14ac:dyDescent="0.3">
      <c r="A33" t="s">
        <v>399</v>
      </c>
      <c r="B33" s="21">
        <v>-255.31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3">
      <c r="A34" s="2" t="s">
        <v>400</v>
      </c>
      <c r="B34" s="21">
        <f>SUM(B5:B33)</f>
        <v>1771.6800000000005</v>
      </c>
      <c r="C34" s="21"/>
      <c r="D34" s="21"/>
      <c r="E34" s="21">
        <f t="shared" ref="E34:I34" si="0">SUM(E5:E33)</f>
        <v>3184.6838820547955</v>
      </c>
      <c r="F34" s="21">
        <f t="shared" si="0"/>
        <v>3973.6481641931532</v>
      </c>
      <c r="G34" s="21">
        <f t="shared" si="0"/>
        <v>4997.1852373645097</v>
      </c>
      <c r="H34" s="21">
        <f t="shared" si="0"/>
        <v>6281.0758421776372</v>
      </c>
      <c r="I34" s="21">
        <f t="shared" si="0"/>
        <v>7891.7613321960116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1:18" x14ac:dyDescent="0.3">
      <c r="A35" s="2" t="s">
        <v>403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x14ac:dyDescent="0.3">
      <c r="A36" t="s">
        <v>404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3">
      <c r="A37" t="s">
        <v>405</v>
      </c>
      <c r="B37" s="21">
        <v>-188.57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x14ac:dyDescent="0.3">
      <c r="A38" t="s">
        <v>390</v>
      </c>
      <c r="B38" s="21">
        <v>-0.15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x14ac:dyDescent="0.3">
      <c r="A39" t="s">
        <v>304</v>
      </c>
      <c r="B39" s="21">
        <v>0.09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3">
      <c r="A40" t="s">
        <v>406</v>
      </c>
      <c r="B40" s="21">
        <v>-134.52000000000001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s="52" customFormat="1" x14ac:dyDescent="0.3">
      <c r="A41" s="52" t="s">
        <v>422</v>
      </c>
      <c r="B41" s="88">
        <v>-1214.3499999999999</v>
      </c>
      <c r="C41" s="88"/>
      <c r="D41" s="88"/>
      <c r="E41" s="88">
        <f>-'Fixed Asset'!E4</f>
        <v>-1700</v>
      </c>
      <c r="F41" s="88">
        <f>-'Fixed Asset'!F4</f>
        <v>-1700</v>
      </c>
      <c r="G41" s="88">
        <f>-'Fixed Asset'!G4</f>
        <v>-1700</v>
      </c>
      <c r="H41" s="88">
        <f>-'Fixed Asset'!H4</f>
        <v>-1700</v>
      </c>
      <c r="I41" s="88">
        <f>-'Fixed Asset'!I4</f>
        <v>-1700</v>
      </c>
      <c r="J41" s="88"/>
      <c r="K41" s="88"/>
      <c r="L41" s="88"/>
      <c r="M41" s="88"/>
      <c r="N41" s="88"/>
      <c r="O41" s="88"/>
      <c r="P41" s="88"/>
      <c r="Q41" s="88"/>
      <c r="R41" s="88"/>
    </row>
    <row r="42" spans="1:18" x14ac:dyDescent="0.3">
      <c r="A42" t="s">
        <v>407</v>
      </c>
      <c r="B42" s="21">
        <v>9.66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x14ac:dyDescent="0.3">
      <c r="A43" t="s">
        <v>408</v>
      </c>
      <c r="B43" s="21">
        <v>28.16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x14ac:dyDescent="0.3">
      <c r="A44" s="2" t="s">
        <v>409</v>
      </c>
      <c r="B44" s="21">
        <f>SUM(B37:B43)</f>
        <v>-1499.6799999999998</v>
      </c>
      <c r="C44" s="21"/>
      <c r="D44" s="21"/>
      <c r="E44" s="21">
        <f t="shared" ref="E44:I44" si="1">SUM(E37:E43)</f>
        <v>-1700</v>
      </c>
      <c r="F44" s="21">
        <f t="shared" si="1"/>
        <v>-1700</v>
      </c>
      <c r="G44" s="21">
        <f t="shared" si="1"/>
        <v>-1700</v>
      </c>
      <c r="H44" s="21">
        <f t="shared" si="1"/>
        <v>-1700</v>
      </c>
      <c r="I44" s="21">
        <f t="shared" si="1"/>
        <v>-1700</v>
      </c>
      <c r="J44" s="21"/>
      <c r="K44" s="21"/>
      <c r="L44" s="21"/>
      <c r="M44" s="21"/>
      <c r="N44" s="21"/>
      <c r="O44" s="21"/>
      <c r="P44" s="21"/>
      <c r="Q44" s="21"/>
      <c r="R44" s="21"/>
    </row>
    <row r="45" spans="1:18" x14ac:dyDescent="0.3">
      <c r="A45" s="2" t="s">
        <v>410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x14ac:dyDescent="0.3">
      <c r="A46" t="s">
        <v>411</v>
      </c>
      <c r="B46" s="21">
        <v>750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x14ac:dyDescent="0.3">
      <c r="A47" t="s">
        <v>412</v>
      </c>
      <c r="B47" s="21">
        <v>-11.99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s="2" customFormat="1" x14ac:dyDescent="0.3">
      <c r="A48" t="s">
        <v>413</v>
      </c>
      <c r="B48" s="21">
        <v>1304.8399999999999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s="52" customFormat="1" x14ac:dyDescent="0.3">
      <c r="A49" s="52" t="s">
        <v>414</v>
      </c>
      <c r="B49" s="88">
        <v>-1990.41</v>
      </c>
      <c r="C49" s="88"/>
      <c r="D49" s="88"/>
      <c r="E49" s="88">
        <f>'Debt Schedule'!E10-'Debt Schedule'!E11</f>
        <v>500</v>
      </c>
      <c r="F49" s="88">
        <f>'Debt Schedule'!F10-'Debt Schedule'!F11</f>
        <v>500</v>
      </c>
      <c r="G49" s="88">
        <f>'Debt Schedule'!G10-'Debt Schedule'!G11</f>
        <v>500</v>
      </c>
      <c r="H49" s="88">
        <f>'Debt Schedule'!H10-'Debt Schedule'!H11</f>
        <v>500</v>
      </c>
      <c r="I49" s="88">
        <f>'Debt Schedule'!I10-'Debt Schedule'!I11</f>
        <v>500</v>
      </c>
      <c r="J49" s="88"/>
      <c r="K49" s="88"/>
      <c r="L49" s="88"/>
      <c r="M49" s="88"/>
      <c r="N49" s="88"/>
      <c r="O49" s="88"/>
      <c r="P49" s="88"/>
      <c r="Q49" s="88"/>
      <c r="R49" s="88"/>
    </row>
    <row r="50" spans="1:18" s="52" customFormat="1" x14ac:dyDescent="0.3">
      <c r="A50" s="52" t="s">
        <v>424</v>
      </c>
      <c r="B50" s="88">
        <v>14.78</v>
      </c>
      <c r="C50" s="88"/>
      <c r="D50" s="88"/>
      <c r="E50" s="88">
        <f>'Debt Schedule'!E4-'Debt Schedule'!E5</f>
        <v>300</v>
      </c>
      <c r="F50" s="88">
        <f>'Debt Schedule'!F4-'Debt Schedule'!F5</f>
        <v>300</v>
      </c>
      <c r="G50" s="88">
        <f>'Debt Schedule'!G4-'Debt Schedule'!G5</f>
        <v>300</v>
      </c>
      <c r="H50" s="88">
        <f>'Debt Schedule'!H4-'Debt Schedule'!H5</f>
        <v>300</v>
      </c>
      <c r="I50" s="88">
        <f>'Debt Schedule'!I4-'Debt Schedule'!I5</f>
        <v>300</v>
      </c>
      <c r="J50" s="88"/>
      <c r="K50" s="88"/>
      <c r="L50" s="88"/>
      <c r="M50" s="88"/>
      <c r="N50" s="88"/>
      <c r="O50" s="88"/>
      <c r="P50" s="88"/>
      <c r="Q50" s="88"/>
      <c r="R50" s="88"/>
    </row>
    <row r="51" spans="1:18" s="52" customFormat="1" x14ac:dyDescent="0.3">
      <c r="A51" s="52" t="s">
        <v>415</v>
      </c>
      <c r="B51" s="88">
        <v>-140.78</v>
      </c>
      <c r="C51" s="88"/>
      <c r="D51" s="88"/>
      <c r="E51" s="88">
        <f>-'Other Equity'!E6</f>
        <v>-178.464</v>
      </c>
      <c r="F51" s="88">
        <f>-'Other Equity'!F6</f>
        <v>-178.464</v>
      </c>
      <c r="G51" s="88">
        <f>-'Other Equity'!G6</f>
        <v>-178.464</v>
      </c>
      <c r="H51" s="88">
        <f>-'Other Equity'!H6</f>
        <v>-178.464</v>
      </c>
      <c r="I51" s="88">
        <f>-'Other Equity'!I6</f>
        <v>-178.464</v>
      </c>
      <c r="J51" s="88"/>
      <c r="K51" s="88"/>
      <c r="L51" s="88"/>
      <c r="M51" s="88"/>
      <c r="N51" s="88"/>
      <c r="O51" s="88"/>
      <c r="P51" s="88"/>
      <c r="Q51" s="88"/>
      <c r="R51" s="88"/>
    </row>
    <row r="52" spans="1:18" x14ac:dyDescent="0.3">
      <c r="A52" t="s">
        <v>416</v>
      </c>
      <c r="B52" s="21">
        <v>-20.190000000000001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s="52" customFormat="1" x14ac:dyDescent="0.3">
      <c r="A53" s="52" t="s">
        <v>417</v>
      </c>
      <c r="B53" s="88">
        <v>-157.36000000000001</v>
      </c>
      <c r="C53" s="119"/>
      <c r="D53" s="119"/>
      <c r="E53" s="88">
        <f>-E8</f>
        <v>-193.27724999999998</v>
      </c>
      <c r="F53" s="88">
        <f t="shared" ref="F53:I53" si="2">-F8</f>
        <v>-223.27725000000004</v>
      </c>
      <c r="G53" s="88">
        <f t="shared" si="2"/>
        <v>-253.27725000000004</v>
      </c>
      <c r="H53" s="88">
        <f t="shared" si="2"/>
        <v>-283.27725000000004</v>
      </c>
      <c r="I53" s="88">
        <f t="shared" si="2"/>
        <v>-313.27725000000009</v>
      </c>
      <c r="J53" s="88"/>
      <c r="K53" s="88"/>
      <c r="L53" s="88"/>
      <c r="M53" s="88"/>
      <c r="N53" s="88"/>
      <c r="O53" s="88"/>
      <c r="P53" s="88"/>
      <c r="Q53" s="88"/>
      <c r="R53" s="88"/>
    </row>
    <row r="54" spans="1:18" x14ac:dyDescent="0.3">
      <c r="A54" s="2" t="s">
        <v>418</v>
      </c>
      <c r="B54" s="21">
        <f>SUM(B46:B53)</f>
        <v>-251.11000000000018</v>
      </c>
      <c r="C54" s="21"/>
      <c r="D54" s="21"/>
      <c r="E54" s="21">
        <f t="shared" ref="E54:I54" si="3">SUM(E46:E53)</f>
        <v>428.25875000000008</v>
      </c>
      <c r="F54" s="21">
        <f t="shared" si="3"/>
        <v>398.25875000000002</v>
      </c>
      <c r="G54" s="21">
        <f t="shared" si="3"/>
        <v>368.25875000000002</v>
      </c>
      <c r="H54" s="21">
        <f t="shared" si="3"/>
        <v>338.25875000000002</v>
      </c>
      <c r="I54" s="21">
        <f t="shared" si="3"/>
        <v>308.25874999999996</v>
      </c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3">
      <c r="A55" s="2" t="s">
        <v>419</v>
      </c>
      <c r="B55">
        <v>0.96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x14ac:dyDescent="0.3">
      <c r="A56" s="49" t="s">
        <v>421</v>
      </c>
      <c r="B56" s="50">
        <f>B34+B44+B54+B55</f>
        <v>21.850000000000499</v>
      </c>
      <c r="C56" s="50"/>
      <c r="D56" s="50"/>
      <c r="E56" s="50">
        <f t="shared" ref="E56:I56" si="4">E34+E44+E54+E55</f>
        <v>1912.9426320547955</v>
      </c>
      <c r="F56" s="50">
        <f t="shared" si="4"/>
        <v>2671.9069141931532</v>
      </c>
      <c r="G56" s="50">
        <f t="shared" si="4"/>
        <v>3665.4439873645097</v>
      </c>
      <c r="H56" s="50">
        <f t="shared" si="4"/>
        <v>4919.3345921776372</v>
      </c>
      <c r="I56" s="50">
        <f t="shared" si="4"/>
        <v>6500.0200821960116</v>
      </c>
      <c r="J56" s="21"/>
      <c r="K56" s="21"/>
      <c r="L56" s="21"/>
      <c r="M56" s="21"/>
      <c r="N56" s="21"/>
      <c r="O56" s="21"/>
      <c r="P56" s="21"/>
      <c r="Q56" s="21"/>
      <c r="R56" s="21"/>
    </row>
    <row r="57" spans="1:18" x14ac:dyDescent="0.3">
      <c r="A57" s="49" t="s">
        <v>114</v>
      </c>
      <c r="B57" s="50">
        <v>116.44</v>
      </c>
      <c r="C57" s="50"/>
      <c r="D57" s="50"/>
      <c r="E57" s="50">
        <f>D58</f>
        <v>607.98</v>
      </c>
      <c r="F57" s="50">
        <f t="shared" ref="F57:I57" si="5">E58</f>
        <v>2520.9226320547955</v>
      </c>
      <c r="G57" s="50">
        <f t="shared" si="5"/>
        <v>5192.8295462479491</v>
      </c>
      <c r="H57" s="50">
        <f t="shared" si="5"/>
        <v>8858.2735336124588</v>
      </c>
      <c r="I57" s="50">
        <f t="shared" si="5"/>
        <v>13777.608125790095</v>
      </c>
      <c r="J57" s="21"/>
      <c r="K57" s="21"/>
      <c r="L57" s="21"/>
      <c r="M57" s="21"/>
      <c r="N57" s="21"/>
      <c r="O57" s="21"/>
      <c r="P57" s="21"/>
      <c r="Q57" s="21"/>
      <c r="R57" s="21"/>
    </row>
    <row r="58" spans="1:18" x14ac:dyDescent="0.3">
      <c r="A58" s="49" t="s">
        <v>420</v>
      </c>
      <c r="B58" s="50">
        <f>SUM(B56:B57)</f>
        <v>138.2900000000005</v>
      </c>
      <c r="C58" s="50">
        <v>450.48</v>
      </c>
      <c r="D58" s="50">
        <v>607.98</v>
      </c>
      <c r="E58" s="50">
        <f>SUM(E56:E57)</f>
        <v>2520.9226320547955</v>
      </c>
      <c r="F58" s="50">
        <f t="shared" ref="F58:I58" si="6">SUM(F56:F57)</f>
        <v>5192.8295462479491</v>
      </c>
      <c r="G58" s="50">
        <f t="shared" si="6"/>
        <v>8858.2735336124588</v>
      </c>
      <c r="H58" s="50">
        <f t="shared" si="6"/>
        <v>13777.608125790095</v>
      </c>
      <c r="I58" s="50">
        <f t="shared" si="6"/>
        <v>20277.628207986105</v>
      </c>
      <c r="J58" s="21"/>
      <c r="K58" s="21"/>
      <c r="L58" s="21"/>
      <c r="M58" s="21"/>
      <c r="N58" s="21"/>
      <c r="O58" s="21"/>
      <c r="P58" s="21"/>
      <c r="Q58" s="21"/>
      <c r="R58" s="21"/>
    </row>
    <row r="59" spans="1:18" x14ac:dyDescent="0.3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x14ac:dyDescent="0.3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18" x14ac:dyDescent="0.3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s="2" customFormat="1" x14ac:dyDescent="0.3">
      <c r="B62" s="27"/>
      <c r="C62" s="27"/>
      <c r="D62" s="27"/>
      <c r="E62" s="27"/>
      <c r="F62" s="27"/>
      <c r="G62" s="27"/>
      <c r="H62" s="27"/>
      <c r="I62" s="27"/>
      <c r="J62" s="21"/>
      <c r="K62" s="21"/>
      <c r="L62" s="21"/>
      <c r="M62" s="21"/>
      <c r="N62" s="21"/>
      <c r="O62" s="21"/>
      <c r="P62" s="21"/>
      <c r="Q62" s="21"/>
      <c r="R6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36B-E95A-4A23-818F-E5EC6C47F47A}">
  <dimension ref="A1:I18"/>
  <sheetViews>
    <sheetView zoomScaleNormal="100" workbookViewId="0">
      <selection activeCell="E21" sqref="E21"/>
    </sheetView>
  </sheetViews>
  <sheetFormatPr defaultRowHeight="14.4" x14ac:dyDescent="0.3"/>
  <cols>
    <col min="1" max="1" width="24.88671875" bestFit="1" customWidth="1"/>
    <col min="2" max="3" width="11.88671875" bestFit="1" customWidth="1"/>
    <col min="4" max="6" width="10.88671875" bestFit="1" customWidth="1"/>
    <col min="7" max="7" width="10.44140625" customWidth="1"/>
    <col min="8" max="9" width="11.5546875" customWidth="1"/>
  </cols>
  <sheetData>
    <row r="1" spans="1:9" x14ac:dyDescent="0.3">
      <c r="B1" s="99" t="s">
        <v>93</v>
      </c>
      <c r="C1" s="99" t="str">
        <f>'P&amp;L'!C1</f>
        <v>FY22</v>
      </c>
      <c r="D1" s="99" t="str">
        <f>'P&amp;L'!D1</f>
        <v>FY23</v>
      </c>
      <c r="E1" s="99" t="str">
        <f>'P&amp;L'!E1</f>
        <v>FY24E</v>
      </c>
      <c r="F1" s="99" t="str">
        <f>'P&amp;L'!F1</f>
        <v>FY25E</v>
      </c>
      <c r="G1" s="99" t="str">
        <f>'P&amp;L'!G1</f>
        <v>FY26E</v>
      </c>
      <c r="H1" s="99" t="str">
        <f>'P&amp;L'!H1</f>
        <v>FY27E</v>
      </c>
      <c r="I1" s="99" t="str">
        <f>'P&amp;L'!I1</f>
        <v>FY28E</v>
      </c>
    </row>
    <row r="2" spans="1:9" x14ac:dyDescent="0.3">
      <c r="A2" s="2" t="s">
        <v>278</v>
      </c>
    </row>
    <row r="3" spans="1:9" x14ac:dyDescent="0.3">
      <c r="A3" t="s">
        <v>198</v>
      </c>
      <c r="B3" s="56">
        <v>7510.55</v>
      </c>
      <c r="C3" s="56">
        <f>B7</f>
        <v>9417.1899999999987</v>
      </c>
      <c r="D3" s="56">
        <f>C7</f>
        <v>10401.719999999998</v>
      </c>
      <c r="E3" s="56">
        <f t="shared" ref="E3:I3" si="0">D7</f>
        <v>12510.819999999998</v>
      </c>
      <c r="F3" s="56">
        <f t="shared" si="0"/>
        <v>14210.819999999998</v>
      </c>
      <c r="G3" s="56">
        <f t="shared" si="0"/>
        <v>15910.819999999998</v>
      </c>
      <c r="H3" s="56">
        <f t="shared" si="0"/>
        <v>17610.82</v>
      </c>
      <c r="I3" s="56">
        <f t="shared" si="0"/>
        <v>19310.82</v>
      </c>
    </row>
    <row r="4" spans="1:9" x14ac:dyDescent="0.3">
      <c r="A4" t="s">
        <v>202</v>
      </c>
      <c r="B4" s="91">
        <v>1871.79</v>
      </c>
      <c r="C4" s="91">
        <v>1079.1199999999999</v>
      </c>
      <c r="D4" s="91">
        <v>2078.5500000000002</v>
      </c>
      <c r="E4" s="91">
        <v>1700</v>
      </c>
      <c r="F4" s="91">
        <v>1700</v>
      </c>
      <c r="G4" s="91">
        <v>1700</v>
      </c>
      <c r="H4" s="91">
        <v>1700</v>
      </c>
      <c r="I4" s="91">
        <v>1700</v>
      </c>
    </row>
    <row r="5" spans="1:9" x14ac:dyDescent="0.3">
      <c r="A5" t="s">
        <v>250</v>
      </c>
      <c r="B5" s="56">
        <v>-38.119999999999997</v>
      </c>
      <c r="C5" s="56">
        <v>-76.05</v>
      </c>
      <c r="D5" s="56">
        <v>-45.24</v>
      </c>
      <c r="E5" s="56"/>
      <c r="F5" s="56"/>
      <c r="G5" s="56"/>
      <c r="H5" s="56"/>
      <c r="I5" s="56"/>
    </row>
    <row r="6" spans="1:9" x14ac:dyDescent="0.3">
      <c r="A6" t="s">
        <v>283</v>
      </c>
      <c r="B6" s="98">
        <v>72.97</v>
      </c>
      <c r="C6" s="56">
        <v>-18.54</v>
      </c>
      <c r="D6" s="56">
        <v>75.790000000000006</v>
      </c>
      <c r="E6" s="56"/>
      <c r="F6" s="56"/>
      <c r="G6" s="56"/>
      <c r="H6" s="56"/>
      <c r="I6" s="56"/>
    </row>
    <row r="7" spans="1:9" s="2" customFormat="1" x14ac:dyDescent="0.3">
      <c r="A7" s="2" t="s">
        <v>199</v>
      </c>
      <c r="B7" s="92">
        <f>SUM(B3:B6)</f>
        <v>9417.1899999999987</v>
      </c>
      <c r="C7" s="92">
        <f>SUM(C3:C6)</f>
        <v>10401.719999999998</v>
      </c>
      <c r="D7" s="92">
        <f>SUM(D3:D6)</f>
        <v>12510.819999999998</v>
      </c>
      <c r="E7" s="92">
        <f t="shared" ref="E7:I7" si="1">SUM(E3:E6)</f>
        <v>14210.819999999998</v>
      </c>
      <c r="F7" s="92">
        <f t="shared" si="1"/>
        <v>15910.819999999998</v>
      </c>
      <c r="G7" s="92">
        <f t="shared" si="1"/>
        <v>17610.82</v>
      </c>
      <c r="H7" s="92">
        <f t="shared" si="1"/>
        <v>19310.82</v>
      </c>
      <c r="I7" s="92">
        <f t="shared" si="1"/>
        <v>21010.82</v>
      </c>
    </row>
    <row r="8" spans="1:9" x14ac:dyDescent="0.3">
      <c r="D8" s="56"/>
      <c r="E8" s="56"/>
      <c r="F8" s="56"/>
      <c r="G8" s="56"/>
      <c r="H8" s="56"/>
      <c r="I8" s="56"/>
    </row>
    <row r="9" spans="1:9" x14ac:dyDescent="0.3">
      <c r="A9" s="2" t="s">
        <v>61</v>
      </c>
      <c r="B9" s="56"/>
      <c r="C9" s="56"/>
      <c r="D9" s="56"/>
      <c r="E9" s="56"/>
      <c r="F9" s="56"/>
      <c r="G9" s="56"/>
      <c r="H9" s="56"/>
      <c r="I9" s="56"/>
    </row>
    <row r="10" spans="1:9" x14ac:dyDescent="0.3">
      <c r="A10" t="s">
        <v>198</v>
      </c>
      <c r="B10" s="56">
        <v>1487.62</v>
      </c>
      <c r="C10" s="56">
        <f>B14</f>
        <v>1919.9799999999998</v>
      </c>
      <c r="D10" s="56">
        <f>C14</f>
        <v>2351.1799999999998</v>
      </c>
      <c r="E10" s="56">
        <f>D14</f>
        <v>2862.9599999999996</v>
      </c>
      <c r="F10" s="56">
        <f t="shared" ref="F10:I10" si="2">E14</f>
        <v>3502.4468999999995</v>
      </c>
      <c r="G10" s="56">
        <f t="shared" si="2"/>
        <v>4218.4337999999989</v>
      </c>
      <c r="H10" s="56">
        <f t="shared" si="2"/>
        <v>5010.9206999999988</v>
      </c>
      <c r="I10" s="56">
        <f t="shared" si="2"/>
        <v>5879.9075999999986</v>
      </c>
    </row>
    <row r="11" spans="1:9" x14ac:dyDescent="0.3">
      <c r="A11" t="s">
        <v>251</v>
      </c>
      <c r="B11" s="56">
        <v>426.78</v>
      </c>
      <c r="C11" s="56">
        <v>484.64</v>
      </c>
      <c r="D11" s="56">
        <v>538.72</v>
      </c>
      <c r="E11" s="56">
        <f>E7*E18</f>
        <v>639.48689999999988</v>
      </c>
      <c r="F11" s="56">
        <f t="shared" ref="F11:I11" si="3">F7*F18</f>
        <v>715.98689999999988</v>
      </c>
      <c r="G11" s="56">
        <f t="shared" si="3"/>
        <v>792.48689999999999</v>
      </c>
      <c r="H11" s="56">
        <f t="shared" si="3"/>
        <v>868.98689999999999</v>
      </c>
      <c r="I11" s="56">
        <f t="shared" si="3"/>
        <v>945.48689999999999</v>
      </c>
    </row>
    <row r="12" spans="1:9" x14ac:dyDescent="0.3">
      <c r="A12" t="s">
        <v>284</v>
      </c>
      <c r="B12" s="56">
        <v>-6.88</v>
      </c>
      <c r="C12" s="56">
        <v>-54.52</v>
      </c>
      <c r="D12" s="56">
        <v>-32.01</v>
      </c>
      <c r="E12" s="56"/>
      <c r="F12" s="56"/>
      <c r="G12" s="56"/>
      <c r="H12" s="56"/>
      <c r="I12" s="56"/>
    </row>
    <row r="13" spans="1:9" x14ac:dyDescent="0.3">
      <c r="A13" t="s">
        <v>283</v>
      </c>
      <c r="B13" s="56">
        <v>12.46</v>
      </c>
      <c r="C13" s="56">
        <v>1.08</v>
      </c>
      <c r="D13" s="56">
        <v>5.07</v>
      </c>
      <c r="E13" s="56"/>
      <c r="F13" s="56"/>
      <c r="G13" s="56"/>
      <c r="H13" s="56"/>
      <c r="I13" s="56"/>
    </row>
    <row r="14" spans="1:9" s="2" customFormat="1" x14ac:dyDescent="0.3">
      <c r="A14" s="2" t="s">
        <v>252</v>
      </c>
      <c r="B14" s="92">
        <f>SUM(B10:B13)</f>
        <v>1919.9799999999998</v>
      </c>
      <c r="C14" s="92">
        <f t="shared" ref="C14:D14" si="4">SUM(C10:C13)</f>
        <v>2351.1799999999998</v>
      </c>
      <c r="D14" s="92">
        <f t="shared" si="4"/>
        <v>2862.9599999999996</v>
      </c>
      <c r="E14" s="92">
        <f t="shared" ref="E14:H14" si="5">E10+E11-E12+E13</f>
        <v>3502.4468999999995</v>
      </c>
      <c r="F14" s="92">
        <f t="shared" si="5"/>
        <v>4218.4337999999989</v>
      </c>
      <c r="G14" s="92">
        <f t="shared" si="5"/>
        <v>5010.9206999999988</v>
      </c>
      <c r="H14" s="92">
        <f t="shared" si="5"/>
        <v>5879.9075999999986</v>
      </c>
      <c r="I14" s="92">
        <f t="shared" ref="I14" si="6">I10+I11-I12+I13</f>
        <v>6825.3944999999985</v>
      </c>
    </row>
    <row r="15" spans="1:9" x14ac:dyDescent="0.3">
      <c r="B15" s="56"/>
      <c r="C15" s="56"/>
      <c r="D15" s="56"/>
      <c r="E15" s="56"/>
      <c r="F15" s="56"/>
      <c r="G15" s="56"/>
      <c r="H15" s="56"/>
      <c r="I15" s="56"/>
    </row>
    <row r="16" spans="1:9" s="2" customFormat="1" x14ac:dyDescent="0.3">
      <c r="A16" s="2" t="s">
        <v>280</v>
      </c>
      <c r="B16" s="92">
        <f>B7-B14</f>
        <v>7497.2099999999991</v>
      </c>
      <c r="C16" s="92">
        <f>C7-C14</f>
        <v>8050.5399999999972</v>
      </c>
      <c r="D16" s="92">
        <f>D7-D14</f>
        <v>9647.8599999999988</v>
      </c>
      <c r="E16" s="92">
        <f t="shared" ref="E16:H16" si="7">E7-E14</f>
        <v>10708.373099999999</v>
      </c>
      <c r="F16" s="92">
        <f t="shared" si="7"/>
        <v>11692.386199999999</v>
      </c>
      <c r="G16" s="92">
        <f t="shared" si="7"/>
        <v>12599.899300000001</v>
      </c>
      <c r="H16" s="92">
        <f t="shared" si="7"/>
        <v>13430.912400000001</v>
      </c>
      <c r="I16" s="92">
        <f t="shared" ref="I16" si="8">I7-I14</f>
        <v>14185.425500000001</v>
      </c>
    </row>
    <row r="17" spans="1:9" x14ac:dyDescent="0.3">
      <c r="B17" s="76"/>
      <c r="C17" s="76"/>
      <c r="D17" s="76"/>
      <c r="E17" s="76"/>
      <c r="F17" s="76"/>
      <c r="G17" s="76"/>
      <c r="H17" s="76"/>
      <c r="I17" s="76"/>
    </row>
    <row r="18" spans="1:9" x14ac:dyDescent="0.3">
      <c r="A18" s="2" t="s">
        <v>279</v>
      </c>
      <c r="B18" s="58">
        <f t="shared" ref="B18:D18" si="9">B11/B7</f>
        <v>4.5319251284087932E-2</v>
      </c>
      <c r="C18" s="58">
        <f t="shared" si="9"/>
        <v>4.6592294351318828E-2</v>
      </c>
      <c r="D18" s="58">
        <f t="shared" si="9"/>
        <v>4.3060326980965284E-2</v>
      </c>
      <c r="E18" s="77">
        <v>4.4999999999999998E-2</v>
      </c>
      <c r="F18" s="77">
        <v>4.4999999999999998E-2</v>
      </c>
      <c r="G18" s="77">
        <v>4.4999999999999998E-2</v>
      </c>
      <c r="H18" s="77">
        <v>4.4999999999999998E-2</v>
      </c>
      <c r="I18" s="77">
        <v>4.4999999999999998E-2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C191-FC31-4277-97D2-5782E7C9C20C}">
  <dimension ref="A1:I15"/>
  <sheetViews>
    <sheetView zoomScaleNormal="100" workbookViewId="0">
      <selection activeCell="E4" sqref="E4:I4"/>
    </sheetView>
  </sheetViews>
  <sheetFormatPr defaultRowHeight="14.4" x14ac:dyDescent="0.3"/>
  <cols>
    <col min="1" max="1" width="22.33203125" bestFit="1" customWidth="1"/>
  </cols>
  <sheetData>
    <row r="1" spans="1:9" x14ac:dyDescent="0.3">
      <c r="A1" s="2" t="s">
        <v>273</v>
      </c>
    </row>
    <row r="2" spans="1:9" x14ac:dyDescent="0.3">
      <c r="B2" s="99" t="s">
        <v>93</v>
      </c>
      <c r="C2" s="99" t="str">
        <f>'P&amp;L'!C1</f>
        <v>FY22</v>
      </c>
      <c r="D2" s="99" t="str">
        <f>'P&amp;L'!D1</f>
        <v>FY23</v>
      </c>
      <c r="E2" s="99" t="str">
        <f>'P&amp;L'!E1</f>
        <v>FY24E</v>
      </c>
      <c r="F2" s="99" t="str">
        <f>'P&amp;L'!F1</f>
        <v>FY25E</v>
      </c>
      <c r="G2" s="99" t="str">
        <f>'P&amp;L'!G1</f>
        <v>FY26E</v>
      </c>
      <c r="H2" s="99" t="str">
        <f>'P&amp;L'!H1</f>
        <v>FY27E</v>
      </c>
      <c r="I2" s="99" t="str">
        <f>'P&amp;L'!I1</f>
        <v>FY28E</v>
      </c>
    </row>
    <row r="3" spans="1:9" x14ac:dyDescent="0.3">
      <c r="A3" t="s">
        <v>194</v>
      </c>
      <c r="C3" s="21"/>
      <c r="D3" s="21"/>
      <c r="E3" s="21">
        <f>D7</f>
        <v>10029.61</v>
      </c>
      <c r="F3" s="21">
        <f t="shared" ref="F3:I3" si="0">E7</f>
        <v>12624.406600000002</v>
      </c>
      <c r="G3" s="21">
        <f t="shared" si="0"/>
        <v>16036.591622500004</v>
      </c>
      <c r="H3" s="21">
        <f t="shared" si="0"/>
        <v>20499.317320165006</v>
      </c>
      <c r="I3" s="21">
        <f t="shared" si="0"/>
        <v>26304.978089115255</v>
      </c>
    </row>
    <row r="4" spans="1:9" x14ac:dyDescent="0.3">
      <c r="A4" t="s">
        <v>195</v>
      </c>
      <c r="C4" s="21"/>
      <c r="D4" s="21"/>
      <c r="E4" s="21">
        <f>'P&amp;L'!E46</f>
        <v>2773.260600000001</v>
      </c>
      <c r="F4" s="21">
        <f>'P&amp;L'!F46</f>
        <v>3590.6490225000025</v>
      </c>
      <c r="G4" s="21">
        <f>'P&amp;L'!G46</f>
        <v>4641.1896976650023</v>
      </c>
      <c r="H4" s="21">
        <f>'P&amp;L'!H46</f>
        <v>5984.1247689502497</v>
      </c>
      <c r="I4" s="21">
        <f>'P&amp;L'!I46</f>
        <v>7693.5853973940484</v>
      </c>
    </row>
    <row r="5" spans="1:9" ht="72" x14ac:dyDescent="0.3">
      <c r="A5" s="117" t="s">
        <v>423</v>
      </c>
      <c r="C5" s="120"/>
      <c r="D5" s="21"/>
      <c r="E5" s="21"/>
      <c r="F5" s="21"/>
      <c r="G5" s="21"/>
      <c r="H5" s="21"/>
      <c r="I5" s="21"/>
    </row>
    <row r="6" spans="1:9" x14ac:dyDescent="0.3">
      <c r="A6" s="117" t="s">
        <v>196</v>
      </c>
      <c r="C6" s="21"/>
      <c r="D6" s="21"/>
      <c r="E6" s="21">
        <f>E11*E12</f>
        <v>178.464</v>
      </c>
      <c r="F6" s="21">
        <f t="shared" ref="F6:I6" si="1">F11*F12</f>
        <v>178.464</v>
      </c>
      <c r="G6" s="21">
        <f t="shared" si="1"/>
        <v>178.464</v>
      </c>
      <c r="H6" s="21">
        <f t="shared" si="1"/>
        <v>178.464</v>
      </c>
      <c r="I6" s="21">
        <f t="shared" si="1"/>
        <v>178.464</v>
      </c>
    </row>
    <row r="7" spans="1:9" s="2" customFormat="1" x14ac:dyDescent="0.3">
      <c r="A7" s="2" t="s">
        <v>197</v>
      </c>
      <c r="B7" s="27">
        <f>BS!B36</f>
        <v>6796.16</v>
      </c>
      <c r="C7" s="27">
        <f>BS!C36</f>
        <v>8267.92</v>
      </c>
      <c r="D7" s="27">
        <f>BS!D36</f>
        <v>10029.61</v>
      </c>
      <c r="E7" s="27">
        <f>E3+E4-E6</f>
        <v>12624.406600000002</v>
      </c>
      <c r="F7" s="27">
        <f t="shared" ref="F7:I7" si="2">F3+F4-F6</f>
        <v>16036.591622500004</v>
      </c>
      <c r="G7" s="27">
        <f t="shared" si="2"/>
        <v>20499.317320165006</v>
      </c>
      <c r="H7" s="27">
        <f t="shared" si="2"/>
        <v>26304.978089115255</v>
      </c>
      <c r="I7" s="27">
        <f t="shared" si="2"/>
        <v>33820.099486509302</v>
      </c>
    </row>
    <row r="10" spans="1:9" x14ac:dyDescent="0.3">
      <c r="A10" s="2" t="s">
        <v>203</v>
      </c>
      <c r="B10" s="19"/>
      <c r="C10" s="19"/>
      <c r="D10" s="19"/>
      <c r="E10" s="19"/>
      <c r="F10" s="19"/>
      <c r="G10" s="19"/>
      <c r="H10" s="19"/>
      <c r="I10" s="19"/>
    </row>
    <row r="11" spans="1:9" x14ac:dyDescent="0.3">
      <c r="A11" t="s">
        <v>75</v>
      </c>
      <c r="B11" s="74"/>
      <c r="C11" s="74"/>
      <c r="D11" s="74">
        <v>7</v>
      </c>
      <c r="E11" s="74">
        <v>6</v>
      </c>
      <c r="F11" s="74">
        <v>6</v>
      </c>
      <c r="G11" s="74">
        <v>6</v>
      </c>
      <c r="H11" s="74">
        <v>6</v>
      </c>
      <c r="I11" s="74">
        <v>6</v>
      </c>
    </row>
    <row r="12" spans="1:9" x14ac:dyDescent="0.3">
      <c r="A12" t="s">
        <v>274</v>
      </c>
      <c r="D12">
        <f>'P&amp;L'!D53</f>
        <v>29.744</v>
      </c>
      <c r="E12">
        <f>'P&amp;L'!E53</f>
        <v>29.744</v>
      </c>
      <c r="F12">
        <f>'P&amp;L'!F53</f>
        <v>29.744</v>
      </c>
      <c r="G12">
        <f>'P&amp;L'!G53</f>
        <v>29.744</v>
      </c>
      <c r="H12">
        <f>'P&amp;L'!H53</f>
        <v>29.744</v>
      </c>
      <c r="I12">
        <f>'P&amp;L'!I53</f>
        <v>29.744</v>
      </c>
    </row>
    <row r="14" spans="1:9" x14ac:dyDescent="0.3">
      <c r="A14" s="2" t="s">
        <v>113</v>
      </c>
      <c r="B14" s="43"/>
      <c r="C14" s="43"/>
    </row>
    <row r="15" spans="1:9" x14ac:dyDescent="0.3">
      <c r="A15" t="s">
        <v>207</v>
      </c>
      <c r="B15" s="21"/>
      <c r="C15" s="21"/>
      <c r="E15" s="19"/>
      <c r="F15" s="19"/>
      <c r="G15" s="19"/>
      <c r="H15" s="19"/>
      <c r="I1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0787-F139-4236-84E5-815BCE8E0B61}">
  <dimension ref="A1:I20"/>
  <sheetViews>
    <sheetView zoomScaleNormal="100" workbookViewId="0">
      <selection activeCell="K9" sqref="K9"/>
    </sheetView>
  </sheetViews>
  <sheetFormatPr defaultRowHeight="14.4" x14ac:dyDescent="0.3"/>
  <cols>
    <col min="1" max="1" width="18.6640625" bestFit="1" customWidth="1"/>
    <col min="3" max="3" width="9.6640625" bestFit="1" customWidth="1"/>
    <col min="7" max="7" width="8.88671875" customWidth="1"/>
    <col min="8" max="9" width="9.21875" customWidth="1"/>
  </cols>
  <sheetData>
    <row r="1" spans="1:9" x14ac:dyDescent="0.3">
      <c r="A1" s="2" t="s">
        <v>253</v>
      </c>
      <c r="B1" s="99" t="str">
        <f>'P&amp;L'!B1</f>
        <v>FY21</v>
      </c>
      <c r="C1" s="99" t="str">
        <f>'P&amp;L'!C1</f>
        <v>FY22</v>
      </c>
      <c r="D1" s="99" t="str">
        <f>'P&amp;L'!D1</f>
        <v>FY23</v>
      </c>
      <c r="E1" s="99" t="str">
        <f>'P&amp;L'!E1</f>
        <v>FY24E</v>
      </c>
      <c r="F1" s="99" t="str">
        <f>'P&amp;L'!F1</f>
        <v>FY25E</v>
      </c>
      <c r="G1" s="99" t="str">
        <f>'P&amp;L'!G1</f>
        <v>FY26E</v>
      </c>
      <c r="H1" s="99" t="str">
        <f>'P&amp;L'!H1</f>
        <v>FY27E</v>
      </c>
      <c r="I1" s="99" t="str">
        <f>'P&amp;L'!I1</f>
        <v>FY28E</v>
      </c>
    </row>
    <row r="2" spans="1:9" x14ac:dyDescent="0.3">
      <c r="A2" t="s">
        <v>43</v>
      </c>
      <c r="B2" s="21">
        <f>'P&amp;L'!B6</f>
        <v>8400.0400000000009</v>
      </c>
      <c r="C2" s="21">
        <f>'P&amp;L'!C6</f>
        <v>12433.66</v>
      </c>
      <c r="D2" s="21">
        <f>'P&amp;L'!D6</f>
        <v>14870.25</v>
      </c>
      <c r="E2" s="21">
        <f>'P&amp;L'!E6</f>
        <v>18439.11</v>
      </c>
      <c r="F2" s="21">
        <f>'P&amp;L'!F6</f>
        <v>22864.4964</v>
      </c>
      <c r="G2" s="21">
        <f>'P&amp;L'!G6</f>
        <v>28351.975535999998</v>
      </c>
      <c r="H2" s="21">
        <f>'P&amp;L'!H6</f>
        <v>35156.44966464</v>
      </c>
      <c r="I2" s="21">
        <f>'P&amp;L'!I6</f>
        <v>43593.9975841536</v>
      </c>
    </row>
    <row r="3" spans="1:9" x14ac:dyDescent="0.3">
      <c r="A3" t="s">
        <v>256</v>
      </c>
      <c r="B3" s="21">
        <f>'P&amp;L'!B16</f>
        <v>4018.94</v>
      </c>
      <c r="C3" s="21">
        <f>'P&amp;L'!C16</f>
        <v>6066.9400000000005</v>
      </c>
      <c r="D3" s="21">
        <f>'P&amp;L'!D16</f>
        <v>7393.51</v>
      </c>
      <c r="E3" s="21">
        <f>'P&amp;L'!E16</f>
        <v>9035.1638999999996</v>
      </c>
      <c r="F3" s="21">
        <f>'P&amp;L'!F16</f>
        <v>11203.603235999999</v>
      </c>
      <c r="G3" s="21">
        <f>'P&amp;L'!G16</f>
        <v>13892.468012639998</v>
      </c>
      <c r="H3" s="21">
        <f>'P&amp;L'!H16</f>
        <v>17226.660335673601</v>
      </c>
      <c r="I3" s="21">
        <f>'P&amp;L'!I16</f>
        <v>21361.058816235265</v>
      </c>
    </row>
    <row r="4" spans="1:9" x14ac:dyDescent="0.3">
      <c r="A4" t="s">
        <v>275</v>
      </c>
      <c r="B4" s="21">
        <f>B2</f>
        <v>8400.0400000000009</v>
      </c>
      <c r="C4" s="21">
        <f t="shared" ref="C4:E4" si="0">C2</f>
        <v>12433.66</v>
      </c>
      <c r="D4" s="21">
        <f t="shared" si="0"/>
        <v>14870.25</v>
      </c>
      <c r="E4" s="21">
        <f t="shared" si="0"/>
        <v>18439.11</v>
      </c>
      <c r="F4" s="21">
        <f t="shared" ref="F4:I4" si="1">F2</f>
        <v>22864.4964</v>
      </c>
      <c r="G4" s="21">
        <f t="shared" si="1"/>
        <v>28351.975535999998</v>
      </c>
      <c r="H4" s="21">
        <f t="shared" si="1"/>
        <v>35156.44966464</v>
      </c>
      <c r="I4" s="21">
        <f t="shared" si="1"/>
        <v>43593.9975841536</v>
      </c>
    </row>
    <row r="6" spans="1:9" x14ac:dyDescent="0.3">
      <c r="A6" t="s">
        <v>257</v>
      </c>
      <c r="B6" s="21">
        <f>BS!B24</f>
        <v>1274.56</v>
      </c>
      <c r="C6" s="21">
        <f>BS!C24</f>
        <v>1792.45</v>
      </c>
      <c r="D6" s="21">
        <f>BS!D24</f>
        <v>1785.62</v>
      </c>
      <c r="E6" s="21">
        <f>E17*E2/365</f>
        <v>2222.7968219178083</v>
      </c>
      <c r="F6" s="21">
        <f t="shared" ref="F6:I6" si="2">F17*F2/365</f>
        <v>2756.2680591780822</v>
      </c>
      <c r="G6" s="21">
        <f t="shared" si="2"/>
        <v>3417.772393380822</v>
      </c>
      <c r="H6" s="21">
        <f t="shared" si="2"/>
        <v>4238.0377677922197</v>
      </c>
      <c r="I6" s="21">
        <f t="shared" si="2"/>
        <v>5255.1668320623521</v>
      </c>
    </row>
    <row r="7" spans="1:9" x14ac:dyDescent="0.3">
      <c r="A7" t="s">
        <v>258</v>
      </c>
      <c r="B7" s="21">
        <f>BS!B21</f>
        <v>1465.82</v>
      </c>
      <c r="C7" s="21">
        <f>BS!C21</f>
        <v>2138.4699999999998</v>
      </c>
      <c r="D7" s="21">
        <f>BS!D21</f>
        <v>2274.29</v>
      </c>
      <c r="E7" s="21">
        <f t="shared" ref="E7:E8" si="3">E18*E3/365</f>
        <v>2772.4338542465753</v>
      </c>
      <c r="F7" s="21">
        <f t="shared" ref="F7:I7" si="4">F18*F3/365</f>
        <v>3437.8179792657534</v>
      </c>
      <c r="G7" s="21">
        <f t="shared" si="4"/>
        <v>4262.8942942895337</v>
      </c>
      <c r="H7" s="21">
        <f t="shared" si="4"/>
        <v>5285.9889249190228</v>
      </c>
      <c r="I7" s="21">
        <f t="shared" si="4"/>
        <v>6554.6262668995878</v>
      </c>
    </row>
    <row r="8" spans="1:9" x14ac:dyDescent="0.3">
      <c r="A8" t="s">
        <v>259</v>
      </c>
      <c r="B8" s="21">
        <f>BS!B54</f>
        <v>1551.82</v>
      </c>
      <c r="C8" s="21">
        <f>BS!C54</f>
        <v>2040.37</v>
      </c>
      <c r="D8" s="21">
        <f>BS!D54</f>
        <v>2163.48</v>
      </c>
      <c r="E8" s="21">
        <f t="shared" si="3"/>
        <v>2677.4598082191783</v>
      </c>
      <c r="F8" s="21">
        <f t="shared" ref="F8:I8" si="5">F19*F4/365</f>
        <v>3320.0501621917811</v>
      </c>
      <c r="G8" s="21">
        <f t="shared" si="5"/>
        <v>4116.8622011178077</v>
      </c>
      <c r="H8" s="21">
        <f t="shared" si="5"/>
        <v>5104.909129386082</v>
      </c>
      <c r="I8" s="21">
        <f t="shared" si="5"/>
        <v>6330.0873204387417</v>
      </c>
    </row>
    <row r="10" spans="1:9" x14ac:dyDescent="0.3">
      <c r="A10" s="2" t="s">
        <v>260</v>
      </c>
    </row>
    <row r="12" spans="1:9" x14ac:dyDescent="0.3">
      <c r="A12" t="s">
        <v>261</v>
      </c>
      <c r="B12" s="85"/>
      <c r="C12" s="85">
        <f>C6/C2</f>
        <v>0.14416109174611499</v>
      </c>
      <c r="D12" s="85">
        <f>D6/D2</f>
        <v>0.1200800255543787</v>
      </c>
      <c r="E12" s="85">
        <f t="shared" ref="E12:I12" si="6">E6/E2</f>
        <v>0.12054794520547946</v>
      </c>
      <c r="F12" s="85">
        <f t="shared" si="6"/>
        <v>0.12054794520547946</v>
      </c>
      <c r="G12" s="85">
        <f t="shared" si="6"/>
        <v>0.12054794520547946</v>
      </c>
      <c r="H12" s="85">
        <f t="shared" si="6"/>
        <v>0.12054794520547947</v>
      </c>
      <c r="I12" s="85">
        <f t="shared" si="6"/>
        <v>0.12054794520547946</v>
      </c>
    </row>
    <row r="13" spans="1:9" x14ac:dyDescent="0.3">
      <c r="A13" t="s">
        <v>262</v>
      </c>
      <c r="B13" s="85"/>
      <c r="C13" s="85">
        <f t="shared" ref="C13:D13" si="7">C7/C3</f>
        <v>0.3524791740152366</v>
      </c>
      <c r="D13" s="85">
        <f t="shared" si="7"/>
        <v>0.30760626549500847</v>
      </c>
      <c r="E13" s="85">
        <f t="shared" ref="E13:I13" si="8">E7/E3</f>
        <v>0.30684931506849317</v>
      </c>
      <c r="F13" s="85">
        <f t="shared" si="8"/>
        <v>0.30684931506849317</v>
      </c>
      <c r="G13" s="85">
        <f t="shared" si="8"/>
        <v>0.30684931506849317</v>
      </c>
      <c r="H13" s="85">
        <f t="shared" si="8"/>
        <v>0.30684931506849317</v>
      </c>
      <c r="I13" s="85">
        <f t="shared" si="8"/>
        <v>0.30684931506849311</v>
      </c>
    </row>
    <row r="14" spans="1:9" x14ac:dyDescent="0.3">
      <c r="A14" t="s">
        <v>263</v>
      </c>
      <c r="B14" s="85"/>
      <c r="C14" s="85">
        <f>C8/C4</f>
        <v>0.16410051424922348</v>
      </c>
      <c r="D14" s="85">
        <f>D8/D4</f>
        <v>0.1454904927623947</v>
      </c>
      <c r="E14" s="85">
        <f t="shared" ref="E14:I14" si="9">E8/E4</f>
        <v>0.14520547945205481</v>
      </c>
      <c r="F14" s="85">
        <f t="shared" si="9"/>
        <v>0.14520547945205481</v>
      </c>
      <c r="G14" s="85">
        <f t="shared" si="9"/>
        <v>0.14520547945205478</v>
      </c>
      <c r="H14" s="85">
        <f t="shared" si="9"/>
        <v>0.14520547945205478</v>
      </c>
      <c r="I14" s="85">
        <f t="shared" si="9"/>
        <v>0.14520547945205478</v>
      </c>
    </row>
    <row r="16" spans="1:9" x14ac:dyDescent="0.3">
      <c r="A16" s="2" t="s">
        <v>264</v>
      </c>
    </row>
    <row r="17" spans="1:9" x14ac:dyDescent="0.3">
      <c r="A17" t="s">
        <v>265</v>
      </c>
      <c r="B17" s="21"/>
      <c r="C17" s="20"/>
      <c r="D17" s="20">
        <f>365*D6/D2</f>
        <v>43.829209327348224</v>
      </c>
      <c r="E17" s="74">
        <v>44</v>
      </c>
      <c r="F17" s="74">
        <v>44</v>
      </c>
      <c r="G17" s="74">
        <v>44</v>
      </c>
      <c r="H17" s="74">
        <v>44</v>
      </c>
      <c r="I17" s="74">
        <v>44</v>
      </c>
    </row>
    <row r="18" spans="1:9" x14ac:dyDescent="0.3">
      <c r="A18" t="s">
        <v>266</v>
      </c>
      <c r="B18" s="21"/>
      <c r="C18" s="20"/>
      <c r="D18" s="20">
        <f t="shared" ref="D18" si="10">365*D7/D3</f>
        <v>112.27628690567808</v>
      </c>
      <c r="E18" s="74">
        <v>112</v>
      </c>
      <c r="F18" s="74">
        <v>112</v>
      </c>
      <c r="G18" s="74">
        <v>112</v>
      </c>
      <c r="H18" s="74">
        <v>112</v>
      </c>
      <c r="I18" s="74">
        <v>112</v>
      </c>
    </row>
    <row r="19" spans="1:9" x14ac:dyDescent="0.3">
      <c r="A19" t="s">
        <v>267</v>
      </c>
      <c r="B19" s="21"/>
      <c r="C19" s="20"/>
      <c r="D19" s="20">
        <f t="shared" ref="D19" si="11">365*D8/D4</f>
        <v>53.104029858274068</v>
      </c>
      <c r="E19" s="74">
        <v>53</v>
      </c>
      <c r="F19" s="74">
        <v>53</v>
      </c>
      <c r="G19" s="74">
        <v>53</v>
      </c>
      <c r="H19" s="74">
        <v>53</v>
      </c>
      <c r="I19" s="74">
        <v>53</v>
      </c>
    </row>
    <row r="20" spans="1:9" x14ac:dyDescent="0.3">
      <c r="A20" t="s">
        <v>268</v>
      </c>
      <c r="B20" s="21"/>
      <c r="C20" s="21"/>
      <c r="D20" s="21">
        <f>D17+D18-D19</f>
        <v>103.00146637475225</v>
      </c>
      <c r="E20" s="21">
        <f t="shared" ref="E20:I20" si="12">E17+E18-E19</f>
        <v>103</v>
      </c>
      <c r="F20" s="21">
        <f t="shared" si="12"/>
        <v>103</v>
      </c>
      <c r="G20" s="21">
        <f t="shared" si="12"/>
        <v>103</v>
      </c>
      <c r="H20" s="21">
        <f t="shared" si="12"/>
        <v>103</v>
      </c>
      <c r="I20" s="21">
        <f t="shared" si="12"/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7E91-7276-4969-9838-018941BAAB3F}">
  <dimension ref="A1:I18"/>
  <sheetViews>
    <sheetView zoomScaleNormal="100" workbookViewId="0">
      <selection activeCell="P12" sqref="P12"/>
    </sheetView>
  </sheetViews>
  <sheetFormatPr defaultRowHeight="14.4" x14ac:dyDescent="0.3"/>
  <cols>
    <col min="1" max="1" width="15.33203125" customWidth="1"/>
  </cols>
  <sheetData>
    <row r="1" spans="1:9" x14ac:dyDescent="0.3">
      <c r="B1" s="99" t="s">
        <v>93</v>
      </c>
      <c r="C1" s="99" t="str">
        <f>'P&amp;L'!C1&amp;"E"</f>
        <v>FY22E</v>
      </c>
      <c r="D1" s="99" t="str">
        <f>'P&amp;L'!D1</f>
        <v>FY23</v>
      </c>
      <c r="E1" s="99" t="str">
        <f>'P&amp;L'!E1</f>
        <v>FY24E</v>
      </c>
      <c r="F1" s="99" t="str">
        <f>'P&amp;L'!F1</f>
        <v>FY25E</v>
      </c>
      <c r="G1" s="99" t="str">
        <f>'P&amp;L'!G1</f>
        <v>FY26E</v>
      </c>
      <c r="H1" s="99" t="str">
        <f>'P&amp;L'!H1</f>
        <v>FY27E</v>
      </c>
      <c r="I1" s="99" t="str">
        <f>'P&amp;L'!I1</f>
        <v>FY28E</v>
      </c>
    </row>
    <row r="2" spans="1:9" x14ac:dyDescent="0.3">
      <c r="A2" s="2" t="s">
        <v>200</v>
      </c>
    </row>
    <row r="3" spans="1:9" x14ac:dyDescent="0.3">
      <c r="A3" t="s">
        <v>194</v>
      </c>
      <c r="C3" s="20"/>
      <c r="D3" s="20"/>
      <c r="E3" s="20">
        <f>D6</f>
        <v>2042.54</v>
      </c>
      <c r="F3" s="20">
        <f t="shared" ref="F3:I3" si="0">E6</f>
        <v>2342.54</v>
      </c>
      <c r="G3" s="20">
        <f t="shared" si="0"/>
        <v>2642.54</v>
      </c>
      <c r="H3" s="20">
        <f t="shared" si="0"/>
        <v>2942.54</v>
      </c>
      <c r="I3" s="20">
        <f t="shared" si="0"/>
        <v>3242.54</v>
      </c>
    </row>
    <row r="4" spans="1:9" x14ac:dyDescent="0.3">
      <c r="A4" t="s">
        <v>269</v>
      </c>
      <c r="B4" s="74"/>
      <c r="C4" s="74"/>
      <c r="D4" s="74"/>
      <c r="E4" s="74">
        <v>1500</v>
      </c>
      <c r="F4" s="74">
        <v>1500</v>
      </c>
      <c r="G4" s="74">
        <v>1500</v>
      </c>
      <c r="H4" s="74">
        <v>1500</v>
      </c>
      <c r="I4" s="74">
        <v>1500</v>
      </c>
    </row>
    <row r="5" spans="1:9" x14ac:dyDescent="0.3">
      <c r="A5" t="s">
        <v>270</v>
      </c>
      <c r="B5" s="74"/>
      <c r="C5" s="74"/>
      <c r="D5" s="74"/>
      <c r="E5" s="74">
        <v>1200</v>
      </c>
      <c r="F5" s="74">
        <v>1200</v>
      </c>
      <c r="G5" s="74">
        <v>1200</v>
      </c>
      <c r="H5" s="74">
        <v>1200</v>
      </c>
      <c r="I5" s="74">
        <v>1200</v>
      </c>
    </row>
    <row r="6" spans="1:9" s="2" customFormat="1" x14ac:dyDescent="0.3">
      <c r="A6" s="2" t="s">
        <v>197</v>
      </c>
      <c r="B6" s="75">
        <f>BS!B50</f>
        <v>1425.95</v>
      </c>
      <c r="C6" s="75">
        <f>BS!C50</f>
        <v>1786.05</v>
      </c>
      <c r="D6" s="75">
        <f>BS!D50</f>
        <v>2042.54</v>
      </c>
      <c r="E6" s="75">
        <f>E3+E4-E5</f>
        <v>2342.54</v>
      </c>
      <c r="F6" s="75">
        <f t="shared" ref="F6:I6" si="1">F3+F4-F5</f>
        <v>2642.54</v>
      </c>
      <c r="G6" s="75">
        <f t="shared" si="1"/>
        <v>2942.54</v>
      </c>
      <c r="H6" s="75">
        <f t="shared" si="1"/>
        <v>3242.54</v>
      </c>
      <c r="I6" s="75">
        <f t="shared" si="1"/>
        <v>3542.54</v>
      </c>
    </row>
    <row r="8" spans="1:9" x14ac:dyDescent="0.3">
      <c r="A8" s="2" t="s">
        <v>201</v>
      </c>
    </row>
    <row r="9" spans="1:9" x14ac:dyDescent="0.3">
      <c r="A9" t="s">
        <v>194</v>
      </c>
      <c r="C9" s="20"/>
      <c r="D9" s="20"/>
      <c r="E9" s="20">
        <f>D12</f>
        <v>2311.52</v>
      </c>
      <c r="F9" s="20">
        <f t="shared" ref="F9:I9" si="2">E12</f>
        <v>2811.52</v>
      </c>
      <c r="G9" s="20">
        <f t="shared" si="2"/>
        <v>3311.5200000000004</v>
      </c>
      <c r="H9" s="20">
        <f t="shared" si="2"/>
        <v>3811.5200000000004</v>
      </c>
      <c r="I9" s="20">
        <f t="shared" si="2"/>
        <v>4311.5200000000004</v>
      </c>
    </row>
    <row r="10" spans="1:9" x14ac:dyDescent="0.3">
      <c r="A10" t="s">
        <v>269</v>
      </c>
      <c r="B10" s="74"/>
      <c r="C10" s="74"/>
      <c r="D10" s="74"/>
      <c r="E10" s="74">
        <v>1500</v>
      </c>
      <c r="F10" s="74">
        <v>1500</v>
      </c>
      <c r="G10" s="74">
        <v>1500</v>
      </c>
      <c r="H10" s="74">
        <v>1500</v>
      </c>
      <c r="I10" s="74">
        <v>1500</v>
      </c>
    </row>
    <row r="11" spans="1:9" x14ac:dyDescent="0.3">
      <c r="A11" t="s">
        <v>270</v>
      </c>
      <c r="B11" s="74"/>
      <c r="C11" s="74"/>
      <c r="D11" s="74"/>
      <c r="E11" s="74">
        <v>1000</v>
      </c>
      <c r="F11" s="74">
        <v>1000</v>
      </c>
      <c r="G11" s="74">
        <v>1000</v>
      </c>
      <c r="H11" s="74">
        <v>1000</v>
      </c>
      <c r="I11" s="74">
        <v>1000</v>
      </c>
    </row>
    <row r="12" spans="1:9" s="2" customFormat="1" x14ac:dyDescent="0.3">
      <c r="A12" s="2" t="s">
        <v>197</v>
      </c>
      <c r="B12" s="75">
        <f>BS!B41</f>
        <v>1965.01</v>
      </c>
      <c r="C12" s="75">
        <f>BS!C41</f>
        <v>1753.3</v>
      </c>
      <c r="D12" s="75">
        <f>BS!D41</f>
        <v>2311.52</v>
      </c>
      <c r="E12" s="75">
        <f>E9+E10-E11</f>
        <v>2811.52</v>
      </c>
      <c r="F12" s="75">
        <f t="shared" ref="F12:I12" si="3">F9+F10-F11</f>
        <v>3311.5200000000004</v>
      </c>
      <c r="G12" s="75">
        <f t="shared" si="3"/>
        <v>3811.5200000000004</v>
      </c>
      <c r="H12" s="75">
        <f t="shared" si="3"/>
        <v>4311.5200000000004</v>
      </c>
      <c r="I12" s="75">
        <f t="shared" si="3"/>
        <v>4811.5200000000004</v>
      </c>
    </row>
    <row r="14" spans="1:9" s="2" customFormat="1" x14ac:dyDescent="0.3">
      <c r="A14" s="2" t="s">
        <v>206</v>
      </c>
      <c r="B14" s="75">
        <f t="shared" ref="B14:I14" si="4">B6+B12</f>
        <v>3390.96</v>
      </c>
      <c r="C14" s="75">
        <f t="shared" si="4"/>
        <v>3539.35</v>
      </c>
      <c r="D14" s="75">
        <f t="shared" si="4"/>
        <v>4354.0599999999995</v>
      </c>
      <c r="E14" s="75">
        <f t="shared" si="4"/>
        <v>5154.0599999999995</v>
      </c>
      <c r="F14" s="75">
        <f t="shared" si="4"/>
        <v>5954.06</v>
      </c>
      <c r="G14" s="75">
        <f t="shared" si="4"/>
        <v>6754.06</v>
      </c>
      <c r="H14" s="75">
        <f t="shared" si="4"/>
        <v>7554.06</v>
      </c>
      <c r="I14" s="75">
        <f t="shared" si="4"/>
        <v>8354.0600000000013</v>
      </c>
    </row>
    <row r="16" spans="1:9" x14ac:dyDescent="0.3">
      <c r="A16" t="s">
        <v>205</v>
      </c>
      <c r="B16" s="20">
        <v>134</v>
      </c>
      <c r="C16" s="20">
        <v>116</v>
      </c>
      <c r="D16" s="20">
        <v>205</v>
      </c>
      <c r="E16" s="20">
        <f t="shared" ref="E16:I16" si="5">E14*E18</f>
        <v>257.70299999999997</v>
      </c>
      <c r="F16" s="20">
        <f t="shared" si="5"/>
        <v>297.70300000000003</v>
      </c>
      <c r="G16" s="20">
        <f t="shared" si="5"/>
        <v>337.70300000000003</v>
      </c>
      <c r="H16" s="20">
        <f t="shared" si="5"/>
        <v>377.70300000000003</v>
      </c>
      <c r="I16" s="20">
        <f t="shared" si="5"/>
        <v>417.70300000000009</v>
      </c>
    </row>
    <row r="18" spans="1:9" x14ac:dyDescent="0.3">
      <c r="A18" t="s">
        <v>204</v>
      </c>
      <c r="B18" s="43">
        <f t="shared" ref="B18:C18" si="6">B16/B14</f>
        <v>3.9516832991247315E-2</v>
      </c>
      <c r="C18" s="43">
        <f t="shared" si="6"/>
        <v>3.2774379476457539E-2</v>
      </c>
      <c r="D18" s="43">
        <f>D16/D14</f>
        <v>4.7082493121362597E-2</v>
      </c>
      <c r="E18" s="43">
        <v>0.05</v>
      </c>
      <c r="F18" s="43">
        <v>0.05</v>
      </c>
      <c r="G18" s="43">
        <v>0.05</v>
      </c>
      <c r="H18" s="43">
        <v>0.05</v>
      </c>
      <c r="I18" s="4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5F2-DA65-407A-9E4C-EF41A1C860FF}">
  <dimension ref="A1:N30"/>
  <sheetViews>
    <sheetView zoomScale="85" zoomScaleNormal="85" workbookViewId="0">
      <selection activeCell="J15" sqref="J15"/>
    </sheetView>
  </sheetViews>
  <sheetFormatPr defaultRowHeight="14.4" x14ac:dyDescent="0.3"/>
  <cols>
    <col min="1" max="1" width="45" customWidth="1"/>
    <col min="2" max="5" width="11" customWidth="1"/>
    <col min="6" max="6" width="14.5546875" customWidth="1"/>
    <col min="7" max="12" width="15.109375" customWidth="1"/>
    <col min="13" max="14" width="12.44140625" customWidth="1"/>
  </cols>
  <sheetData>
    <row r="1" spans="1:7" x14ac:dyDescent="0.3">
      <c r="A1" s="105"/>
      <c r="B1" s="110" t="str">
        <f>'P&amp;L'!E1</f>
        <v>FY24E</v>
      </c>
      <c r="C1" s="110" t="str">
        <f>'P&amp;L'!F1</f>
        <v>FY25E</v>
      </c>
      <c r="D1" s="110" t="str">
        <f>'P&amp;L'!G1</f>
        <v>FY26E</v>
      </c>
      <c r="E1" s="110" t="str">
        <f>'P&amp;L'!H1</f>
        <v>FY27E</v>
      </c>
      <c r="F1" s="127" t="str">
        <f>'P&amp;L'!I1</f>
        <v>FY28E</v>
      </c>
      <c r="G1" s="31"/>
    </row>
    <row r="2" spans="1:7" x14ac:dyDescent="0.3">
      <c r="A2" s="33" t="s">
        <v>277</v>
      </c>
      <c r="B2" s="8"/>
      <c r="C2" s="5"/>
      <c r="D2" s="5"/>
      <c r="E2" s="5"/>
      <c r="F2" s="128"/>
      <c r="G2" s="31"/>
    </row>
    <row r="3" spans="1:7" x14ac:dyDescent="0.3">
      <c r="A3" s="31" t="s">
        <v>169</v>
      </c>
      <c r="B3" s="106">
        <f>'P&amp;L'!E46</f>
        <v>2773.260600000001</v>
      </c>
      <c r="C3" s="106">
        <f>'P&amp;L'!F46</f>
        <v>3590.6490225000025</v>
      </c>
      <c r="D3" s="106">
        <f>'P&amp;L'!G46</f>
        <v>4641.1896976650023</v>
      </c>
      <c r="E3" s="106">
        <f>'P&amp;L'!H46</f>
        <v>5984.1247689502497</v>
      </c>
      <c r="F3" s="129">
        <f>'P&amp;L'!I46</f>
        <v>7693.5853973940484</v>
      </c>
      <c r="G3" s="31"/>
    </row>
    <row r="4" spans="1:7" x14ac:dyDescent="0.3">
      <c r="A4" s="31" t="s">
        <v>225</v>
      </c>
      <c r="B4" s="107">
        <f>'Cash Flow'!E14</f>
        <v>639.48689999999988</v>
      </c>
      <c r="C4" s="107">
        <f>'Cash Flow'!F14</f>
        <v>715.98689999999988</v>
      </c>
      <c r="D4" s="107">
        <f>'Cash Flow'!G14</f>
        <v>792.48689999999999</v>
      </c>
      <c r="E4" s="107">
        <f>'Cash Flow'!H14</f>
        <v>868.98689999999999</v>
      </c>
      <c r="F4" s="130">
        <f>'Cash Flow'!I14</f>
        <v>945.48689999999999</v>
      </c>
      <c r="G4" s="31"/>
    </row>
    <row r="5" spans="1:7" x14ac:dyDescent="0.3">
      <c r="A5" s="31" t="s">
        <v>305</v>
      </c>
      <c r="B5" s="97">
        <f>'Cash Flow'!E8</f>
        <v>193.27724999999998</v>
      </c>
      <c r="C5" s="97">
        <f>'Cash Flow'!F8</f>
        <v>223.27725000000004</v>
      </c>
      <c r="D5" s="97">
        <f>'Cash Flow'!G8</f>
        <v>253.27725000000004</v>
      </c>
      <c r="E5" s="97">
        <f>'Cash Flow'!H8</f>
        <v>283.27725000000004</v>
      </c>
      <c r="F5" s="97">
        <f>'Cash Flow'!I8</f>
        <v>313.27725000000009</v>
      </c>
      <c r="G5" s="31"/>
    </row>
    <row r="6" spans="1:7" x14ac:dyDescent="0.3">
      <c r="A6" s="31" t="s">
        <v>316</v>
      </c>
      <c r="B6" s="97"/>
      <c r="C6" s="97"/>
      <c r="D6" s="97"/>
      <c r="E6" s="97"/>
      <c r="F6" s="131"/>
      <c r="G6" s="31"/>
    </row>
    <row r="7" spans="1:7" x14ac:dyDescent="0.3">
      <c r="A7" s="31" t="s">
        <v>315</v>
      </c>
      <c r="B7" s="97">
        <f>'Cash Flow'!E21+'Cash Flow'!E22+'Cash Flow'!E28</f>
        <v>-421.34086794520545</v>
      </c>
      <c r="C7" s="97">
        <f>'Cash Flow'!F21+'Cash Flow'!F22+'Cash Flow'!F28</f>
        <v>-556.26500830684927</v>
      </c>
      <c r="D7" s="97">
        <f>'Cash Flow'!G21+'Cash Flow'!G22+'Cash Flow'!G28</f>
        <v>-689.76861030049349</v>
      </c>
      <c r="E7" s="97">
        <f>'Cash Flow'!H21+'Cash Flow'!H22+'Cash Flow'!H28</f>
        <v>-855.31307677261248</v>
      </c>
      <c r="F7" s="97">
        <f>'Cash Flow'!I21+'Cash Flow'!I22+'Cash Flow'!I28</f>
        <v>-1060.5882151980377</v>
      </c>
      <c r="G7" s="31"/>
    </row>
    <row r="8" spans="1:7" x14ac:dyDescent="0.3">
      <c r="A8" s="31" t="s">
        <v>276</v>
      </c>
      <c r="B8" s="97">
        <f>'Cash Flow'!E41</f>
        <v>-1700</v>
      </c>
      <c r="C8" s="97">
        <f>'Cash Flow'!F41</f>
        <v>-1700</v>
      </c>
      <c r="D8" s="97">
        <f>'Cash Flow'!G41</f>
        <v>-1700</v>
      </c>
      <c r="E8" s="97">
        <f>'Cash Flow'!H41</f>
        <v>-1700</v>
      </c>
      <c r="F8" s="97">
        <f>'Cash Flow'!I41</f>
        <v>-1700</v>
      </c>
      <c r="G8" s="31"/>
    </row>
    <row r="9" spans="1:7" x14ac:dyDescent="0.3">
      <c r="A9" s="49" t="s">
        <v>277</v>
      </c>
      <c r="B9" s="109">
        <f>SUM(B3:B8)</f>
        <v>1484.6838820547955</v>
      </c>
      <c r="C9" s="109">
        <f t="shared" ref="C9:F9" si="0">SUM(C3:C8)</f>
        <v>2273.6481641931532</v>
      </c>
      <c r="D9" s="109">
        <f t="shared" si="0"/>
        <v>3297.1852373645088</v>
      </c>
      <c r="E9" s="109">
        <f t="shared" si="0"/>
        <v>4581.0758421776372</v>
      </c>
      <c r="F9" s="132">
        <f t="shared" si="0"/>
        <v>6191.7613321960116</v>
      </c>
      <c r="G9" s="31"/>
    </row>
    <row r="10" spans="1:7" x14ac:dyDescent="0.3">
      <c r="A10" s="2" t="s">
        <v>318</v>
      </c>
      <c r="F10" s="111">
        <f>F9*(1+B13)/(B14-B13)</f>
        <v>100049.31041013199</v>
      </c>
    </row>
    <row r="11" spans="1:7" x14ac:dyDescent="0.3">
      <c r="A11" s="49" t="s">
        <v>319</v>
      </c>
      <c r="B11" s="104">
        <f>B9+B10</f>
        <v>1484.6838820547955</v>
      </c>
      <c r="C11" s="104">
        <f t="shared" ref="C11:F11" si="1">C9+C10</f>
        <v>2273.6481641931532</v>
      </c>
      <c r="D11" s="104">
        <f t="shared" si="1"/>
        <v>3297.1852373645088</v>
      </c>
      <c r="E11" s="104">
        <f t="shared" si="1"/>
        <v>4581.0758421776372</v>
      </c>
      <c r="F11" s="104">
        <f t="shared" si="1"/>
        <v>106241.071742328</v>
      </c>
    </row>
    <row r="13" spans="1:7" x14ac:dyDescent="0.3">
      <c r="A13" s="45" t="s">
        <v>317</v>
      </c>
      <c r="B13" s="108">
        <v>0.06</v>
      </c>
    </row>
    <row r="14" spans="1:7" s="2" customFormat="1" x14ac:dyDescent="0.3">
      <c r="A14" s="45" t="s">
        <v>281</v>
      </c>
      <c r="B14" s="133">
        <f>WACC!D17</f>
        <v>0.12560032233328727</v>
      </c>
      <c r="C14"/>
      <c r="D14"/>
      <c r="E14"/>
      <c r="F14"/>
    </row>
    <row r="15" spans="1:7" s="2" customFormat="1" x14ac:dyDescent="0.3">
      <c r="A15"/>
      <c r="B15"/>
      <c r="C15"/>
      <c r="D15"/>
      <c r="E15"/>
      <c r="F15"/>
    </row>
    <row r="16" spans="1:7" s="2" customFormat="1" x14ac:dyDescent="0.3">
      <c r="A16"/>
      <c r="B16">
        <v>1</v>
      </c>
      <c r="C16">
        <v>2</v>
      </c>
      <c r="D16">
        <v>3</v>
      </c>
      <c r="E16">
        <v>4</v>
      </c>
      <c r="F16">
        <v>5</v>
      </c>
    </row>
    <row r="17" spans="1:14" s="2" customFormat="1" x14ac:dyDescent="0.3">
      <c r="A17" s="45" t="s">
        <v>320</v>
      </c>
      <c r="B17" s="103">
        <f t="shared" ref="B17:F17" si="2">B11/(1+$B$14)^B16</f>
        <v>1319.0151536001288</v>
      </c>
      <c r="C17" s="103">
        <f t="shared" si="2"/>
        <v>1794.5470241850578</v>
      </c>
      <c r="D17" s="103">
        <f t="shared" si="2"/>
        <v>2312.0153881699043</v>
      </c>
      <c r="E17" s="103">
        <f t="shared" si="2"/>
        <v>2853.8467408633323</v>
      </c>
      <c r="F17" s="103">
        <f t="shared" si="2"/>
        <v>58799.197549526223</v>
      </c>
    </row>
    <row r="18" spans="1:14" s="2" customFormat="1" x14ac:dyDescent="0.3">
      <c r="A18"/>
      <c r="B18"/>
      <c r="C18"/>
      <c r="D18"/>
      <c r="E18"/>
      <c r="F18"/>
    </row>
    <row r="19" spans="1:14" s="2" customFormat="1" x14ac:dyDescent="0.3">
      <c r="A19" s="2" t="s">
        <v>86</v>
      </c>
      <c r="B19" s="75">
        <f>SUM(B17:F17)</f>
        <v>67078.621856344645</v>
      </c>
      <c r="C19"/>
      <c r="D19"/>
      <c r="E19"/>
      <c r="F19"/>
      <c r="H19" s="45"/>
      <c r="I19" s="125" t="s">
        <v>328</v>
      </c>
      <c r="J19" s="125"/>
      <c r="K19" s="125"/>
      <c r="L19" s="125"/>
      <c r="M19" s="125"/>
      <c r="N19" s="125"/>
    </row>
    <row r="20" spans="1:14" s="2" customFormat="1" x14ac:dyDescent="0.3">
      <c r="A20" t="s">
        <v>321</v>
      </c>
      <c r="B20" s="20">
        <f>B19-B21+B22</f>
        <v>65344.061856344648</v>
      </c>
      <c r="C20"/>
      <c r="D20"/>
      <c r="E20"/>
      <c r="F20"/>
      <c r="H20" s="45"/>
      <c r="I20" s="125" t="s">
        <v>329</v>
      </c>
      <c r="J20" s="125"/>
      <c r="K20" s="125"/>
      <c r="L20" s="125"/>
      <c r="M20" s="125"/>
      <c r="N20" s="125"/>
    </row>
    <row r="21" spans="1:14" x14ac:dyDescent="0.3">
      <c r="A21" t="s">
        <v>322</v>
      </c>
      <c r="B21" s="21">
        <f>BS!E50</f>
        <v>2342.54</v>
      </c>
      <c r="H21" s="126" t="s">
        <v>281</v>
      </c>
      <c r="I21" s="112">
        <f>B26</f>
        <v>2196.8821226581713</v>
      </c>
      <c r="J21" s="113">
        <v>0.04</v>
      </c>
      <c r="K21" s="113">
        <v>0.05</v>
      </c>
      <c r="L21" s="113">
        <v>0.06</v>
      </c>
      <c r="M21" s="113">
        <v>7.0000000000000007E-2</v>
      </c>
      <c r="N21" s="113">
        <v>0.08</v>
      </c>
    </row>
    <row r="22" spans="1:14" x14ac:dyDescent="0.3">
      <c r="A22" t="s">
        <v>323</v>
      </c>
      <c r="B22" s="21">
        <f>'Cash Flow'!D58</f>
        <v>607.98</v>
      </c>
      <c r="H22" s="126"/>
      <c r="I22" s="113">
        <v>0.11</v>
      </c>
      <c r="J22" s="112">
        <f t="dataTable" ref="J22:N26" dt2D="1" dtr="1" r1="B13" r2="B14"/>
        <v>2190.160059079109</v>
      </c>
      <c r="K22" s="112">
        <v>2516.6528750796815</v>
      </c>
      <c r="L22" s="112">
        <v>2973.7428174804813</v>
      </c>
      <c r="M22" s="112">
        <v>3659.3777310816831</v>
      </c>
      <c r="N22" s="112">
        <v>4802.1025870836829</v>
      </c>
    </row>
    <row r="23" spans="1:14" x14ac:dyDescent="0.3">
      <c r="H23" s="126"/>
      <c r="I23" s="113">
        <v>0.12</v>
      </c>
      <c r="J23" s="112">
        <v>1877.6566750939612</v>
      </c>
      <c r="K23" s="112">
        <v>2113.8973733247299</v>
      </c>
      <c r="L23" s="112">
        <v>2428.8849709657547</v>
      </c>
      <c r="M23" s="112">
        <v>2869.8676076631896</v>
      </c>
      <c r="N23" s="112">
        <v>3531.3415627093409</v>
      </c>
    </row>
    <row r="24" spans="1:14" x14ac:dyDescent="0.3">
      <c r="A24" s="2" t="s">
        <v>324</v>
      </c>
      <c r="B24">
        <f>'P&amp;L'!D53</f>
        <v>29.744</v>
      </c>
      <c r="H24" s="126"/>
      <c r="I24" s="114">
        <v>0.12560032233328727</v>
      </c>
      <c r="J24" s="112">
        <v>1735.0048184353027</v>
      </c>
      <c r="K24" s="112">
        <v>1935.3961600348412</v>
      </c>
      <c r="L24" s="112">
        <v>2196.8821226581713</v>
      </c>
      <c r="M24" s="112">
        <v>2552.427238771978</v>
      </c>
      <c r="N24" s="112">
        <v>3063.9120929934093</v>
      </c>
    </row>
    <row r="25" spans="1:14" x14ac:dyDescent="0.3">
      <c r="A25" s="2"/>
      <c r="H25" s="126"/>
      <c r="I25" s="113">
        <v>0.13</v>
      </c>
      <c r="J25" s="112">
        <v>1635.6036833484845</v>
      </c>
      <c r="K25" s="112">
        <v>1812.9281102336836</v>
      </c>
      <c r="L25" s="112">
        <v>2040.9166590860825</v>
      </c>
      <c r="M25" s="112">
        <v>2344.9013908892812</v>
      </c>
      <c r="N25" s="112">
        <v>2770.4800154137588</v>
      </c>
    </row>
    <row r="26" spans="1:14" x14ac:dyDescent="0.3">
      <c r="A26" s="2" t="s">
        <v>325</v>
      </c>
      <c r="B26" s="4">
        <f>B20/B24</f>
        <v>2196.8821226581713</v>
      </c>
      <c r="H26" s="126"/>
      <c r="I26" s="113">
        <v>0.14000000000000001</v>
      </c>
      <c r="J26" s="112">
        <v>1442.824137975271</v>
      </c>
      <c r="K26" s="112">
        <v>1579.7712633330134</v>
      </c>
      <c r="L26" s="112">
        <v>1750.9551700301915</v>
      </c>
      <c r="M26" s="112">
        <v>1971.0487643551357</v>
      </c>
      <c r="N26" s="112">
        <v>2264.5068901217264</v>
      </c>
    </row>
    <row r="28" spans="1:14" x14ac:dyDescent="0.3">
      <c r="A28" s="2" t="s">
        <v>326</v>
      </c>
      <c r="B28">
        <v>2274.8000000000002</v>
      </c>
    </row>
    <row r="29" spans="1:14" x14ac:dyDescent="0.3">
      <c r="A29" s="2"/>
    </row>
    <row r="30" spans="1:14" x14ac:dyDescent="0.3">
      <c r="A30" s="2" t="s">
        <v>327</v>
      </c>
      <c r="B30" s="85">
        <f>B26/B28-1</f>
        <v>-3.4252627634002497E-2</v>
      </c>
    </row>
  </sheetData>
  <mergeCells count="3">
    <mergeCell ref="I19:N19"/>
    <mergeCell ref="I20:N20"/>
    <mergeCell ref="H21:H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79C3-42C5-443C-AAAB-C723036FFCB6}">
  <dimension ref="A1:H21"/>
  <sheetViews>
    <sheetView zoomScaleNormal="100" workbookViewId="0">
      <selection activeCell="C15" sqref="C15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16.5546875" customWidth="1"/>
    <col min="4" max="5" width="9.5546875" customWidth="1"/>
  </cols>
  <sheetData>
    <row r="1" spans="1:8" x14ac:dyDescent="0.3">
      <c r="C1" t="str">
        <f>'P&amp;L'!B1</f>
        <v>FY21</v>
      </c>
      <c r="D1" t="str">
        <f>'P&amp;L'!C1</f>
        <v>FY22</v>
      </c>
      <c r="E1" t="str">
        <f>'P&amp;L'!D1</f>
        <v>FY23</v>
      </c>
    </row>
    <row r="2" spans="1:8" x14ac:dyDescent="0.3">
      <c r="A2" t="s">
        <v>306</v>
      </c>
      <c r="C2" s="4">
        <f>(BS!B41+BS!B50)/BS!B37</f>
        <v>0.49456713561887983</v>
      </c>
      <c r="D2" s="4">
        <f>(BS!C41+BS!C50)/BS!C37</f>
        <v>0.41321672410733462</v>
      </c>
      <c r="E2" s="4">
        <f>(BS!D41+BS!D50)/BS!D37</f>
        <v>0.42161701550781677</v>
      </c>
      <c r="F2" s="1"/>
      <c r="G2" s="1"/>
      <c r="H2" s="1"/>
    </row>
    <row r="3" spans="1:8" x14ac:dyDescent="0.3">
      <c r="A3" t="s">
        <v>308</v>
      </c>
      <c r="B3" s="5" t="s">
        <v>314</v>
      </c>
      <c r="C3" s="100">
        <v>0.44</v>
      </c>
      <c r="D3" s="90"/>
    </row>
    <row r="5" spans="1:8" x14ac:dyDescent="0.3">
      <c r="A5" t="s">
        <v>307</v>
      </c>
      <c r="B5" s="43">
        <v>0.15</v>
      </c>
      <c r="C5" s="43"/>
    </row>
    <row r="6" spans="1:8" x14ac:dyDescent="0.3">
      <c r="A6" t="s">
        <v>309</v>
      </c>
      <c r="B6" s="85">
        <f>'P&amp;L'!D33/(BS!D46+BS!D54)</f>
        <v>9.1610496607432784E-2</v>
      </c>
      <c r="C6" s="58"/>
    </row>
    <row r="7" spans="1:8" x14ac:dyDescent="0.3">
      <c r="A7" t="s">
        <v>310</v>
      </c>
      <c r="B7" s="19">
        <f>'P&amp;L'!D45</f>
        <v>0.23429615543964388</v>
      </c>
      <c r="C7" s="19"/>
    </row>
    <row r="8" spans="1:8" x14ac:dyDescent="0.3">
      <c r="A8" t="s">
        <v>311</v>
      </c>
      <c r="B8" s="85">
        <f>B6*(1-B7)</f>
        <v>7.014650945439474E-2</v>
      </c>
      <c r="C8" s="86"/>
    </row>
    <row r="10" spans="1:8" x14ac:dyDescent="0.3">
      <c r="A10" t="s">
        <v>84</v>
      </c>
      <c r="B10" s="4">
        <f>C3</f>
        <v>0.44</v>
      </c>
    </row>
    <row r="11" spans="1:8" x14ac:dyDescent="0.3">
      <c r="A11" t="s">
        <v>99</v>
      </c>
      <c r="B11">
        <v>1</v>
      </c>
    </row>
    <row r="12" spans="1:8" x14ac:dyDescent="0.3">
      <c r="A12" s="2" t="s">
        <v>313</v>
      </c>
      <c r="B12" s="101">
        <f>SUM(B10:B11)</f>
        <v>1.44</v>
      </c>
    </row>
    <row r="14" spans="1:8" x14ac:dyDescent="0.3">
      <c r="A14" s="2" t="s">
        <v>312</v>
      </c>
      <c r="C14" s="1"/>
      <c r="D14" s="85"/>
    </row>
    <row r="15" spans="1:8" x14ac:dyDescent="0.3">
      <c r="A15" t="s">
        <v>84</v>
      </c>
      <c r="B15" s="85">
        <f>B10/B12</f>
        <v>0.30555555555555558</v>
      </c>
      <c r="C15" s="102">
        <f>B8</f>
        <v>7.014650945439474E-2</v>
      </c>
      <c r="D15" s="85">
        <f>B15*C15</f>
        <v>2.1433655666620616E-2</v>
      </c>
    </row>
    <row r="16" spans="1:8" s="2" customFormat="1" x14ac:dyDescent="0.3">
      <c r="A16" t="s">
        <v>99</v>
      </c>
      <c r="B16" s="102">
        <f>B11/B12</f>
        <v>0.69444444444444442</v>
      </c>
      <c r="C16" s="102">
        <f>B5</f>
        <v>0.15</v>
      </c>
      <c r="D16" s="102">
        <f>B16*C16</f>
        <v>0.10416666666666666</v>
      </c>
    </row>
    <row r="17" spans="1:5" x14ac:dyDescent="0.3">
      <c r="A17" s="2" t="s">
        <v>281</v>
      </c>
      <c r="D17" s="80">
        <f>SUM(D15:D16)</f>
        <v>0.12560032233328727</v>
      </c>
    </row>
    <row r="19" spans="1:5" x14ac:dyDescent="0.3">
      <c r="C19" s="19"/>
      <c r="D19" s="58"/>
      <c r="E19" s="19"/>
    </row>
    <row r="20" spans="1:5" x14ac:dyDescent="0.3">
      <c r="C20" s="19"/>
      <c r="D20" s="19"/>
      <c r="E20" s="19"/>
    </row>
    <row r="21" spans="1:5" s="2" customFormat="1" x14ac:dyDescent="0.3">
      <c r="E21" s="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CB47-94FB-4061-A0C2-4F5A82D35CD7}">
  <dimension ref="A1:AY59"/>
  <sheetViews>
    <sheetView zoomScale="115" zoomScaleNormal="115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AE13" sqref="AE13"/>
    </sheetView>
  </sheetViews>
  <sheetFormatPr defaultRowHeight="14.4" x14ac:dyDescent="0.3"/>
  <cols>
    <col min="1" max="1" width="35.109375" bestFit="1" customWidth="1"/>
    <col min="2" max="13" width="12" customWidth="1"/>
    <col min="14" max="25" width="12" hidden="1" customWidth="1"/>
    <col min="26" max="26" width="12.33203125" bestFit="1" customWidth="1"/>
    <col min="27" max="33" width="11.109375" bestFit="1" customWidth="1"/>
    <col min="34" max="34" width="10.109375" bestFit="1" customWidth="1"/>
    <col min="35" max="35" width="9.5546875" bestFit="1" customWidth="1"/>
    <col min="36" max="36" width="10.109375" bestFit="1" customWidth="1"/>
    <col min="37" max="37" width="11.109375" bestFit="1" customWidth="1"/>
    <col min="40" max="40" width="17.88671875" bestFit="1" customWidth="1"/>
    <col min="41" max="43" width="12.33203125" bestFit="1" customWidth="1"/>
  </cols>
  <sheetData>
    <row r="1" spans="1:46" x14ac:dyDescent="0.3">
      <c r="A1" s="57" t="s">
        <v>180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46" x14ac:dyDescent="0.3">
      <c r="A2" s="28" t="s">
        <v>134</v>
      </c>
      <c r="B2" s="73">
        <f>Sheet4!O1</f>
        <v>43556</v>
      </c>
      <c r="C2" s="73">
        <f>Sheet4!P1</f>
        <v>43586</v>
      </c>
      <c r="D2" s="73">
        <f>Sheet4!Q1</f>
        <v>43617</v>
      </c>
      <c r="E2" s="73">
        <f>Sheet4!R1</f>
        <v>43647</v>
      </c>
      <c r="F2" s="73">
        <f>Sheet4!S1</f>
        <v>43678</v>
      </c>
      <c r="G2" s="73">
        <f>Sheet4!T1</f>
        <v>43709</v>
      </c>
      <c r="H2" s="73">
        <f>Sheet4!U1</f>
        <v>43739</v>
      </c>
      <c r="I2" s="73">
        <f>Sheet4!V1</f>
        <v>43770</v>
      </c>
      <c r="J2" s="73">
        <f>Sheet4!W1</f>
        <v>43800</v>
      </c>
      <c r="K2" s="73">
        <f>Sheet4!X1</f>
        <v>43831</v>
      </c>
      <c r="L2" s="73">
        <f>Sheet4!Y1</f>
        <v>43862</v>
      </c>
      <c r="M2" s="73">
        <f>Sheet4!Z1</f>
        <v>43891</v>
      </c>
      <c r="N2" s="73">
        <f>Sheet4!AA1</f>
        <v>43922</v>
      </c>
      <c r="O2" s="73">
        <f>Sheet4!AB1</f>
        <v>43952</v>
      </c>
      <c r="P2" s="73">
        <f>Sheet4!AC1</f>
        <v>43983</v>
      </c>
      <c r="Q2" s="73">
        <f>Sheet4!AD1</f>
        <v>44013</v>
      </c>
      <c r="R2" s="73">
        <f>Sheet4!AE1</f>
        <v>44044</v>
      </c>
      <c r="S2" s="73">
        <f>Sheet4!AF1</f>
        <v>44075</v>
      </c>
      <c r="T2" s="73">
        <f>Sheet4!AG1</f>
        <v>44105</v>
      </c>
      <c r="U2" s="73">
        <f>Sheet4!AH1</f>
        <v>44136</v>
      </c>
      <c r="V2" s="73">
        <f>Sheet4!AI1</f>
        <v>44166</v>
      </c>
      <c r="W2" s="73">
        <f>Sheet4!AJ1</f>
        <v>44197</v>
      </c>
      <c r="X2" s="73">
        <f>Sheet4!AK1</f>
        <v>44228</v>
      </c>
      <c r="Y2" s="73">
        <f>Sheet4!AL1</f>
        <v>44256</v>
      </c>
      <c r="Z2" s="65" t="s">
        <v>140</v>
      </c>
      <c r="AA2" s="65" t="s">
        <v>208</v>
      </c>
      <c r="AB2" s="65" t="s">
        <v>141</v>
      </c>
      <c r="AC2" s="65" t="s">
        <v>142</v>
      </c>
      <c r="AD2" s="65" t="s">
        <v>143</v>
      </c>
      <c r="AE2" s="65" t="s">
        <v>144</v>
      </c>
      <c r="AF2" s="65" t="s">
        <v>145</v>
      </c>
      <c r="AG2" s="65" t="s">
        <v>146</v>
      </c>
      <c r="AH2" s="65" t="s">
        <v>147</v>
      </c>
      <c r="AI2" s="65" t="s">
        <v>148</v>
      </c>
      <c r="AJ2" s="65" t="s">
        <v>149</v>
      </c>
      <c r="AK2" s="65" t="s">
        <v>150</v>
      </c>
      <c r="AL2" s="30"/>
      <c r="AM2" s="28"/>
      <c r="AN2" s="51" t="s">
        <v>159</v>
      </c>
      <c r="AO2" s="51" t="s">
        <v>160</v>
      </c>
      <c r="AP2" s="51" t="s">
        <v>161</v>
      </c>
      <c r="AQ2" s="51" t="s">
        <v>162</v>
      </c>
      <c r="AR2" s="51"/>
      <c r="AS2" s="28"/>
      <c r="AT2" s="28" t="s">
        <v>158</v>
      </c>
    </row>
    <row r="3" spans="1:46" x14ac:dyDescent="0.3">
      <c r="A3" t="s">
        <v>120</v>
      </c>
      <c r="B3" s="25">
        <v>3407</v>
      </c>
      <c r="C3" s="25">
        <v>13423</v>
      </c>
      <c r="D3" s="25">
        <v>10012</v>
      </c>
      <c r="E3" s="25">
        <v>11922</v>
      </c>
      <c r="F3" s="25">
        <v>12724</v>
      </c>
      <c r="G3" s="25">
        <v>14191</v>
      </c>
      <c r="H3" s="25">
        <v>11807</v>
      </c>
      <c r="I3" s="25">
        <v>7143</v>
      </c>
      <c r="J3" s="25">
        <v>3608</v>
      </c>
      <c r="K3" s="25">
        <v>656</v>
      </c>
      <c r="L3" s="25">
        <v>2102</v>
      </c>
      <c r="M3" s="25">
        <v>3538</v>
      </c>
      <c r="N3" s="25">
        <f>Sheet4!AA24</f>
        <v>0</v>
      </c>
      <c r="O3" s="25">
        <f>Sheet4!AB24</f>
        <v>0</v>
      </c>
      <c r="P3" s="25">
        <f>Sheet4!AC24</f>
        <v>5701</v>
      </c>
      <c r="Q3" s="25">
        <f>Sheet4!AD24</f>
        <v>6201</v>
      </c>
      <c r="R3" s="25">
        <f>Sheet4!AE24</f>
        <v>8521</v>
      </c>
      <c r="S3" s="25">
        <f>Sheet4!AF24</f>
        <v>14029</v>
      </c>
      <c r="T3" s="25">
        <f>Sheet4!AG24</f>
        <v>23240</v>
      </c>
      <c r="U3" s="25">
        <f>Sheet4!AH24</f>
        <v>12412</v>
      </c>
      <c r="V3" s="25">
        <f>Sheet4!AI24</f>
        <v>3911</v>
      </c>
      <c r="W3" s="25">
        <f>Sheet4!AJ24</f>
        <v>6388</v>
      </c>
      <c r="X3" s="25">
        <f>Sheet4!AK24</f>
        <v>5899</v>
      </c>
      <c r="Y3" s="25">
        <f>Sheet4!AL24</f>
        <v>0</v>
      </c>
      <c r="Z3" s="25"/>
      <c r="AA3" s="76"/>
      <c r="AB3" s="25"/>
      <c r="AC3" s="25"/>
      <c r="AD3" s="25"/>
      <c r="AE3" s="25"/>
      <c r="AF3" s="25"/>
      <c r="AG3" s="25"/>
      <c r="AH3" s="25"/>
      <c r="AI3" s="25"/>
      <c r="AJ3" s="25"/>
      <c r="AK3" s="25"/>
      <c r="AN3" s="76">
        <f>Z3+AA3+AB3</f>
        <v>0</v>
      </c>
      <c r="AO3" s="76">
        <f>SUM(AC3:AE3)</f>
        <v>0</v>
      </c>
      <c r="AP3" s="76">
        <f>SUM(AF3:AH3)</f>
        <v>0</v>
      </c>
      <c r="AQ3" s="76">
        <f>SUM(AI3:AK3)</f>
        <v>0</v>
      </c>
    </row>
    <row r="4" spans="1:46" x14ac:dyDescent="0.3">
      <c r="A4" t="s">
        <v>193</v>
      </c>
      <c r="B4" s="25">
        <v>16301</v>
      </c>
      <c r="C4" s="25">
        <v>16752</v>
      </c>
      <c r="D4" s="25">
        <v>11292</v>
      </c>
      <c r="E4" s="25">
        <v>11158</v>
      </c>
      <c r="F4" s="25">
        <v>9735</v>
      </c>
      <c r="G4" s="25">
        <v>9982</v>
      </c>
      <c r="H4" s="25">
        <v>10371</v>
      </c>
      <c r="I4" s="25">
        <v>7744</v>
      </c>
      <c r="J4" s="25">
        <v>3388</v>
      </c>
      <c r="K4" s="25">
        <v>394</v>
      </c>
      <c r="L4" s="25">
        <v>7304</v>
      </c>
      <c r="M4" s="25">
        <v>9523</v>
      </c>
      <c r="N4" s="25">
        <f>Sheet4!AA23</f>
        <v>0</v>
      </c>
      <c r="O4" s="25">
        <f>Sheet4!AB23</f>
        <v>0</v>
      </c>
      <c r="P4" s="25">
        <f>Sheet4!AC23</f>
        <v>12475</v>
      </c>
      <c r="Q4" s="25">
        <f>Sheet4!AD23</f>
        <v>13184</v>
      </c>
      <c r="R4" s="25">
        <f>Sheet4!AE23</f>
        <v>13609</v>
      </c>
      <c r="S4" s="25">
        <f>Sheet4!AF23</f>
        <v>19644</v>
      </c>
      <c r="T4" s="25">
        <f>Sheet4!AG23</f>
        <v>26714</v>
      </c>
      <c r="U4" s="25">
        <f>Sheet4!AH23</f>
        <v>15515</v>
      </c>
      <c r="V4" s="25">
        <f>Sheet4!AI23</f>
        <v>5789</v>
      </c>
      <c r="W4" s="25">
        <f>Sheet4!AJ23</f>
        <v>9484</v>
      </c>
      <c r="X4" s="25">
        <f>Sheet4!AK23</f>
        <v>12031</v>
      </c>
      <c r="Y4" s="25">
        <f>Sheet4!AL23</f>
        <v>0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N4" s="76">
        <f>Z4+AA4+AB4</f>
        <v>0</v>
      </c>
      <c r="AO4" s="76">
        <f>SUM(AC4:AE4)</f>
        <v>0</v>
      </c>
      <c r="AP4" s="76">
        <f>SUM(AF4:AH4)</f>
        <v>0</v>
      </c>
      <c r="AQ4" s="76">
        <f>SUM(AI4:AK4)</f>
        <v>0</v>
      </c>
    </row>
    <row r="5" spans="1:46" x14ac:dyDescent="0.3">
      <c r="A5" t="s">
        <v>122</v>
      </c>
      <c r="B5" s="25">
        <v>10689</v>
      </c>
      <c r="C5" s="25">
        <v>9020</v>
      </c>
      <c r="D5" s="25">
        <v>8474</v>
      </c>
      <c r="E5" s="25">
        <v>17629</v>
      </c>
      <c r="F5" s="25">
        <v>16308</v>
      </c>
      <c r="G5" s="25">
        <v>20425</v>
      </c>
      <c r="H5" s="25">
        <v>16347</v>
      </c>
      <c r="I5" s="25">
        <v>18474</v>
      </c>
      <c r="J5" s="25">
        <v>11391</v>
      </c>
      <c r="K5" s="25">
        <v>4239</v>
      </c>
      <c r="L5" s="25">
        <v>8435</v>
      </c>
      <c r="M5" s="25">
        <v>13898</v>
      </c>
      <c r="N5" s="25">
        <f>Sheet4!AA26</f>
        <v>0</v>
      </c>
      <c r="O5" s="25">
        <f>Sheet4!AB26</f>
        <v>0</v>
      </c>
      <c r="P5" s="25">
        <f>Sheet4!AC26</f>
        <v>15012</v>
      </c>
      <c r="Q5" s="25">
        <f>Sheet4!AD26</f>
        <v>16290</v>
      </c>
      <c r="R5" s="25">
        <f>Sheet4!AE26</f>
        <v>16935</v>
      </c>
      <c r="S5" s="25">
        <f>Sheet4!AF26</f>
        <v>20068</v>
      </c>
      <c r="T5" s="25">
        <f>Sheet4!AG26</f>
        <v>23392</v>
      </c>
      <c r="U5" s="25">
        <f>Sheet4!AH26</f>
        <v>19707</v>
      </c>
      <c r="V5" s="25">
        <f>Sheet4!AI26</f>
        <v>19090</v>
      </c>
      <c r="W5" s="25">
        <f>Sheet4!AJ26</f>
        <v>18603</v>
      </c>
      <c r="X5" s="25">
        <f>Sheet4!AK26</f>
        <v>23106</v>
      </c>
      <c r="Y5" s="25">
        <f>Sheet4!AL26</f>
        <v>0</v>
      </c>
      <c r="AN5" s="76">
        <f t="shared" ref="AN5:AN17" si="0">Z5+AA5+AB5</f>
        <v>0</v>
      </c>
      <c r="AO5" s="76">
        <f t="shared" ref="AO5:AO17" si="1">SUM(AC5:AE5)</f>
        <v>0</v>
      </c>
      <c r="AP5" s="76">
        <f t="shared" ref="AP5:AP17" si="2">SUM(AF5:AH5)</f>
        <v>0</v>
      </c>
      <c r="AQ5" s="76">
        <f t="shared" ref="AQ5:AQ17" si="3">SUM(AI5:AK5)</f>
        <v>0</v>
      </c>
    </row>
    <row r="6" spans="1:46" x14ac:dyDescent="0.3">
      <c r="A6" t="s">
        <v>123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AN6" s="76">
        <f t="shared" si="0"/>
        <v>0</v>
      </c>
      <c r="AO6" s="76">
        <f t="shared" si="1"/>
        <v>0</v>
      </c>
      <c r="AP6" s="76">
        <f t="shared" si="2"/>
        <v>0</v>
      </c>
      <c r="AQ6" s="76">
        <f t="shared" si="3"/>
        <v>0</v>
      </c>
    </row>
    <row r="7" spans="1:46" x14ac:dyDescent="0.3">
      <c r="A7" t="s">
        <v>124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AN7" s="76">
        <f t="shared" si="0"/>
        <v>0</v>
      </c>
      <c r="AO7" s="76">
        <f t="shared" si="1"/>
        <v>0</v>
      </c>
      <c r="AP7" s="76">
        <f t="shared" si="2"/>
        <v>0</v>
      </c>
      <c r="AQ7" s="76">
        <f t="shared" si="3"/>
        <v>0</v>
      </c>
    </row>
    <row r="8" spans="1:46" x14ac:dyDescent="0.3">
      <c r="A8" t="s">
        <v>125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AN8" s="76">
        <f t="shared" si="0"/>
        <v>0</v>
      </c>
      <c r="AO8" s="76">
        <f t="shared" si="1"/>
        <v>0</v>
      </c>
      <c r="AP8" s="76">
        <f t="shared" si="2"/>
        <v>0</v>
      </c>
      <c r="AQ8" s="76">
        <f t="shared" si="3"/>
        <v>0</v>
      </c>
    </row>
    <row r="9" spans="1:46" x14ac:dyDescent="0.3">
      <c r="A9" t="s">
        <v>126</v>
      </c>
      <c r="B9" s="25">
        <v>182029</v>
      </c>
      <c r="C9" s="25">
        <v>183255</v>
      </c>
      <c r="D9" s="25">
        <v>193194</v>
      </c>
      <c r="E9" s="25">
        <v>169632</v>
      </c>
      <c r="F9" s="25">
        <v>160684</v>
      </c>
      <c r="G9" s="25">
        <v>195093</v>
      </c>
      <c r="H9" s="25">
        <v>185751</v>
      </c>
      <c r="I9" s="25">
        <v>159544</v>
      </c>
      <c r="J9" s="25">
        <v>138951</v>
      </c>
      <c r="K9" s="25">
        <v>191875</v>
      </c>
      <c r="L9" s="25">
        <v>175997</v>
      </c>
      <c r="M9" s="25">
        <v>114969</v>
      </c>
      <c r="N9" s="25">
        <f>Sheet4!AA5</f>
        <v>0</v>
      </c>
      <c r="O9" s="25">
        <f>Sheet4!AB5</f>
        <v>24830</v>
      </c>
      <c r="P9" s="25">
        <f>Sheet4!AC5</f>
        <v>129602</v>
      </c>
      <c r="Q9" s="25">
        <f>Sheet4!AD5</f>
        <v>154142</v>
      </c>
      <c r="R9" s="25">
        <f>Sheet4!AE5</f>
        <v>177168</v>
      </c>
      <c r="S9" s="25">
        <f>Sheet4!AF5</f>
        <v>216201</v>
      </c>
      <c r="T9" s="25">
        <f>Sheet4!AG5</f>
        <v>233061</v>
      </c>
      <c r="U9" s="25">
        <f>Sheet4!AH5</f>
        <v>179426</v>
      </c>
      <c r="V9" s="25">
        <f>Sheet4!AI5</f>
        <v>141168</v>
      </c>
      <c r="W9" s="25">
        <f>Sheet4!AJ5</f>
        <v>134860</v>
      </c>
      <c r="X9" s="25">
        <f>Sheet4!AK5</f>
        <v>126309</v>
      </c>
      <c r="Y9" s="25">
        <f>Sheet4!AL5</f>
        <v>0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N9" s="76">
        <f t="shared" si="0"/>
        <v>0</v>
      </c>
      <c r="AO9" s="76">
        <f t="shared" si="1"/>
        <v>0</v>
      </c>
      <c r="AP9" s="76">
        <f t="shared" si="2"/>
        <v>0</v>
      </c>
      <c r="AQ9" s="76">
        <f t="shared" si="3"/>
        <v>0</v>
      </c>
    </row>
    <row r="10" spans="1:46" x14ac:dyDescent="0.3">
      <c r="A10" t="s">
        <v>127</v>
      </c>
      <c r="B10" s="25">
        <v>59138</v>
      </c>
      <c r="C10" s="25">
        <v>69663</v>
      </c>
      <c r="D10" s="25">
        <v>56143</v>
      </c>
      <c r="E10" s="25">
        <v>43439</v>
      </c>
      <c r="F10" s="25">
        <v>41157</v>
      </c>
      <c r="G10" s="25">
        <v>40672</v>
      </c>
      <c r="H10" s="25">
        <v>45928</v>
      </c>
      <c r="I10" s="25">
        <v>39525</v>
      </c>
      <c r="J10" s="25">
        <v>26960</v>
      </c>
      <c r="K10" s="25">
        <v>26905</v>
      </c>
      <c r="L10" s="25">
        <v>34797</v>
      </c>
      <c r="M10" s="25">
        <v>17937</v>
      </c>
      <c r="N10" s="25">
        <f>Sheet4!AA7</f>
        <v>0</v>
      </c>
      <c r="O10" s="25">
        <f>Sheet4!AB7</f>
        <v>13436</v>
      </c>
      <c r="P10" s="25">
        <f>Sheet4!AC7</f>
        <v>39900</v>
      </c>
      <c r="Q10" s="25">
        <f>Sheet4!AD7</f>
        <v>44377</v>
      </c>
      <c r="R10" s="25">
        <f>Sheet4!AE7</f>
        <v>52471</v>
      </c>
      <c r="S10" s="25">
        <f>Sheet4!AF7</f>
        <v>63296</v>
      </c>
      <c r="T10" s="25">
        <f>Sheet4!AG7</f>
        <v>75540</v>
      </c>
      <c r="U10" s="25">
        <f>Sheet4!AH7</f>
        <v>53768</v>
      </c>
      <c r="V10" s="25">
        <f>Sheet4!AI7</f>
        <v>36624</v>
      </c>
      <c r="W10" s="25">
        <f>Sheet4!AJ7</f>
        <v>43162</v>
      </c>
      <c r="X10" s="25">
        <f>Sheet4!AK7</f>
        <v>34417</v>
      </c>
      <c r="Y10" s="25">
        <f>Sheet4!AL7</f>
        <v>0</v>
      </c>
      <c r="AN10" s="76">
        <f t="shared" si="0"/>
        <v>0</v>
      </c>
      <c r="AO10" s="76">
        <f t="shared" si="1"/>
        <v>0</v>
      </c>
      <c r="AP10" s="76">
        <f t="shared" si="2"/>
        <v>0</v>
      </c>
      <c r="AQ10" s="76">
        <f t="shared" si="3"/>
        <v>0</v>
      </c>
    </row>
    <row r="11" spans="1:46" x14ac:dyDescent="0.3">
      <c r="A11" t="s">
        <v>128</v>
      </c>
      <c r="B11" s="25">
        <v>223532</v>
      </c>
      <c r="C11" s="25">
        <v>199225</v>
      </c>
      <c r="D11" s="53">
        <v>177413</v>
      </c>
      <c r="E11" s="53">
        <v>130333</v>
      </c>
      <c r="F11" s="25">
        <v>170258</v>
      </c>
      <c r="G11" s="25">
        <v>192593</v>
      </c>
      <c r="H11" s="25">
        <v>222178</v>
      </c>
      <c r="I11" s="25">
        <v>181757</v>
      </c>
      <c r="J11" s="53">
        <v>162593</v>
      </c>
      <c r="K11" s="25">
        <v>188629</v>
      </c>
      <c r="L11" s="25">
        <v>184502</v>
      </c>
      <c r="M11" s="25">
        <v>101541</v>
      </c>
      <c r="N11" s="25">
        <f>Sheet4!AA9</f>
        <v>0</v>
      </c>
      <c r="O11" s="25">
        <f>Sheet4!AB9</f>
        <v>32879</v>
      </c>
      <c r="P11" s="25">
        <f>Sheet4!AC9</f>
        <v>127802</v>
      </c>
      <c r="Q11" s="25">
        <f>Sheet4!AD9</f>
        <v>159480</v>
      </c>
      <c r="R11" s="25">
        <f>Sheet4!AE9</f>
        <v>177811</v>
      </c>
      <c r="S11" s="25">
        <f>Sheet4!AF9</f>
        <v>215873</v>
      </c>
      <c r="T11" s="25">
        <f>Sheet4!AG9</f>
        <v>243407</v>
      </c>
      <c r="U11" s="25">
        <f>Sheet4!AH9</f>
        <v>197899</v>
      </c>
      <c r="V11" s="25">
        <f>Sheet4!AI9</f>
        <v>163845</v>
      </c>
      <c r="W11" s="25">
        <f>Sheet4!AJ9</f>
        <v>188157</v>
      </c>
      <c r="X11" s="25">
        <f>Sheet4!AK9</f>
        <v>213146</v>
      </c>
      <c r="Y11" s="25"/>
      <c r="AN11" s="76">
        <f t="shared" si="0"/>
        <v>0</v>
      </c>
      <c r="AO11" s="76">
        <f t="shared" si="1"/>
        <v>0</v>
      </c>
      <c r="AP11" s="76">
        <f t="shared" si="2"/>
        <v>0</v>
      </c>
      <c r="AQ11" s="76">
        <f t="shared" si="3"/>
        <v>0</v>
      </c>
    </row>
    <row r="12" spans="1:46" x14ac:dyDescent="0.3">
      <c r="A12" t="s">
        <v>129</v>
      </c>
      <c r="B12" s="25">
        <v>0</v>
      </c>
      <c r="C12" s="25">
        <v>0</v>
      </c>
      <c r="D12" s="25">
        <v>65330</v>
      </c>
      <c r="E12" s="25">
        <v>0</v>
      </c>
      <c r="F12" s="25">
        <v>0</v>
      </c>
      <c r="G12" s="25">
        <v>62016</v>
      </c>
      <c r="H12" s="25">
        <v>41959</v>
      </c>
      <c r="I12" s="25">
        <v>41532</v>
      </c>
      <c r="J12" s="25">
        <v>31133</v>
      </c>
      <c r="K12" s="25">
        <v>33949</v>
      </c>
      <c r="L12" s="25">
        <v>30694</v>
      </c>
      <c r="M12" s="25">
        <v>42195</v>
      </c>
      <c r="N12">
        <f>Sheet4!AA8</f>
        <v>0</v>
      </c>
      <c r="O12">
        <f>Sheet4!AB8</f>
        <v>9119</v>
      </c>
      <c r="P12">
        <f>Sheet4!AC8</f>
        <v>52464</v>
      </c>
      <c r="Q12">
        <f>Sheet4!AD8</f>
        <v>53933</v>
      </c>
      <c r="R12">
        <f>Sheet4!AE8</f>
        <v>54490</v>
      </c>
      <c r="S12">
        <f>Sheet4!AF8</f>
        <v>64377</v>
      </c>
      <c r="T12">
        <f>Sheet4!AG8</f>
        <v>72391</v>
      </c>
      <c r="U12">
        <f>Sheet4!AH8</f>
        <v>50499</v>
      </c>
      <c r="V12">
        <f>Sheet4!AI8</f>
        <v>31085</v>
      </c>
      <c r="W12">
        <f>Sheet4!AJ8</f>
        <v>37225</v>
      </c>
      <c r="X12">
        <f>Sheet4!AK8</f>
        <v>34276</v>
      </c>
      <c r="Y12">
        <f>Sheet4!AL8</f>
        <v>0</v>
      </c>
      <c r="AN12" s="76">
        <f t="shared" si="0"/>
        <v>0</v>
      </c>
      <c r="AO12" s="76">
        <f t="shared" si="1"/>
        <v>0</v>
      </c>
      <c r="AP12" s="76">
        <f t="shared" si="2"/>
        <v>0</v>
      </c>
      <c r="AQ12" s="76">
        <f t="shared" si="3"/>
        <v>0</v>
      </c>
    </row>
    <row r="13" spans="1:46" x14ac:dyDescent="0.3">
      <c r="A13" t="s">
        <v>130</v>
      </c>
      <c r="B13" s="25">
        <v>67829</v>
      </c>
      <c r="C13" s="25">
        <v>69379</v>
      </c>
      <c r="D13" s="25">
        <v>69878</v>
      </c>
      <c r="E13" s="25">
        <v>71160</v>
      </c>
      <c r="F13" s="25">
        <v>60706</v>
      </c>
      <c r="G13" s="25">
        <v>62016</v>
      </c>
      <c r="H13" s="25">
        <v>40896</v>
      </c>
      <c r="I13" s="25">
        <v>43370</v>
      </c>
      <c r="J13" s="25">
        <v>28606</v>
      </c>
      <c r="K13" s="25">
        <v>40318</v>
      </c>
      <c r="L13" s="25">
        <v>35752</v>
      </c>
      <c r="M13" s="25">
        <v>12713</v>
      </c>
      <c r="N13" s="25">
        <f>Sheet4!AA10</f>
        <v>0</v>
      </c>
      <c r="O13" s="25">
        <f>Sheet4!AB10</f>
        <v>22640</v>
      </c>
      <c r="P13" s="25">
        <f>Sheet4!AC10</f>
        <v>45252</v>
      </c>
      <c r="Q13" s="25">
        <f>Sheet4!AD10</f>
        <v>51225</v>
      </c>
      <c r="R13" s="25">
        <f>Sheet4!AE10</f>
        <v>54315</v>
      </c>
      <c r="S13" s="25">
        <f>Sheet4!AF10</f>
        <v>69477</v>
      </c>
      <c r="T13" s="25">
        <f>Sheet4!AG10</f>
        <v>78439</v>
      </c>
      <c r="U13" s="25">
        <f>Sheet4!AH10</f>
        <v>39899</v>
      </c>
      <c r="V13" s="25">
        <f>Sheet4!AI10</f>
        <v>19238</v>
      </c>
      <c r="W13" s="25">
        <f>Sheet4!AJ10</f>
        <v>22681</v>
      </c>
      <c r="X13" s="25">
        <f>Sheet4!AK10</f>
        <v>27375</v>
      </c>
      <c r="Y13" s="25"/>
      <c r="AN13" s="76">
        <f t="shared" si="0"/>
        <v>0</v>
      </c>
      <c r="AO13" s="76">
        <f t="shared" si="1"/>
        <v>0</v>
      </c>
      <c r="AP13" s="76">
        <f t="shared" si="2"/>
        <v>0</v>
      </c>
      <c r="AQ13" s="76">
        <f t="shared" si="3"/>
        <v>0</v>
      </c>
    </row>
    <row r="14" spans="1:46" x14ac:dyDescent="0.3">
      <c r="A14" t="s">
        <v>131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AN14" s="76">
        <f t="shared" si="0"/>
        <v>0</v>
      </c>
      <c r="AO14" s="76">
        <f t="shared" si="1"/>
        <v>0</v>
      </c>
      <c r="AP14" s="76">
        <f t="shared" si="2"/>
        <v>0</v>
      </c>
      <c r="AQ14" s="76">
        <f t="shared" si="3"/>
        <v>0</v>
      </c>
    </row>
    <row r="15" spans="1:46" x14ac:dyDescent="0.3">
      <c r="A15" t="s">
        <v>132</v>
      </c>
      <c r="B15">
        <v>0</v>
      </c>
      <c r="C15">
        <v>1026</v>
      </c>
      <c r="D15">
        <v>2674</v>
      </c>
      <c r="E15">
        <v>2530</v>
      </c>
      <c r="F15">
        <v>3734</v>
      </c>
      <c r="G15">
        <v>0</v>
      </c>
      <c r="H15">
        <v>2769</v>
      </c>
      <c r="I15">
        <v>2936</v>
      </c>
      <c r="J15">
        <v>2311</v>
      </c>
      <c r="K15">
        <v>139</v>
      </c>
      <c r="L15">
        <v>5</v>
      </c>
      <c r="M15">
        <v>20</v>
      </c>
      <c r="N15">
        <f>Sheet4!AA20</f>
        <v>0</v>
      </c>
      <c r="O15">
        <f>Sheet4!AB20</f>
        <v>0</v>
      </c>
      <c r="P15">
        <f>Sheet4!AC20</f>
        <v>0</v>
      </c>
      <c r="Q15">
        <f>Sheet4!AD20</f>
        <v>1475</v>
      </c>
      <c r="R15">
        <f>Sheet4!AE20</f>
        <v>1317</v>
      </c>
      <c r="S15">
        <f>Sheet4!AF20</f>
        <v>1398</v>
      </c>
      <c r="T15">
        <f>Sheet4!AG20</f>
        <v>2473</v>
      </c>
      <c r="U15">
        <f>Sheet4!AH20</f>
        <v>1372</v>
      </c>
      <c r="V15">
        <f>Sheet4!AI20</f>
        <v>1018</v>
      </c>
      <c r="W15">
        <f>Sheet4!AJ20</f>
        <v>1750</v>
      </c>
      <c r="X15">
        <f>Sheet4!AK20</f>
        <v>2861</v>
      </c>
      <c r="Y15">
        <f>Sheet4!AL20</f>
        <v>0</v>
      </c>
      <c r="AN15" s="76">
        <f t="shared" si="0"/>
        <v>0</v>
      </c>
      <c r="AO15" s="76">
        <f t="shared" si="1"/>
        <v>0</v>
      </c>
      <c r="AP15" s="76">
        <f t="shared" si="2"/>
        <v>0</v>
      </c>
      <c r="AQ15" s="76">
        <f t="shared" si="3"/>
        <v>0</v>
      </c>
    </row>
    <row r="16" spans="1:46" x14ac:dyDescent="0.3">
      <c r="A16" t="s">
        <v>133</v>
      </c>
      <c r="B16" s="25">
        <v>1633</v>
      </c>
      <c r="C16" s="25">
        <v>1536</v>
      </c>
      <c r="D16" s="25">
        <v>837</v>
      </c>
      <c r="E16" s="25">
        <v>426</v>
      </c>
      <c r="F16" s="25">
        <v>429</v>
      </c>
      <c r="G16" s="25">
        <v>530</v>
      </c>
      <c r="H16" s="25">
        <v>347</v>
      </c>
      <c r="I16" s="25">
        <v>1237</v>
      </c>
      <c r="J16" s="25">
        <v>653</v>
      </c>
      <c r="K16" s="25">
        <v>114</v>
      </c>
      <c r="L16" s="25">
        <v>605</v>
      </c>
      <c r="M16" s="25">
        <v>194</v>
      </c>
      <c r="N16" s="25">
        <f>Sheet4!AA19</f>
        <v>0</v>
      </c>
      <c r="O16" s="25">
        <f>Sheet4!AB19</f>
        <v>0</v>
      </c>
      <c r="P16" s="25">
        <f>Sheet4!AC19</f>
        <v>0</v>
      </c>
      <c r="Q16" s="25">
        <f>Sheet4!AD19</f>
        <v>0</v>
      </c>
      <c r="R16" s="25">
        <f>Sheet4!AE19</f>
        <v>0</v>
      </c>
      <c r="S16" s="25">
        <f>Sheet4!AF19</f>
        <v>12930</v>
      </c>
      <c r="T16" s="25">
        <f>Sheet4!AG19</f>
        <v>12480</v>
      </c>
      <c r="U16" s="25">
        <f>Sheet4!AH19</f>
        <v>5460</v>
      </c>
      <c r="V16" s="25">
        <f>Sheet4!AI19</f>
        <v>3265</v>
      </c>
      <c r="W16" s="25">
        <f>Sheet4!AJ19</f>
        <v>5443</v>
      </c>
      <c r="X16" s="25">
        <f>Sheet4!AK19</f>
        <v>4985</v>
      </c>
      <c r="Y16" s="25">
        <f>Sheet4!AL19</f>
        <v>0</v>
      </c>
      <c r="AN16" s="76">
        <f t="shared" si="0"/>
        <v>0</v>
      </c>
      <c r="AO16" s="76">
        <f t="shared" si="1"/>
        <v>0</v>
      </c>
      <c r="AP16" s="76">
        <f t="shared" si="2"/>
        <v>0</v>
      </c>
      <c r="AQ16" s="76">
        <f t="shared" si="3"/>
        <v>0</v>
      </c>
    </row>
    <row r="17" spans="1:51" x14ac:dyDescent="0.3">
      <c r="A17" s="2" t="s">
        <v>136</v>
      </c>
      <c r="B17" s="24">
        <f t="shared" ref="B17:I17" si="4">SUM(B3:B16)</f>
        <v>564558</v>
      </c>
      <c r="C17" s="24">
        <f t="shared" si="4"/>
        <v>563279</v>
      </c>
      <c r="D17" s="24">
        <f t="shared" si="4"/>
        <v>595247</v>
      </c>
      <c r="E17" s="24">
        <f t="shared" si="4"/>
        <v>458229</v>
      </c>
      <c r="F17" s="24">
        <f t="shared" si="4"/>
        <v>475735</v>
      </c>
      <c r="G17" s="24">
        <f t="shared" si="4"/>
        <v>597518</v>
      </c>
      <c r="H17" s="24">
        <f t="shared" si="4"/>
        <v>578353</v>
      </c>
      <c r="I17" s="24">
        <f t="shared" si="4"/>
        <v>503262</v>
      </c>
      <c r="J17" s="24">
        <f>SUM(J3:J16)</f>
        <v>409594</v>
      </c>
      <c r="K17" s="29">
        <v>488069</v>
      </c>
      <c r="L17" s="24">
        <f>SUM(L3:L16)</f>
        <v>480193</v>
      </c>
      <c r="M17" s="24">
        <f t="shared" ref="M17:Y17" si="5">SUM(M3:M16)</f>
        <v>316528</v>
      </c>
      <c r="N17" s="24">
        <f t="shared" si="5"/>
        <v>0</v>
      </c>
      <c r="O17" s="24">
        <f t="shared" si="5"/>
        <v>102904</v>
      </c>
      <c r="P17" s="24">
        <f t="shared" si="5"/>
        <v>428208</v>
      </c>
      <c r="Q17" s="24">
        <f t="shared" si="5"/>
        <v>500307</v>
      </c>
      <c r="R17" s="24">
        <f t="shared" si="5"/>
        <v>556637</v>
      </c>
      <c r="S17" s="24">
        <f t="shared" si="5"/>
        <v>697293</v>
      </c>
      <c r="T17" s="24">
        <f t="shared" si="5"/>
        <v>791137</v>
      </c>
      <c r="U17" s="24">
        <f t="shared" si="5"/>
        <v>575957</v>
      </c>
      <c r="V17" s="24">
        <f t="shared" si="5"/>
        <v>425033</v>
      </c>
      <c r="W17" s="24">
        <f t="shared" si="5"/>
        <v>467753</v>
      </c>
      <c r="X17" s="24">
        <f t="shared" si="5"/>
        <v>484405</v>
      </c>
      <c r="Y17" s="24">
        <f t="shared" si="5"/>
        <v>0</v>
      </c>
      <c r="AN17" s="76">
        <f t="shared" si="0"/>
        <v>0</v>
      </c>
      <c r="AO17" s="76">
        <f t="shared" si="1"/>
        <v>0</v>
      </c>
      <c r="AP17" s="76">
        <f t="shared" si="2"/>
        <v>0</v>
      </c>
      <c r="AQ17" s="76">
        <f t="shared" si="3"/>
        <v>0</v>
      </c>
    </row>
    <row r="19" spans="1:51" x14ac:dyDescent="0.3">
      <c r="A19" t="s">
        <v>138</v>
      </c>
      <c r="B19" s="25">
        <f t="shared" ref="B19:K19" si="6">B7+B8+B9+B11+B12+B10+B13+B14+B15+B16</f>
        <v>534161</v>
      </c>
      <c r="C19" s="25">
        <f t="shared" si="6"/>
        <v>524084</v>
      </c>
      <c r="D19" s="25">
        <f t="shared" si="6"/>
        <v>565469</v>
      </c>
      <c r="E19" s="25">
        <f t="shared" si="6"/>
        <v>417520</v>
      </c>
      <c r="F19" s="25">
        <f t="shared" si="6"/>
        <v>436968</v>
      </c>
      <c r="G19" s="25">
        <f t="shared" si="6"/>
        <v>552920</v>
      </c>
      <c r="H19" s="25">
        <f t="shared" si="6"/>
        <v>539828</v>
      </c>
      <c r="I19" s="25">
        <f t="shared" si="6"/>
        <v>469901</v>
      </c>
      <c r="J19" s="25">
        <f t="shared" si="6"/>
        <v>391207</v>
      </c>
      <c r="K19" s="25">
        <f t="shared" si="6"/>
        <v>481929</v>
      </c>
      <c r="L19" s="25">
        <f>L7+L8+L9+L11+L12+L10+L13+L14+L15+L16</f>
        <v>462352</v>
      </c>
      <c r="M19" s="25">
        <f t="shared" ref="M19:Y19" si="7">M7+M8+M9+M11+M12+M10+M13+M14+M15+M16</f>
        <v>289569</v>
      </c>
      <c r="N19" s="25">
        <f t="shared" si="7"/>
        <v>0</v>
      </c>
      <c r="O19" s="25">
        <f t="shared" si="7"/>
        <v>102904</v>
      </c>
      <c r="P19" s="25">
        <f t="shared" si="7"/>
        <v>395020</v>
      </c>
      <c r="Q19" s="25">
        <f t="shared" si="7"/>
        <v>464632</v>
      </c>
      <c r="R19" s="25">
        <f t="shared" si="7"/>
        <v>517572</v>
      </c>
      <c r="S19" s="25">
        <f t="shared" si="7"/>
        <v>643552</v>
      </c>
      <c r="T19" s="25">
        <f t="shared" si="7"/>
        <v>717791</v>
      </c>
      <c r="U19" s="25">
        <f t="shared" si="7"/>
        <v>528323</v>
      </c>
      <c r="V19" s="25">
        <f t="shared" si="7"/>
        <v>396243</v>
      </c>
      <c r="W19" s="25">
        <f t="shared" si="7"/>
        <v>433278</v>
      </c>
      <c r="X19" s="25">
        <f t="shared" si="7"/>
        <v>443369</v>
      </c>
      <c r="Y19" s="25">
        <f t="shared" si="7"/>
        <v>0</v>
      </c>
    </row>
    <row r="20" spans="1:51" x14ac:dyDescent="0.3">
      <c r="A20" t="s">
        <v>139</v>
      </c>
      <c r="B20" s="25">
        <f t="shared" ref="B20:K20" si="8">B3+B4+B5+B6</f>
        <v>30397</v>
      </c>
      <c r="C20" s="25">
        <f t="shared" si="8"/>
        <v>39195</v>
      </c>
      <c r="D20" s="25">
        <f t="shared" si="8"/>
        <v>29778</v>
      </c>
      <c r="E20" s="25">
        <f t="shared" si="8"/>
        <v>40709</v>
      </c>
      <c r="F20" s="25">
        <f t="shared" si="8"/>
        <v>38767</v>
      </c>
      <c r="G20" s="25">
        <f t="shared" si="8"/>
        <v>44598</v>
      </c>
      <c r="H20" s="25">
        <f t="shared" si="8"/>
        <v>38525</v>
      </c>
      <c r="I20" s="25">
        <f t="shared" si="8"/>
        <v>33361</v>
      </c>
      <c r="J20" s="25">
        <f t="shared" si="8"/>
        <v>18387</v>
      </c>
      <c r="K20" s="25">
        <f t="shared" si="8"/>
        <v>5289</v>
      </c>
      <c r="L20" s="25">
        <f>L3+L4+L5+L6</f>
        <v>17841</v>
      </c>
      <c r="M20" s="25">
        <f t="shared" ref="M20:Y20" si="9">M3+M4+M5+M6</f>
        <v>26959</v>
      </c>
      <c r="N20" s="25">
        <f t="shared" si="9"/>
        <v>0</v>
      </c>
      <c r="O20" s="25">
        <f t="shared" si="9"/>
        <v>0</v>
      </c>
      <c r="P20" s="25">
        <f t="shared" si="9"/>
        <v>33188</v>
      </c>
      <c r="Q20" s="25">
        <f t="shared" si="9"/>
        <v>35675</v>
      </c>
      <c r="R20" s="25">
        <f t="shared" si="9"/>
        <v>39065</v>
      </c>
      <c r="S20" s="25">
        <f t="shared" si="9"/>
        <v>53741</v>
      </c>
      <c r="T20" s="25">
        <f t="shared" si="9"/>
        <v>73346</v>
      </c>
      <c r="U20" s="25">
        <f t="shared" si="9"/>
        <v>47634</v>
      </c>
      <c r="V20" s="25">
        <f t="shared" si="9"/>
        <v>28790</v>
      </c>
      <c r="W20" s="25">
        <f t="shared" si="9"/>
        <v>34475</v>
      </c>
      <c r="X20" s="25">
        <f t="shared" si="9"/>
        <v>41036</v>
      </c>
      <c r="Y20" s="25">
        <f t="shared" si="9"/>
        <v>0</v>
      </c>
    </row>
    <row r="21" spans="1:51" x14ac:dyDescent="0.3"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3" spans="1:51" s="57" customFormat="1" x14ac:dyDescent="0.3">
      <c r="A23" s="57" t="s">
        <v>152</v>
      </c>
      <c r="AL23" s="64"/>
      <c r="AM23" s="64"/>
      <c r="AN23" s="57" t="s">
        <v>154</v>
      </c>
      <c r="AO23" s="57" t="s">
        <v>155</v>
      </c>
      <c r="AP23" s="57" t="s">
        <v>156</v>
      </c>
      <c r="AQ23" s="57" t="s">
        <v>157</v>
      </c>
      <c r="AR23" s="64"/>
      <c r="AS23" s="64"/>
      <c r="AT23" s="64"/>
      <c r="AU23" s="64"/>
      <c r="AV23" s="64"/>
      <c r="AW23" s="64"/>
      <c r="AY23" s="57" t="s">
        <v>116</v>
      </c>
    </row>
    <row r="24" spans="1:51" x14ac:dyDescent="0.3">
      <c r="A24" t="s">
        <v>120</v>
      </c>
      <c r="AN24" s="60">
        <v>65000</v>
      </c>
      <c r="AO24" s="60">
        <v>65000</v>
      </c>
      <c r="AP24" s="60">
        <f t="shared" ref="AP24:AQ37" si="10">AO24*1.02</f>
        <v>66300</v>
      </c>
      <c r="AQ24" s="60">
        <f t="shared" si="10"/>
        <v>67626</v>
      </c>
      <c r="AY24" s="20">
        <f t="shared" ref="AY24:AY37" si="11">AVERAGE(AN24:AQ24)</f>
        <v>65981.5</v>
      </c>
    </row>
    <row r="25" spans="1:51" x14ac:dyDescent="0.3">
      <c r="A25" t="s">
        <v>121</v>
      </c>
      <c r="AN25" s="60">
        <v>68000</v>
      </c>
      <c r="AO25" s="60">
        <v>68000</v>
      </c>
      <c r="AP25" s="60">
        <f t="shared" si="10"/>
        <v>69360</v>
      </c>
      <c r="AQ25" s="60">
        <f t="shared" si="10"/>
        <v>70747.199999999997</v>
      </c>
      <c r="AY25" s="20">
        <f t="shared" si="11"/>
        <v>69026.8</v>
      </c>
    </row>
    <row r="26" spans="1:51" x14ac:dyDescent="0.3">
      <c r="A26" t="s">
        <v>122</v>
      </c>
      <c r="AN26" s="60">
        <v>62000</v>
      </c>
      <c r="AO26" s="60">
        <v>62000</v>
      </c>
      <c r="AP26" s="60">
        <f t="shared" si="10"/>
        <v>63240</v>
      </c>
      <c r="AQ26" s="60">
        <f t="shared" si="10"/>
        <v>64504.800000000003</v>
      </c>
      <c r="AY26" s="20">
        <f t="shared" si="11"/>
        <v>62936.2</v>
      </c>
    </row>
    <row r="27" spans="1:51" x14ac:dyDescent="0.3">
      <c r="A27" t="s">
        <v>123</v>
      </c>
      <c r="AN27" s="60">
        <v>48000</v>
      </c>
      <c r="AO27" s="60">
        <v>48000</v>
      </c>
      <c r="AP27" s="60">
        <f t="shared" si="10"/>
        <v>48960</v>
      </c>
      <c r="AQ27" s="60">
        <f t="shared" si="10"/>
        <v>49939.200000000004</v>
      </c>
      <c r="AY27" s="20">
        <f t="shared" si="11"/>
        <v>48724.800000000003</v>
      </c>
    </row>
    <row r="28" spans="1:51" x14ac:dyDescent="0.3">
      <c r="A28" t="s">
        <v>124</v>
      </c>
      <c r="AN28" s="60">
        <v>66000</v>
      </c>
      <c r="AO28" s="60">
        <v>66000</v>
      </c>
      <c r="AP28" s="60">
        <f t="shared" si="10"/>
        <v>67320</v>
      </c>
      <c r="AQ28" s="60">
        <f t="shared" si="10"/>
        <v>68666.399999999994</v>
      </c>
      <c r="AY28" s="20">
        <f t="shared" si="11"/>
        <v>66996.600000000006</v>
      </c>
    </row>
    <row r="29" spans="1:51" x14ac:dyDescent="0.3">
      <c r="A29" t="s">
        <v>125</v>
      </c>
      <c r="AN29" s="60">
        <v>70000</v>
      </c>
      <c r="AO29" s="60">
        <v>70000</v>
      </c>
      <c r="AP29" s="60">
        <f t="shared" si="10"/>
        <v>71400</v>
      </c>
      <c r="AQ29" s="60">
        <f t="shared" si="10"/>
        <v>72828</v>
      </c>
      <c r="AY29" s="20">
        <f t="shared" si="11"/>
        <v>71057</v>
      </c>
    </row>
    <row r="30" spans="1:51" x14ac:dyDescent="0.3">
      <c r="A30" t="s">
        <v>126</v>
      </c>
      <c r="AN30" s="60">
        <v>50000</v>
      </c>
      <c r="AO30" s="60">
        <v>50000</v>
      </c>
      <c r="AP30" s="60">
        <f t="shared" si="10"/>
        <v>51000</v>
      </c>
      <c r="AQ30" s="60">
        <f t="shared" si="10"/>
        <v>52020</v>
      </c>
      <c r="AY30" s="20">
        <f t="shared" si="11"/>
        <v>50755</v>
      </c>
    </row>
    <row r="31" spans="1:51" x14ac:dyDescent="0.3">
      <c r="A31" t="s">
        <v>127</v>
      </c>
      <c r="AN31" s="60">
        <v>65000</v>
      </c>
      <c r="AO31" s="60">
        <v>65000</v>
      </c>
      <c r="AP31" s="60">
        <f t="shared" si="10"/>
        <v>66300</v>
      </c>
      <c r="AQ31" s="60">
        <f t="shared" si="10"/>
        <v>67626</v>
      </c>
      <c r="AY31" s="20">
        <f t="shared" si="11"/>
        <v>65981.5</v>
      </c>
    </row>
    <row r="32" spans="1:51" x14ac:dyDescent="0.3">
      <c r="A32" t="s">
        <v>128</v>
      </c>
      <c r="AN32" s="60">
        <v>60000</v>
      </c>
      <c r="AO32" s="60">
        <v>60000</v>
      </c>
      <c r="AP32" s="60">
        <f t="shared" si="10"/>
        <v>61200</v>
      </c>
      <c r="AQ32" s="60">
        <f t="shared" si="10"/>
        <v>62424</v>
      </c>
      <c r="AY32" s="20">
        <f t="shared" si="11"/>
        <v>60906</v>
      </c>
    </row>
    <row r="33" spans="1:51" x14ac:dyDescent="0.3">
      <c r="A33" t="s">
        <v>129</v>
      </c>
      <c r="AN33" s="60">
        <v>72000</v>
      </c>
      <c r="AO33" s="60">
        <v>72000</v>
      </c>
      <c r="AP33" s="60">
        <f t="shared" si="10"/>
        <v>73440</v>
      </c>
      <c r="AQ33" s="60">
        <f t="shared" si="10"/>
        <v>74908.800000000003</v>
      </c>
      <c r="AY33" s="20">
        <f t="shared" si="11"/>
        <v>73087.199999999997</v>
      </c>
    </row>
    <row r="34" spans="1:51" x14ac:dyDescent="0.3">
      <c r="A34" t="s">
        <v>130</v>
      </c>
      <c r="AN34" s="60">
        <v>70000</v>
      </c>
      <c r="AO34" s="60">
        <v>70000</v>
      </c>
      <c r="AP34" s="60">
        <f t="shared" si="10"/>
        <v>71400</v>
      </c>
      <c r="AQ34" s="60">
        <f t="shared" si="10"/>
        <v>72828</v>
      </c>
      <c r="AY34" s="20">
        <f t="shared" si="11"/>
        <v>71057</v>
      </c>
    </row>
    <row r="35" spans="1:51" x14ac:dyDescent="0.3">
      <c r="A35" t="s">
        <v>131</v>
      </c>
      <c r="AN35" s="60">
        <v>105000</v>
      </c>
      <c r="AO35" s="60">
        <v>105000</v>
      </c>
      <c r="AP35" s="60">
        <f t="shared" si="10"/>
        <v>107100</v>
      </c>
      <c r="AQ35" s="60">
        <f t="shared" si="10"/>
        <v>109242</v>
      </c>
      <c r="AY35" s="20">
        <f t="shared" si="11"/>
        <v>106585.5</v>
      </c>
    </row>
    <row r="36" spans="1:51" x14ac:dyDescent="0.3">
      <c r="A36" t="s">
        <v>132</v>
      </c>
      <c r="AN36" s="60">
        <v>100000</v>
      </c>
      <c r="AO36" s="60">
        <v>100000</v>
      </c>
      <c r="AP36" s="60">
        <f t="shared" si="10"/>
        <v>102000</v>
      </c>
      <c r="AQ36" s="60">
        <f t="shared" si="10"/>
        <v>104040</v>
      </c>
      <c r="AY36" s="20">
        <f t="shared" si="11"/>
        <v>101510</v>
      </c>
    </row>
    <row r="37" spans="1:51" x14ac:dyDescent="0.3">
      <c r="A37" t="s">
        <v>133</v>
      </c>
      <c r="AN37" s="60">
        <v>100000</v>
      </c>
      <c r="AO37" s="60">
        <v>100000</v>
      </c>
      <c r="AP37" s="60">
        <f t="shared" si="10"/>
        <v>102000</v>
      </c>
      <c r="AQ37" s="60">
        <f t="shared" si="10"/>
        <v>104040</v>
      </c>
      <c r="AY37" s="20">
        <f t="shared" si="11"/>
        <v>101510</v>
      </c>
    </row>
    <row r="42" spans="1:51" s="28" customFormat="1" x14ac:dyDescent="0.3">
      <c r="A42" s="28" t="s">
        <v>153</v>
      </c>
    </row>
    <row r="43" spans="1:51" x14ac:dyDescent="0.3">
      <c r="A43" t="s">
        <v>120</v>
      </c>
      <c r="AN43" s="76">
        <f>AN3*AN24/10^7</f>
        <v>0</v>
      </c>
      <c r="AO43" s="76">
        <f t="shared" ref="AO43:AQ43" si="12">AO3*AO24/10^7</f>
        <v>0</v>
      </c>
      <c r="AP43" s="76">
        <f t="shared" si="12"/>
        <v>0</v>
      </c>
      <c r="AQ43" s="76">
        <f t="shared" si="12"/>
        <v>0</v>
      </c>
    </row>
    <row r="44" spans="1:51" x14ac:dyDescent="0.3">
      <c r="A44" t="s">
        <v>121</v>
      </c>
      <c r="AN44" s="76">
        <f t="shared" ref="AN44:AQ44" si="13">AN4*AN25/10^7</f>
        <v>0</v>
      </c>
      <c r="AO44" s="76">
        <f t="shared" si="13"/>
        <v>0</v>
      </c>
      <c r="AP44" s="76">
        <f t="shared" si="13"/>
        <v>0</v>
      </c>
      <c r="AQ44" s="76">
        <f t="shared" si="13"/>
        <v>0</v>
      </c>
    </row>
    <row r="45" spans="1:51" x14ac:dyDescent="0.3">
      <c r="A45" t="s">
        <v>122</v>
      </c>
      <c r="AN45" s="76">
        <f t="shared" ref="AN45:AQ45" si="14">AN5*AN26/10^7</f>
        <v>0</v>
      </c>
      <c r="AO45" s="76">
        <f t="shared" si="14"/>
        <v>0</v>
      </c>
      <c r="AP45" s="76">
        <f t="shared" si="14"/>
        <v>0</v>
      </c>
      <c r="AQ45" s="76">
        <f t="shared" si="14"/>
        <v>0</v>
      </c>
    </row>
    <row r="46" spans="1:51" x14ac:dyDescent="0.3">
      <c r="A46" t="s">
        <v>123</v>
      </c>
      <c r="AN46" s="76">
        <f t="shared" ref="AN46:AQ46" si="15">AN6*AN27/10^7</f>
        <v>0</v>
      </c>
      <c r="AO46" s="76">
        <f t="shared" si="15"/>
        <v>0</v>
      </c>
      <c r="AP46" s="76">
        <f t="shared" si="15"/>
        <v>0</v>
      </c>
      <c r="AQ46" s="76">
        <f t="shared" si="15"/>
        <v>0</v>
      </c>
    </row>
    <row r="47" spans="1:51" x14ac:dyDescent="0.3">
      <c r="A47" t="s">
        <v>124</v>
      </c>
      <c r="AN47" s="76">
        <f t="shared" ref="AN47:AQ47" si="16">AN7*AN28/10^7</f>
        <v>0</v>
      </c>
      <c r="AO47" s="76">
        <f t="shared" si="16"/>
        <v>0</v>
      </c>
      <c r="AP47" s="76">
        <f t="shared" si="16"/>
        <v>0</v>
      </c>
      <c r="AQ47" s="76">
        <f t="shared" si="16"/>
        <v>0</v>
      </c>
    </row>
    <row r="48" spans="1:51" x14ac:dyDescent="0.3">
      <c r="A48" t="s">
        <v>125</v>
      </c>
      <c r="AN48" s="76">
        <f t="shared" ref="AN48:AQ48" si="17">AN8*AN29/10^7</f>
        <v>0</v>
      </c>
      <c r="AO48" s="76">
        <f t="shared" si="17"/>
        <v>0</v>
      </c>
      <c r="AP48" s="76">
        <f t="shared" si="17"/>
        <v>0</v>
      </c>
      <c r="AQ48" s="76">
        <f t="shared" si="17"/>
        <v>0</v>
      </c>
    </row>
    <row r="49" spans="1:46" x14ac:dyDescent="0.3">
      <c r="A49" t="s">
        <v>126</v>
      </c>
      <c r="AN49" s="76">
        <f t="shared" ref="AN49:AQ49" si="18">AN9*AN30/10^7</f>
        <v>0</v>
      </c>
      <c r="AO49" s="76">
        <f t="shared" si="18"/>
        <v>0</v>
      </c>
      <c r="AP49" s="76">
        <f t="shared" si="18"/>
        <v>0</v>
      </c>
      <c r="AQ49" s="76">
        <f t="shared" si="18"/>
        <v>0</v>
      </c>
    </row>
    <row r="50" spans="1:46" x14ac:dyDescent="0.3">
      <c r="A50" t="s">
        <v>127</v>
      </c>
      <c r="AN50" s="76">
        <f t="shared" ref="AN50:AQ50" si="19">AN10*AN31/10^7</f>
        <v>0</v>
      </c>
      <c r="AO50" s="76">
        <f t="shared" si="19"/>
        <v>0</v>
      </c>
      <c r="AP50" s="76">
        <f t="shared" si="19"/>
        <v>0</v>
      </c>
      <c r="AQ50" s="76">
        <f t="shared" si="19"/>
        <v>0</v>
      </c>
    </row>
    <row r="51" spans="1:46" x14ac:dyDescent="0.3">
      <c r="A51" t="s">
        <v>128</v>
      </c>
      <c r="AN51" s="76">
        <f t="shared" ref="AN51:AQ51" si="20">AN11*AN32/10^7</f>
        <v>0</v>
      </c>
      <c r="AO51" s="76">
        <f t="shared" si="20"/>
        <v>0</v>
      </c>
      <c r="AP51" s="76">
        <f t="shared" si="20"/>
        <v>0</v>
      </c>
      <c r="AQ51" s="76">
        <f t="shared" si="20"/>
        <v>0</v>
      </c>
    </row>
    <row r="52" spans="1:46" x14ac:dyDescent="0.3">
      <c r="A52" t="s">
        <v>129</v>
      </c>
      <c r="AN52" s="76">
        <f t="shared" ref="AN52:AQ52" si="21">AN12*AN33/10^7</f>
        <v>0</v>
      </c>
      <c r="AO52" s="76">
        <f t="shared" si="21"/>
        <v>0</v>
      </c>
      <c r="AP52" s="76">
        <f t="shared" si="21"/>
        <v>0</v>
      </c>
      <c r="AQ52" s="76">
        <f t="shared" si="21"/>
        <v>0</v>
      </c>
    </row>
    <row r="53" spans="1:46" x14ac:dyDescent="0.3">
      <c r="A53" t="s">
        <v>130</v>
      </c>
      <c r="AN53" s="76">
        <f t="shared" ref="AN53:AQ53" si="22">AN13*AN34/10^7</f>
        <v>0</v>
      </c>
      <c r="AO53" s="76">
        <f t="shared" si="22"/>
        <v>0</v>
      </c>
      <c r="AP53" s="76">
        <f t="shared" si="22"/>
        <v>0</v>
      </c>
      <c r="AQ53" s="76">
        <f t="shared" si="22"/>
        <v>0</v>
      </c>
    </row>
    <row r="54" spans="1:46" x14ac:dyDescent="0.3">
      <c r="A54" t="s">
        <v>131</v>
      </c>
      <c r="AN54" s="76">
        <f t="shared" ref="AN54:AQ54" si="23">AN14*AN35/10^7</f>
        <v>0</v>
      </c>
      <c r="AO54" s="76">
        <f t="shared" si="23"/>
        <v>0</v>
      </c>
      <c r="AP54" s="76">
        <f t="shared" si="23"/>
        <v>0</v>
      </c>
      <c r="AQ54" s="76">
        <f t="shared" si="23"/>
        <v>0</v>
      </c>
    </row>
    <row r="55" spans="1:46" x14ac:dyDescent="0.3">
      <c r="A55" t="s">
        <v>132</v>
      </c>
      <c r="AN55" s="76">
        <f t="shared" ref="AN55:AQ55" si="24">AN15*AN36/10^7</f>
        <v>0</v>
      </c>
      <c r="AO55" s="76">
        <f t="shared" si="24"/>
        <v>0</v>
      </c>
      <c r="AP55" s="76">
        <f t="shared" si="24"/>
        <v>0</v>
      </c>
      <c r="AQ55" s="76">
        <f t="shared" si="24"/>
        <v>0</v>
      </c>
    </row>
    <row r="56" spans="1:46" x14ac:dyDescent="0.3">
      <c r="A56" t="s">
        <v>133</v>
      </c>
      <c r="AN56" s="76">
        <f t="shared" ref="AN56:AQ56" si="25">AN16*AN37/10^7</f>
        <v>0</v>
      </c>
      <c r="AO56" s="76">
        <f t="shared" si="25"/>
        <v>0</v>
      </c>
      <c r="AP56" s="76">
        <f t="shared" si="25"/>
        <v>0</v>
      </c>
      <c r="AQ56" s="76">
        <f t="shared" si="25"/>
        <v>0</v>
      </c>
    </row>
    <row r="58" spans="1:4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N58" s="76"/>
      <c r="AO58" s="76"/>
      <c r="AP58" s="76"/>
      <c r="AQ58" s="76"/>
    </row>
    <row r="59" spans="1:46" x14ac:dyDescent="0.3">
      <c r="A59" s="2" t="s">
        <v>209</v>
      </c>
      <c r="AN59" s="76">
        <f>SUM(AN43:AN58)</f>
        <v>0</v>
      </c>
      <c r="AO59" s="76">
        <f t="shared" ref="AO59:AQ59" si="26">SUM(AO43:AO58)</f>
        <v>0</v>
      </c>
      <c r="AP59" s="76">
        <f t="shared" si="26"/>
        <v>0</v>
      </c>
      <c r="AQ59" s="76">
        <f t="shared" si="26"/>
        <v>0</v>
      </c>
      <c r="AT59" s="55">
        <f>AN59+AO59+AP59+AQ59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242F-7107-41A3-95EF-AD7E64EF7E46}">
  <dimension ref="A1:I98"/>
  <sheetViews>
    <sheetView zoomScale="130" zoomScaleNormal="130" workbookViewId="0">
      <selection activeCell="I6" sqref="I6"/>
    </sheetView>
  </sheetViews>
  <sheetFormatPr defaultRowHeight="14.4" x14ac:dyDescent="0.3"/>
  <cols>
    <col min="1" max="1" width="39.109375" bestFit="1" customWidth="1"/>
    <col min="9" max="9" width="9.109375" customWidth="1"/>
  </cols>
  <sheetData>
    <row r="1" spans="1:9" s="2" customFormat="1" x14ac:dyDescent="0.3">
      <c r="B1" s="2" t="str">
        <f>'Result PL'!B3</f>
        <v>Q1FY20</v>
      </c>
      <c r="C1" s="2" t="str">
        <f>'Result PL'!C3</f>
        <v>Q2FY20</v>
      </c>
      <c r="D1" s="2" t="str">
        <f>'Result PL'!D3</f>
        <v>Q3FY20</v>
      </c>
      <c r="E1" s="2" t="str">
        <f>'Result PL'!E3</f>
        <v>Q4FY20</v>
      </c>
      <c r="F1" s="2" t="str">
        <f>'Result PL'!F3</f>
        <v>Q1FY21</v>
      </c>
      <c r="G1" s="2" t="str">
        <f>'Result PL'!G3</f>
        <v>Q2FY21</v>
      </c>
      <c r="H1" s="2" t="str">
        <f>'Result PL'!H3</f>
        <v>Q3FY21</v>
      </c>
      <c r="I1" s="2" t="s">
        <v>178</v>
      </c>
    </row>
    <row r="2" spans="1:9" s="2" customFormat="1" x14ac:dyDescent="0.3">
      <c r="A2" s="2" t="s">
        <v>118</v>
      </c>
      <c r="B2" s="2">
        <f>'Result PL'!B4</f>
        <v>1843000</v>
      </c>
      <c r="C2" s="2">
        <f>'Result PL'!C4</f>
        <v>1691000</v>
      </c>
      <c r="D2" s="2">
        <f>'Result PL'!D4</f>
        <v>1541000</v>
      </c>
      <c r="E2" s="2">
        <f>'Result PL'!E4</f>
        <v>1323000</v>
      </c>
      <c r="F2" s="2">
        <f>'Result PL'!F4</f>
        <v>565000</v>
      </c>
      <c r="G2" s="2">
        <f>'Result PL'!G4</f>
        <v>1822000</v>
      </c>
      <c r="H2" s="2">
        <f>'Result PL'!H4</f>
        <v>1845000</v>
      </c>
      <c r="I2" s="2" t="e">
        <f>#REF!</f>
        <v>#REF!</v>
      </c>
    </row>
    <row r="3" spans="1:9" s="2" customFormat="1" x14ac:dyDescent="0.3">
      <c r="F3" s="19">
        <f>F2/B2-1</f>
        <v>-0.6934346174715138</v>
      </c>
      <c r="G3" s="19">
        <f>G2/C2-1</f>
        <v>7.7468953282081587E-2</v>
      </c>
      <c r="H3" s="19">
        <f>H2/D2-1</f>
        <v>0.19727449707981837</v>
      </c>
      <c r="I3" s="19" t="e">
        <f>I2/E2-1</f>
        <v>#REF!</v>
      </c>
    </row>
    <row r="4" spans="1:9" s="2" customFormat="1" x14ac:dyDescent="0.3">
      <c r="A4" s="2" t="s">
        <v>163</v>
      </c>
      <c r="B4" s="27">
        <f>'Result PL'!B6</f>
        <v>44416.549104720565</v>
      </c>
      <c r="C4" s="27">
        <f>'Result PL'!C6</f>
        <v>45302.188054405677</v>
      </c>
      <c r="D4" s="27">
        <f>'Result PL'!D6</f>
        <v>45910.837118754054</v>
      </c>
      <c r="E4" s="27">
        <f>'Result PL'!E6</f>
        <v>47875.20786092215</v>
      </c>
      <c r="F4" s="27">
        <f>'Result PL'!F6</f>
        <v>52550.088495575219</v>
      </c>
      <c r="G4" s="27">
        <f>'Result PL'!G6</f>
        <v>51994.072447859493</v>
      </c>
      <c r="H4" s="27">
        <f>'Result PL'!H6</f>
        <v>53263.143631436316</v>
      </c>
      <c r="I4" s="2">
        <f>E4*(1+I5)</f>
        <v>57450.249433106575</v>
      </c>
    </row>
    <row r="5" spans="1:9" s="42" customFormat="1" x14ac:dyDescent="0.3">
      <c r="A5" s="42" t="s">
        <v>44</v>
      </c>
      <c r="F5" s="41">
        <f>F4/B4-1</f>
        <v>0.18311957040332572</v>
      </c>
      <c r="G5" s="41">
        <f>G4/C4-1</f>
        <v>0.14771658237384022</v>
      </c>
      <c r="H5" s="41">
        <f>H4/D4-1</f>
        <v>0.1601431595260312</v>
      </c>
      <c r="I5" s="44">
        <v>0.2</v>
      </c>
    </row>
    <row r="6" spans="1:9" s="42" customFormat="1" x14ac:dyDescent="0.3">
      <c r="A6" s="42" t="s">
        <v>177</v>
      </c>
      <c r="C6" s="41">
        <f>C4/B4-1</f>
        <v>1.9939391229990555E-2</v>
      </c>
      <c r="D6" s="41">
        <f t="shared" ref="D6:I6" si="0">D4/C4-1</f>
        <v>1.3435312740687433E-2</v>
      </c>
      <c r="E6" s="41">
        <f t="shared" si="0"/>
        <v>4.278664614820693E-2</v>
      </c>
      <c r="F6" s="41">
        <f t="shared" si="0"/>
        <v>9.7647213318292625E-2</v>
      </c>
      <c r="G6" s="41">
        <f t="shared" si="0"/>
        <v>-1.0580687181193649E-2</v>
      </c>
      <c r="H6" s="41">
        <f t="shared" si="0"/>
        <v>2.4407997370266887E-2</v>
      </c>
      <c r="I6" s="41">
        <f t="shared" si="0"/>
        <v>7.8611691240826342E-2</v>
      </c>
    </row>
    <row r="7" spans="1:9" x14ac:dyDescent="0.3">
      <c r="A7" s="10" t="s">
        <v>43</v>
      </c>
      <c r="B7" s="1">
        <f>'Result PL'!B8-'Result PL'!B14</f>
        <v>8185.66</v>
      </c>
      <c r="C7" s="1">
        <f>'Result PL'!C8-'Result PL'!C14</f>
        <v>7660.27</v>
      </c>
      <c r="D7" s="1">
        <f>'Result PL'!D8-'Result PL'!D14</f>
        <v>7074.53</v>
      </c>
      <c r="E7" s="1">
        <f>'Result PL'!E8-'Result PL'!E14</f>
        <v>6333.51</v>
      </c>
      <c r="F7" s="1">
        <f>'Result PL'!F8-'Result PL'!F14</f>
        <v>2969.08</v>
      </c>
      <c r="G7" s="1">
        <f>'Result PL'!G8-'Result PL'!G14</f>
        <v>9473.32</v>
      </c>
      <c r="H7" s="1">
        <f>'Result PL'!H8-'Result PL'!H14</f>
        <v>9827.0499999999993</v>
      </c>
      <c r="I7" t="e">
        <f>I2*I4/10^7</f>
        <v>#REF!</v>
      </c>
    </row>
    <row r="8" spans="1:9" x14ac:dyDescent="0.3">
      <c r="A8" s="11" t="s">
        <v>44</v>
      </c>
      <c r="F8" s="19">
        <f>F7/B7-1</f>
        <v>-0.63728276033942288</v>
      </c>
      <c r="G8" s="19">
        <f>G7/C7-1</f>
        <v>0.23668225793607789</v>
      </c>
      <c r="H8" s="19">
        <f>H7/D7-1</f>
        <v>0.38907460990341391</v>
      </c>
      <c r="I8" s="19" t="e">
        <f>I7/E7-1</f>
        <v>#REF!</v>
      </c>
    </row>
    <row r="9" spans="1:9" x14ac:dyDescent="0.3">
      <c r="A9" s="11"/>
      <c r="F9" s="19">
        <f>F7/E7-1</f>
        <v>-0.531210971483427</v>
      </c>
      <c r="G9" s="19">
        <f>G7/F7-1</f>
        <v>2.190658385762593</v>
      </c>
      <c r="H9" s="19">
        <f>H7/G7-1</f>
        <v>3.7339602166927666E-2</v>
      </c>
      <c r="I9" s="19" t="e">
        <f>I7/H7-1</f>
        <v>#REF!</v>
      </c>
    </row>
    <row r="10" spans="1:9" x14ac:dyDescent="0.3">
      <c r="A10" s="12" t="s">
        <v>45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</row>
    <row r="11" spans="1:9" x14ac:dyDescent="0.3">
      <c r="A11" s="11" t="s">
        <v>44</v>
      </c>
    </row>
    <row r="12" spans="1:9" s="2" customFormat="1" x14ac:dyDescent="0.3">
      <c r="A12" s="10" t="s">
        <v>46</v>
      </c>
      <c r="B12" s="3">
        <f t="shared" ref="B12:G12" si="1">B7+B10</f>
        <v>8185.66</v>
      </c>
      <c r="C12" s="3">
        <f t="shared" si="1"/>
        <v>7660.27</v>
      </c>
      <c r="D12" s="3">
        <f t="shared" si="1"/>
        <v>7074.53</v>
      </c>
      <c r="E12" s="3">
        <f t="shared" si="1"/>
        <v>6333.51</v>
      </c>
      <c r="F12" s="3">
        <f t="shared" si="1"/>
        <v>2969.08</v>
      </c>
      <c r="G12" s="3">
        <f t="shared" si="1"/>
        <v>9473.32</v>
      </c>
      <c r="H12" s="3">
        <f>H7+H10</f>
        <v>9827.0499999999993</v>
      </c>
      <c r="I12" s="3" t="e">
        <f>I7+I10</f>
        <v>#REF!</v>
      </c>
    </row>
    <row r="13" spans="1:9" x14ac:dyDescent="0.3">
      <c r="A13" s="11" t="s">
        <v>44</v>
      </c>
    </row>
    <row r="14" spans="1:9" x14ac:dyDescent="0.3">
      <c r="A14" s="10" t="s">
        <v>47</v>
      </c>
    </row>
    <row r="15" spans="1:9" x14ac:dyDescent="0.3">
      <c r="A15" s="12" t="s">
        <v>48</v>
      </c>
      <c r="B15">
        <f>'Result PL'!B12</f>
        <v>5711.18</v>
      </c>
      <c r="C15">
        <f>'Result PL'!C12</f>
        <v>5410.12</v>
      </c>
      <c r="D15">
        <f>'Result PL'!D12</f>
        <v>4785.79</v>
      </c>
      <c r="E15">
        <f>'Result PL'!E12</f>
        <v>4097.2</v>
      </c>
      <c r="F15">
        <f>'Result PL'!F12</f>
        <v>1895.78</v>
      </c>
      <c r="G15">
        <f>'Result PL'!G12</f>
        <v>6692.38</v>
      </c>
      <c r="H15">
        <f>'Result PL'!H12</f>
        <v>7020.93</v>
      </c>
    </row>
    <row r="16" spans="1:9" x14ac:dyDescent="0.3">
      <c r="A16" s="13" t="s">
        <v>49</v>
      </c>
      <c r="B16">
        <f>'Result PL'!B13</f>
        <v>-25.92</v>
      </c>
      <c r="C16">
        <f>'Result PL'!C13</f>
        <v>-265.37</v>
      </c>
      <c r="D16">
        <f>'Result PL'!D13</f>
        <v>-103.4</v>
      </c>
      <c r="E16">
        <f>'Result PL'!E13</f>
        <v>221.35</v>
      </c>
      <c r="F16">
        <f>'Result PL'!F13</f>
        <v>165.51</v>
      </c>
      <c r="G16">
        <f>'Result PL'!G13</f>
        <v>26.34</v>
      </c>
      <c r="H16">
        <f>'Result PL'!H13</f>
        <v>-131.4</v>
      </c>
    </row>
    <row r="17" spans="1:9" x14ac:dyDescent="0.3">
      <c r="A17" s="13" t="s">
        <v>50</v>
      </c>
    </row>
    <row r="18" spans="1:9" s="2" customFormat="1" x14ac:dyDescent="0.3">
      <c r="A18" s="10" t="s">
        <v>51</v>
      </c>
      <c r="B18" s="2">
        <f>SUM(B15:B17)</f>
        <v>5685.26</v>
      </c>
      <c r="C18" s="2">
        <f t="shared" ref="C18:H18" si="2">SUM(C15:C17)</f>
        <v>5144.75</v>
      </c>
      <c r="D18" s="2">
        <f t="shared" si="2"/>
        <v>4682.3900000000003</v>
      </c>
      <c r="E18" s="2">
        <f t="shared" si="2"/>
        <v>4318.55</v>
      </c>
      <c r="F18" s="2">
        <f t="shared" si="2"/>
        <v>2061.29</v>
      </c>
      <c r="G18" s="2">
        <f t="shared" si="2"/>
        <v>6718.72</v>
      </c>
      <c r="H18" s="2">
        <f t="shared" si="2"/>
        <v>6889.5300000000007</v>
      </c>
      <c r="I18" s="2" t="e">
        <f>I12*I19</f>
        <v>#REF!</v>
      </c>
    </row>
    <row r="19" spans="1:9" x14ac:dyDescent="0.3">
      <c r="A19" s="11" t="s">
        <v>52</v>
      </c>
      <c r="B19" s="19">
        <f>B18/B12</f>
        <v>0.6945389864714635</v>
      </c>
      <c r="C19" s="19">
        <f t="shared" ref="C19:H19" si="3">C18/C12</f>
        <v>0.67161470809775625</v>
      </c>
      <c r="D19" s="19">
        <f t="shared" si="3"/>
        <v>0.66186587660240337</v>
      </c>
      <c r="E19" s="19">
        <f t="shared" si="3"/>
        <v>0.68185729555965013</v>
      </c>
      <c r="F19" s="19">
        <f t="shared" si="3"/>
        <v>0.69425209155698064</v>
      </c>
      <c r="G19" s="19">
        <f t="shared" si="3"/>
        <v>0.7092254880020944</v>
      </c>
      <c r="H19" s="19">
        <f t="shared" si="3"/>
        <v>0.70107814654448697</v>
      </c>
      <c r="I19" s="43">
        <v>0.7</v>
      </c>
    </row>
    <row r="20" spans="1:9" x14ac:dyDescent="0.3">
      <c r="A20" s="11"/>
    </row>
    <row r="21" spans="1:9" s="2" customFormat="1" x14ac:dyDescent="0.3">
      <c r="A21" s="14" t="s">
        <v>53</v>
      </c>
      <c r="B21" s="3">
        <f>B12-B18</f>
        <v>2500.3999999999996</v>
      </c>
      <c r="C21" s="3">
        <f t="shared" ref="C21:I21" si="4">C12-C18</f>
        <v>2515.5200000000004</v>
      </c>
      <c r="D21" s="3">
        <f t="shared" si="4"/>
        <v>2392.1399999999994</v>
      </c>
      <c r="E21" s="3">
        <f t="shared" si="4"/>
        <v>2014.96</v>
      </c>
      <c r="F21" s="3">
        <f t="shared" si="4"/>
        <v>907.79</v>
      </c>
      <c r="G21" s="3">
        <f t="shared" si="4"/>
        <v>2754.5999999999995</v>
      </c>
      <c r="H21" s="3">
        <f t="shared" si="4"/>
        <v>2937.5199999999986</v>
      </c>
      <c r="I21" s="3" t="e">
        <f t="shared" si="4"/>
        <v>#REF!</v>
      </c>
    </row>
    <row r="22" spans="1:9" x14ac:dyDescent="0.3">
      <c r="A22" s="11" t="s">
        <v>54</v>
      </c>
      <c r="B22" s="19">
        <f>B21/B12</f>
        <v>0.30546101352853644</v>
      </c>
      <c r="C22" s="19">
        <f t="shared" ref="C22:I22" si="5">C21/C12</f>
        <v>0.32838529190224369</v>
      </c>
      <c r="D22" s="19">
        <f t="shared" si="5"/>
        <v>0.33813412339759669</v>
      </c>
      <c r="E22" s="19">
        <f t="shared" si="5"/>
        <v>0.31814270444034981</v>
      </c>
      <c r="F22" s="19">
        <f t="shared" si="5"/>
        <v>0.30574790844301936</v>
      </c>
      <c r="G22" s="19">
        <f t="shared" si="5"/>
        <v>0.29077451199790566</v>
      </c>
      <c r="H22" s="19">
        <f t="shared" si="5"/>
        <v>0.29892185345551298</v>
      </c>
      <c r="I22" s="19" t="e">
        <f t="shared" si="5"/>
        <v>#REF!</v>
      </c>
    </row>
    <row r="23" spans="1:9" x14ac:dyDescent="0.3">
      <c r="A23" s="11"/>
    </row>
    <row r="24" spans="1:9" x14ac:dyDescent="0.3">
      <c r="A24" s="12" t="s">
        <v>55</v>
      </c>
      <c r="B24">
        <f>'Result PL'!B15</f>
        <v>482.69</v>
      </c>
      <c r="C24">
        <f>'Result PL'!C15</f>
        <v>477.83</v>
      </c>
      <c r="D24">
        <f>'Result PL'!D15</f>
        <v>481.14</v>
      </c>
      <c r="E24">
        <f>'Result PL'!E15</f>
        <v>447.66</v>
      </c>
      <c r="F24">
        <f>'Result PL'!F15</f>
        <v>392.78</v>
      </c>
      <c r="G24">
        <f>'Result PL'!G15</f>
        <v>523.98</v>
      </c>
      <c r="H24">
        <f>'Result PL'!H15</f>
        <v>531.55999999999995</v>
      </c>
      <c r="I24" s="20" t="e">
        <f>I25*I12</f>
        <v>#REF!</v>
      </c>
    </row>
    <row r="25" spans="1:9" x14ac:dyDescent="0.3">
      <c r="A25" s="11" t="s">
        <v>52</v>
      </c>
      <c r="B25" s="19">
        <f>B24/B12</f>
        <v>5.8967755807106573E-2</v>
      </c>
      <c r="C25" s="19">
        <f t="shared" ref="C25:H25" si="6">C24/C12</f>
        <v>6.2377696869692578E-2</v>
      </c>
      <c r="D25" s="19">
        <f t="shared" si="6"/>
        <v>6.8010171700452191E-2</v>
      </c>
      <c r="E25" s="19">
        <f t="shared" si="6"/>
        <v>7.0681186261646392E-2</v>
      </c>
      <c r="F25" s="19">
        <f t="shared" si="6"/>
        <v>0.13229013701213843</v>
      </c>
      <c r="G25" s="19">
        <f t="shared" si="6"/>
        <v>5.5311126405526261E-2</v>
      </c>
      <c r="H25" s="19">
        <f t="shared" si="6"/>
        <v>5.4091512712360269E-2</v>
      </c>
      <c r="I25" s="43">
        <v>0.05</v>
      </c>
    </row>
    <row r="26" spans="1:9" x14ac:dyDescent="0.3">
      <c r="A26" s="12" t="s">
        <v>56</v>
      </c>
      <c r="B26">
        <f>'Result PL'!B18</f>
        <v>844.59</v>
      </c>
      <c r="C26">
        <f>'Result PL'!C18</f>
        <v>893.42</v>
      </c>
      <c r="D26">
        <f>'Result PL'!D18</f>
        <v>853.38</v>
      </c>
      <c r="E26">
        <f>'Result PL'!E18</f>
        <v>881.39</v>
      </c>
      <c r="F26">
        <f>'Result PL'!F18</f>
        <v>397.95</v>
      </c>
      <c r="G26">
        <f>'Result PL'!G18</f>
        <v>922.36</v>
      </c>
      <c r="H26">
        <f>'Result PL'!H18</f>
        <v>958.41</v>
      </c>
      <c r="I26" s="21" t="e">
        <f>I27*I12</f>
        <v>#REF!</v>
      </c>
    </row>
    <row r="27" spans="1:9" x14ac:dyDescent="0.3">
      <c r="A27" s="11" t="s">
        <v>52</v>
      </c>
      <c r="B27" s="19">
        <f>B26/B12</f>
        <v>0.10317921829150002</v>
      </c>
      <c r="C27" s="19">
        <f t="shared" ref="C27:H27" si="7">C26/C12</f>
        <v>0.11663035376037659</v>
      </c>
      <c r="D27" s="19">
        <f t="shared" si="7"/>
        <v>0.12062709466211891</v>
      </c>
      <c r="E27" s="19">
        <f t="shared" si="7"/>
        <v>0.13916296019111046</v>
      </c>
      <c r="F27" s="19">
        <f t="shared" si="7"/>
        <v>0.13403141713931588</v>
      </c>
      <c r="G27" s="19">
        <f t="shared" si="7"/>
        <v>9.7363965325778082E-2</v>
      </c>
      <c r="H27" s="19">
        <f t="shared" si="7"/>
        <v>9.7527742303132686E-2</v>
      </c>
      <c r="I27" s="43">
        <v>0.1</v>
      </c>
    </row>
    <row r="28" spans="1:9" s="2" customFormat="1" x14ac:dyDescent="0.3">
      <c r="A28" s="10" t="s">
        <v>57</v>
      </c>
      <c r="B28" s="3">
        <f>B18+B24+B26</f>
        <v>7012.54</v>
      </c>
      <c r="C28" s="3">
        <f t="shared" ref="C28:I28" si="8">C18+C24+C26</f>
        <v>6516</v>
      </c>
      <c r="D28" s="3">
        <f t="shared" si="8"/>
        <v>6016.9100000000008</v>
      </c>
      <c r="E28" s="3">
        <f t="shared" si="8"/>
        <v>5647.6</v>
      </c>
      <c r="F28" s="3">
        <f t="shared" si="8"/>
        <v>2852.0199999999995</v>
      </c>
      <c r="G28" s="3">
        <f t="shared" si="8"/>
        <v>8165.06</v>
      </c>
      <c r="H28" s="3">
        <f t="shared" si="8"/>
        <v>8379.5</v>
      </c>
      <c r="I28" s="3" t="e">
        <f t="shared" si="8"/>
        <v>#REF!</v>
      </c>
    </row>
    <row r="29" spans="1:9" x14ac:dyDescent="0.3">
      <c r="A29" s="11" t="s">
        <v>44</v>
      </c>
    </row>
    <row r="30" spans="1:9" s="2" customFormat="1" x14ac:dyDescent="0.3">
      <c r="A30" s="15" t="s">
        <v>58</v>
      </c>
      <c r="B30" s="3">
        <f>B12-B28</f>
        <v>1173.1199999999999</v>
      </c>
      <c r="C30" s="3">
        <f t="shared" ref="C30:I30" si="9">C12-C28</f>
        <v>1144.2700000000004</v>
      </c>
      <c r="D30" s="3">
        <f t="shared" si="9"/>
        <v>1057.619999999999</v>
      </c>
      <c r="E30" s="3">
        <f t="shared" si="9"/>
        <v>685.90999999999985</v>
      </c>
      <c r="F30" s="3">
        <f t="shared" si="9"/>
        <v>117.0600000000004</v>
      </c>
      <c r="G30" s="3">
        <f t="shared" si="9"/>
        <v>1308.2599999999993</v>
      </c>
      <c r="H30" s="3">
        <f t="shared" si="9"/>
        <v>1447.5499999999993</v>
      </c>
      <c r="I30" s="3" t="e">
        <f t="shared" si="9"/>
        <v>#REF!</v>
      </c>
    </row>
    <row r="31" spans="1:9" x14ac:dyDescent="0.3">
      <c r="A31" s="11" t="s">
        <v>44</v>
      </c>
    </row>
    <row r="32" spans="1:9" x14ac:dyDescent="0.3">
      <c r="A32" s="10" t="s">
        <v>90</v>
      </c>
      <c r="B32" s="19">
        <f>B30/B12</f>
        <v>0.1433140394299299</v>
      </c>
      <c r="C32" s="19">
        <f t="shared" ref="C32:I32" si="10">C30/C12</f>
        <v>0.14937724127217453</v>
      </c>
      <c r="D32" s="19">
        <f t="shared" si="10"/>
        <v>0.14949685703502552</v>
      </c>
      <c r="E32" s="19">
        <f t="shared" si="10"/>
        <v>0.10829855798759296</v>
      </c>
      <c r="F32" s="19">
        <f t="shared" si="10"/>
        <v>3.9426354291565199E-2</v>
      </c>
      <c r="G32" s="19">
        <f t="shared" si="10"/>
        <v>0.1380994202666013</v>
      </c>
      <c r="H32" s="58">
        <f t="shared" si="10"/>
        <v>0.14730259844002008</v>
      </c>
      <c r="I32" s="58" t="e">
        <f t="shared" si="10"/>
        <v>#REF!</v>
      </c>
    </row>
    <row r="33" spans="1:9" x14ac:dyDescent="0.3">
      <c r="A33" s="12" t="s">
        <v>59</v>
      </c>
      <c r="B33">
        <f>'Result PL'!B16</f>
        <v>10.98</v>
      </c>
      <c r="C33">
        <f>'Result PL'!C16</f>
        <v>13.79</v>
      </c>
      <c r="D33">
        <f>'Result PL'!D16</f>
        <v>11.74</v>
      </c>
      <c r="E33">
        <f>'Result PL'!E16</f>
        <v>10.130000000000001</v>
      </c>
      <c r="F33">
        <f>'Result PL'!F16</f>
        <v>12.19</v>
      </c>
      <c r="G33">
        <f>'Result PL'!G16</f>
        <v>10.71</v>
      </c>
      <c r="H33">
        <f>'Result PL'!H16</f>
        <v>10.9</v>
      </c>
      <c r="I33">
        <f>H33</f>
        <v>10.9</v>
      </c>
    </row>
    <row r="34" spans="1:9" x14ac:dyDescent="0.3">
      <c r="A34" s="11" t="s">
        <v>44</v>
      </c>
    </row>
    <row r="35" spans="1:9" x14ac:dyDescent="0.3">
      <c r="A35" s="15" t="s">
        <v>60</v>
      </c>
      <c r="B35" s="1">
        <f>B30-B33</f>
        <v>1162.1399999999999</v>
      </c>
      <c r="C35" s="1">
        <f t="shared" ref="C35:I35" si="11">C30-C33</f>
        <v>1130.4800000000005</v>
      </c>
      <c r="D35" s="1">
        <f t="shared" si="11"/>
        <v>1045.879999999999</v>
      </c>
      <c r="E35" s="1">
        <f t="shared" si="11"/>
        <v>675.77999999999986</v>
      </c>
      <c r="F35" s="1">
        <f t="shared" si="11"/>
        <v>104.8700000000004</v>
      </c>
      <c r="G35" s="1">
        <f t="shared" si="11"/>
        <v>1297.5499999999993</v>
      </c>
      <c r="H35" s="1">
        <f t="shared" si="11"/>
        <v>1436.6499999999992</v>
      </c>
      <c r="I35" s="1" t="e">
        <f t="shared" si="11"/>
        <v>#REF!</v>
      </c>
    </row>
    <row r="36" spans="1:9" x14ac:dyDescent="0.3">
      <c r="A36" s="11" t="s">
        <v>44</v>
      </c>
    </row>
    <row r="37" spans="1:9" x14ac:dyDescent="0.3">
      <c r="A37" s="12" t="s">
        <v>61</v>
      </c>
      <c r="B37">
        <f>'Result PL'!B17</f>
        <v>242.46</v>
      </c>
      <c r="C37">
        <f>'Result PL'!C17</f>
        <v>209.71</v>
      </c>
      <c r="D37">
        <f>'Result PL'!D17</f>
        <v>210.97</v>
      </c>
      <c r="E37">
        <f>'Result PL'!E17</f>
        <v>182.62</v>
      </c>
      <c r="F37">
        <f>'Result PL'!F17</f>
        <v>178.54</v>
      </c>
      <c r="G37">
        <f>'Result PL'!G17</f>
        <v>183.46</v>
      </c>
      <c r="H37">
        <f>'Result PL'!H17</f>
        <v>179.61</v>
      </c>
      <c r="I37">
        <f>H37</f>
        <v>179.61</v>
      </c>
    </row>
    <row r="38" spans="1:9" x14ac:dyDescent="0.3">
      <c r="A38" s="11" t="s">
        <v>44</v>
      </c>
    </row>
    <row r="39" spans="1:9" x14ac:dyDescent="0.3">
      <c r="A39" s="10" t="s">
        <v>62</v>
      </c>
      <c r="B39" s="1">
        <f>B35-B37</f>
        <v>919.67999999999984</v>
      </c>
      <c r="C39" s="1">
        <f t="shared" ref="C39:I39" si="12">C35-C37</f>
        <v>920.77000000000044</v>
      </c>
      <c r="D39" s="1">
        <f t="shared" si="12"/>
        <v>834.90999999999894</v>
      </c>
      <c r="E39" s="1">
        <f t="shared" si="12"/>
        <v>493.15999999999985</v>
      </c>
      <c r="F39" s="1">
        <f t="shared" si="12"/>
        <v>-73.66999999999959</v>
      </c>
      <c r="G39" s="1">
        <f t="shared" si="12"/>
        <v>1114.0899999999992</v>
      </c>
      <c r="H39" s="1">
        <f t="shared" si="12"/>
        <v>1257.0399999999991</v>
      </c>
      <c r="I39" s="1" t="e">
        <f t="shared" si="12"/>
        <v>#REF!</v>
      </c>
    </row>
    <row r="40" spans="1:9" x14ac:dyDescent="0.3">
      <c r="A40" s="11" t="s">
        <v>44</v>
      </c>
    </row>
    <row r="41" spans="1:9" x14ac:dyDescent="0.3">
      <c r="A41" s="12" t="s">
        <v>63</v>
      </c>
      <c r="B41">
        <f>'Result PL'!B9</f>
        <v>224.44</v>
      </c>
      <c r="C41">
        <f>'Result PL'!C9</f>
        <v>164.56</v>
      </c>
      <c r="D41">
        <f>'Result PL'!D9</f>
        <v>184.53</v>
      </c>
      <c r="E41">
        <f>'Result PL'!E9</f>
        <v>157.03</v>
      </c>
      <c r="F41">
        <f>'Result PL'!F9</f>
        <v>150.13999999999999</v>
      </c>
      <c r="G41">
        <f>'Result PL'!G9</f>
        <v>133.93</v>
      </c>
      <c r="H41">
        <f>'Result PL'!H9</f>
        <v>205.56</v>
      </c>
      <c r="I41">
        <f>H41</f>
        <v>205.56</v>
      </c>
    </row>
    <row r="42" spans="1:9" x14ac:dyDescent="0.3">
      <c r="A42" s="11" t="s">
        <v>44</v>
      </c>
    </row>
    <row r="43" spans="1:9" x14ac:dyDescent="0.3">
      <c r="A43" s="16"/>
    </row>
    <row r="44" spans="1:9" x14ac:dyDescent="0.3">
      <c r="A44" s="15" t="s">
        <v>64</v>
      </c>
      <c r="B44" s="1">
        <f>B39+B41</f>
        <v>1144.1199999999999</v>
      </c>
      <c r="C44" s="1">
        <f t="shared" ref="C44:I44" si="13">C39+C41</f>
        <v>1085.3300000000004</v>
      </c>
      <c r="D44" s="1">
        <f t="shared" si="13"/>
        <v>1019.4399999999989</v>
      </c>
      <c r="E44" s="1">
        <f t="shared" si="13"/>
        <v>650.18999999999983</v>
      </c>
      <c r="F44" s="1">
        <f t="shared" si="13"/>
        <v>76.470000000000397</v>
      </c>
      <c r="G44" s="1">
        <f t="shared" si="13"/>
        <v>1248.0199999999993</v>
      </c>
      <c r="H44" s="1">
        <f t="shared" si="13"/>
        <v>1462.599999999999</v>
      </c>
      <c r="I44" s="1" t="e">
        <f t="shared" si="13"/>
        <v>#REF!</v>
      </c>
    </row>
    <row r="45" spans="1:9" x14ac:dyDescent="0.3">
      <c r="A45" s="15" t="s">
        <v>91</v>
      </c>
      <c r="B45" s="1">
        <f>'Result PL'!B25+'Result PL'!B26</f>
        <v>737.48</v>
      </c>
      <c r="C45" s="1">
        <f>'Result PL'!C25+'Result PL'!C26</f>
        <v>-60.11</v>
      </c>
      <c r="D45" s="1">
        <f>'Result PL'!D25+'Result PL'!D26</f>
        <v>0</v>
      </c>
      <c r="E45" s="1">
        <f>'Result PL'!E25+'Result PL'!E26</f>
        <v>0</v>
      </c>
      <c r="F45" s="1">
        <f>'Result PL'!F25+'Result PL'!F26</f>
        <v>0</v>
      </c>
      <c r="G45" s="1">
        <f>'Result PL'!G25+'Result PL'!G26</f>
        <v>0</v>
      </c>
      <c r="H45" s="1">
        <f>'Result PL'!H25+'Result PL'!H26</f>
        <v>0</v>
      </c>
      <c r="I45">
        <v>0</v>
      </c>
    </row>
    <row r="46" spans="1:9" x14ac:dyDescent="0.3">
      <c r="A46" s="17" t="s">
        <v>65</v>
      </c>
      <c r="B46">
        <f>'Result PL'!B22</f>
        <v>8.2899999999999991</v>
      </c>
      <c r="C46">
        <f>'Result PL'!C22</f>
        <v>14</v>
      </c>
      <c r="D46">
        <f>'Result PL'!D22</f>
        <v>25</v>
      </c>
      <c r="E46">
        <f>'Result PL'!E22</f>
        <v>-12.66</v>
      </c>
      <c r="F46">
        <f>'Result PL'!F22</f>
        <v>1.4</v>
      </c>
      <c r="G46">
        <f>'Result PL'!G22</f>
        <v>12.97</v>
      </c>
      <c r="H46">
        <f>'Result PL'!H22</f>
        <v>-98.68</v>
      </c>
      <c r="I46">
        <v>0</v>
      </c>
    </row>
    <row r="47" spans="1:9" s="2" customFormat="1" x14ac:dyDescent="0.3">
      <c r="A47" s="15" t="s">
        <v>62</v>
      </c>
      <c r="B47" s="3">
        <f>B44+B45+B46</f>
        <v>1889.8899999999999</v>
      </c>
      <c r="C47" s="3">
        <f t="shared" ref="C47:I47" si="14">C44+C45+C46</f>
        <v>1039.2200000000005</v>
      </c>
      <c r="D47" s="3">
        <f t="shared" si="14"/>
        <v>1044.4399999999989</v>
      </c>
      <c r="E47" s="3">
        <f t="shared" si="14"/>
        <v>637.52999999999986</v>
      </c>
      <c r="F47" s="3">
        <f t="shared" si="14"/>
        <v>77.870000000000402</v>
      </c>
      <c r="G47" s="3">
        <f t="shared" si="14"/>
        <v>1260.9899999999993</v>
      </c>
      <c r="H47" s="3">
        <f t="shared" si="14"/>
        <v>1363.9199999999989</v>
      </c>
      <c r="I47" s="3" t="e">
        <f t="shared" si="14"/>
        <v>#REF!</v>
      </c>
    </row>
    <row r="48" spans="1:9" x14ac:dyDescent="0.3">
      <c r="A48" s="11" t="s">
        <v>44</v>
      </c>
    </row>
    <row r="49" spans="1:9" x14ac:dyDescent="0.3">
      <c r="A49" s="12" t="s">
        <v>66</v>
      </c>
      <c r="B49">
        <f>'Result PL'!B29+'Result PL'!B30</f>
        <v>633.20000000000005</v>
      </c>
      <c r="C49">
        <f>'Result PL'!C29+'Result PL'!C30</f>
        <v>155.44</v>
      </c>
      <c r="D49">
        <f>'Result PL'!D29+'Result PL'!D30</f>
        <v>139.31</v>
      </c>
      <c r="E49">
        <f>'Result PL'!E29+'Result PL'!E30</f>
        <v>23.72</v>
      </c>
      <c r="F49">
        <f>'Result PL'!F29+'Result PL'!F30</f>
        <v>20.09</v>
      </c>
      <c r="G49">
        <f>'Result PL'!G29+'Result PL'!G30</f>
        <v>297.16999999999996</v>
      </c>
      <c r="H49">
        <f>'Result PL'!H29+'Result PL'!H30</f>
        <v>334.75</v>
      </c>
      <c r="I49" t="e">
        <f>I47*I50</f>
        <v>#REF!</v>
      </c>
    </row>
    <row r="50" spans="1:9" x14ac:dyDescent="0.3">
      <c r="A50" s="11" t="s">
        <v>67</v>
      </c>
      <c r="B50" s="19">
        <f>B49/B47</f>
        <v>0.33504595505558527</v>
      </c>
      <c r="C50" s="19">
        <f t="shared" ref="C50:H50" si="15">C49/C47</f>
        <v>0.14957371875060135</v>
      </c>
      <c r="D50" s="19">
        <f t="shared" si="15"/>
        <v>0.13338248247864898</v>
      </c>
      <c r="E50" s="19">
        <f t="shared" si="15"/>
        <v>3.7206092262324915E-2</v>
      </c>
      <c r="F50" s="19">
        <f t="shared" si="15"/>
        <v>0.25799409271863227</v>
      </c>
      <c r="G50" s="19">
        <f t="shared" si="15"/>
        <v>0.23566404174497824</v>
      </c>
      <c r="H50" s="19">
        <f t="shared" si="15"/>
        <v>0.2454322834183825</v>
      </c>
      <c r="I50" s="43">
        <v>0.25</v>
      </c>
    </row>
    <row r="51" spans="1:9" s="2" customFormat="1" x14ac:dyDescent="0.3">
      <c r="A51" s="15" t="s">
        <v>68</v>
      </c>
      <c r="B51" s="3">
        <f>B47-B49</f>
        <v>1256.6899999999998</v>
      </c>
      <c r="C51" s="3">
        <f t="shared" ref="C51:I51" si="16">C47-C49</f>
        <v>883.78000000000043</v>
      </c>
      <c r="D51" s="3">
        <f t="shared" si="16"/>
        <v>905.12999999999897</v>
      </c>
      <c r="E51" s="3">
        <f t="shared" si="16"/>
        <v>613.80999999999983</v>
      </c>
      <c r="F51" s="3">
        <f t="shared" si="16"/>
        <v>57.780000000000399</v>
      </c>
      <c r="G51" s="3">
        <f t="shared" si="16"/>
        <v>963.81999999999937</v>
      </c>
      <c r="H51" s="3">
        <f t="shared" si="16"/>
        <v>1029.1699999999989</v>
      </c>
      <c r="I51" s="3" t="e">
        <f t="shared" si="16"/>
        <v>#REF!</v>
      </c>
    </row>
    <row r="52" spans="1:9" x14ac:dyDescent="0.3">
      <c r="A52" s="11" t="s">
        <v>44</v>
      </c>
    </row>
    <row r="53" spans="1:9" x14ac:dyDescent="0.3">
      <c r="A53" s="15" t="s">
        <v>69</v>
      </c>
      <c r="B53" s="19">
        <f>B51/B12</f>
        <v>0.15352335669939868</v>
      </c>
      <c r="C53" s="19">
        <f t="shared" ref="C53:I53" si="17">C51/C12</f>
        <v>0.11537191247828084</v>
      </c>
      <c r="D53" s="19">
        <f t="shared" si="17"/>
        <v>0.127942068236335</v>
      </c>
      <c r="E53" s="19">
        <f t="shared" si="17"/>
        <v>9.6914665011975945E-2</v>
      </c>
      <c r="F53" s="19">
        <f t="shared" si="17"/>
        <v>1.9460573645708568E-2</v>
      </c>
      <c r="G53" s="19">
        <f t="shared" si="17"/>
        <v>0.10174046691128341</v>
      </c>
      <c r="H53" s="19">
        <f t="shared" si="17"/>
        <v>0.10472827552520839</v>
      </c>
      <c r="I53" s="19" t="e">
        <f t="shared" si="17"/>
        <v>#REF!</v>
      </c>
    </row>
    <row r="54" spans="1:9" x14ac:dyDescent="0.3">
      <c r="A54" s="15"/>
    </row>
    <row r="55" spans="1:9" x14ac:dyDescent="0.3">
      <c r="A55" s="18" t="e">
        <f>#N/A</f>
        <v>#N/A</v>
      </c>
    </row>
    <row r="56" spans="1:9" x14ac:dyDescent="0.3">
      <c r="A56" s="11"/>
    </row>
    <row r="57" spans="1:9" x14ac:dyDescent="0.3">
      <c r="A57" s="17" t="s">
        <v>70</v>
      </c>
      <c r="B57">
        <f>'Result PL'!B39</f>
        <v>39.950000000000003</v>
      </c>
      <c r="C57">
        <f>'Result PL'!C39</f>
        <v>39.950000000000003</v>
      </c>
      <c r="D57">
        <f>'Result PL'!D39</f>
        <v>39.950000000000003</v>
      </c>
      <c r="E57">
        <f>'Result PL'!E39</f>
        <v>39.950000000000003</v>
      </c>
      <c r="F57">
        <f>'Result PL'!F39</f>
        <v>39.950000000000003</v>
      </c>
      <c r="G57">
        <f>'Result PL'!G39</f>
        <v>39.950000000000003</v>
      </c>
      <c r="H57">
        <f>'Result PL'!H39</f>
        <v>39.950000000000003</v>
      </c>
      <c r="I57">
        <f>H57</f>
        <v>39.950000000000003</v>
      </c>
    </row>
    <row r="58" spans="1:9" x14ac:dyDescent="0.3">
      <c r="A58" s="17" t="s">
        <v>71</v>
      </c>
      <c r="B58">
        <f>'Result PL'!B40</f>
        <v>2</v>
      </c>
      <c r="C58">
        <f>'Result PL'!C40</f>
        <v>2</v>
      </c>
      <c r="D58">
        <f>'Result PL'!D40</f>
        <v>2</v>
      </c>
      <c r="E58">
        <f>'Result PL'!E40</f>
        <v>2</v>
      </c>
      <c r="F58">
        <f>'Result PL'!F40</f>
        <v>2</v>
      </c>
      <c r="G58">
        <f>'Result PL'!G40</f>
        <v>2</v>
      </c>
      <c r="H58">
        <f>'Result PL'!H40</f>
        <v>2</v>
      </c>
      <c r="I58">
        <f>H58</f>
        <v>2</v>
      </c>
    </row>
    <row r="59" spans="1:9" x14ac:dyDescent="0.3">
      <c r="A59" s="17" t="s">
        <v>72</v>
      </c>
      <c r="B59">
        <f>B57/B58</f>
        <v>19.975000000000001</v>
      </c>
      <c r="C59">
        <f t="shared" ref="C59:H59" si="18">C57/C58</f>
        <v>19.975000000000001</v>
      </c>
      <c r="D59">
        <f t="shared" si="18"/>
        <v>19.975000000000001</v>
      </c>
      <c r="E59">
        <f t="shared" si="18"/>
        <v>19.975000000000001</v>
      </c>
      <c r="F59">
        <f t="shared" si="18"/>
        <v>19.975000000000001</v>
      </c>
      <c r="G59">
        <f t="shared" si="18"/>
        <v>19.975000000000001</v>
      </c>
      <c r="H59">
        <f t="shared" si="18"/>
        <v>19.975000000000001</v>
      </c>
      <c r="I59" s="1">
        <f>I57/I58</f>
        <v>19.975000000000001</v>
      </c>
    </row>
    <row r="60" spans="1:9" x14ac:dyDescent="0.3">
      <c r="A60" s="17" t="s">
        <v>73</v>
      </c>
      <c r="B60" s="4">
        <f>'Result PL'!B44</f>
        <v>62.689361702127655</v>
      </c>
      <c r="C60" s="4">
        <f>'Result PL'!C44</f>
        <v>44.027534418022526</v>
      </c>
      <c r="D60" s="4">
        <f>'Result PL'!D44</f>
        <v>45.14693366708385</v>
      </c>
      <c r="E60" s="4">
        <f>'Result PL'!E44</f>
        <v>30.257822277847307</v>
      </c>
      <c r="F60" s="4">
        <f>'Result PL'!F44</f>
        <v>2.9607008760951188</v>
      </c>
      <c r="G60" s="4">
        <f>'Result PL'!G44</f>
        <v>47.984480600750935</v>
      </c>
      <c r="H60" s="4">
        <f>'Result PL'!H44</f>
        <v>51.022778473091357</v>
      </c>
      <c r="I60" s="59" t="e">
        <f>I51/I59</f>
        <v>#REF!</v>
      </c>
    </row>
    <row r="62" spans="1:9" x14ac:dyDescent="0.3">
      <c r="A62" s="17" t="s">
        <v>74</v>
      </c>
    </row>
    <row r="63" spans="1:9" x14ac:dyDescent="0.3">
      <c r="A63" s="17" t="s">
        <v>75</v>
      </c>
    </row>
    <row r="65" spans="1:1" x14ac:dyDescent="0.3">
      <c r="A65" s="17" t="s">
        <v>76</v>
      </c>
    </row>
    <row r="67" spans="1:1" x14ac:dyDescent="0.3">
      <c r="A67" s="15" t="s">
        <v>77</v>
      </c>
    </row>
    <row r="70" spans="1:1" x14ac:dyDescent="0.3">
      <c r="A70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6" spans="1:1" x14ac:dyDescent="0.3">
      <c r="A76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3" spans="1:1" x14ac:dyDescent="0.3">
      <c r="A83" t="s">
        <v>82</v>
      </c>
    </row>
    <row r="84" spans="1:1" x14ac:dyDescent="0.3">
      <c r="A84" s="2" t="s">
        <v>87</v>
      </c>
    </row>
    <row r="86" spans="1:1" x14ac:dyDescent="0.3">
      <c r="A86" t="s">
        <v>80</v>
      </c>
    </row>
    <row r="87" spans="1:1" x14ac:dyDescent="0.3">
      <c r="A87" s="2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3" spans="1:1" x14ac:dyDescent="0.3">
      <c r="A93" t="s">
        <v>89</v>
      </c>
    </row>
    <row r="94" spans="1:1" x14ac:dyDescent="0.3">
      <c r="A94" s="2" t="s">
        <v>87</v>
      </c>
    </row>
    <row r="97" spans="1:1" x14ac:dyDescent="0.3">
      <c r="A97" t="s">
        <v>81</v>
      </c>
    </row>
    <row r="98" spans="1:1" x14ac:dyDescent="0.3">
      <c r="A98" s="2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6740-A99A-4C5C-8E9B-9A2967E2B98B}">
  <dimension ref="A1:H2"/>
  <sheetViews>
    <sheetView zoomScale="190" zoomScaleNormal="190" workbookViewId="0">
      <selection activeCell="G2" sqref="G2"/>
    </sheetView>
  </sheetViews>
  <sheetFormatPr defaultRowHeight="14.4" x14ac:dyDescent="0.3"/>
  <sheetData>
    <row r="1" spans="1:8" x14ac:dyDescent="0.3">
      <c r="C1" t="s">
        <v>211</v>
      </c>
      <c r="D1" t="s">
        <v>102</v>
      </c>
      <c r="E1" t="s">
        <v>92</v>
      </c>
      <c r="F1" t="s">
        <v>93</v>
      </c>
      <c r="G1" t="s">
        <v>116</v>
      </c>
    </row>
    <row r="2" spans="1:8" x14ac:dyDescent="0.3">
      <c r="A2" t="s">
        <v>210</v>
      </c>
      <c r="C2" s="19"/>
      <c r="D2" s="58" t="e">
        <f>'P&amp;L'!#REF!/AVERAGE(BS!A41:A41)</f>
        <v>#REF!</v>
      </c>
      <c r="E2" s="58" t="e">
        <f>'P&amp;L'!#REF!/AVERAGE(BS!#REF!)</f>
        <v>#REF!</v>
      </c>
      <c r="F2" s="58">
        <f>'P&amp;L'!B46/AVERAGE(BS!B41:C41)</f>
        <v>0.64451323316237796</v>
      </c>
      <c r="G2" s="58">
        <f>'P&amp;L'!C46/AVERAGE(BS!C41:C41)</f>
        <v>1.0773512804425935</v>
      </c>
      <c r="H2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2908-144E-43DE-863C-66F6182DC13D}">
  <dimension ref="A4:F10"/>
  <sheetViews>
    <sheetView zoomScale="145" zoomScaleNormal="145" workbookViewId="0">
      <selection activeCell="F18" sqref="F18"/>
    </sheetView>
  </sheetViews>
  <sheetFormatPr defaultRowHeight="14.4" x14ac:dyDescent="0.3"/>
  <cols>
    <col min="2" max="4" width="12.109375" bestFit="1" customWidth="1"/>
  </cols>
  <sheetData>
    <row r="4" spans="1:6" s="2" customFormat="1" x14ac:dyDescent="0.3">
      <c r="A4" s="49"/>
      <c r="B4" s="49" t="s">
        <v>178</v>
      </c>
      <c r="C4" s="49" t="s">
        <v>42</v>
      </c>
      <c r="D4" s="49" t="s">
        <v>29</v>
      </c>
      <c r="E4" s="49" t="s">
        <v>44</v>
      </c>
      <c r="F4" s="49" t="s">
        <v>177</v>
      </c>
    </row>
    <row r="5" spans="1:6" x14ac:dyDescent="0.3">
      <c r="A5" s="45" t="s">
        <v>119</v>
      </c>
      <c r="B5" s="50" t="e">
        <f>'Quarterly P&amp;L'!I2</f>
        <v>#REF!</v>
      </c>
      <c r="C5" s="50">
        <f>'Quarterly P&amp;L'!E2</f>
        <v>1323000</v>
      </c>
      <c r="D5" s="50">
        <f>'Quarterly P&amp;L'!H2</f>
        <v>1845000</v>
      </c>
      <c r="E5" s="46" t="e">
        <f>B5/C5-1</f>
        <v>#REF!</v>
      </c>
      <c r="F5" s="46" t="e">
        <f>B5/D5-1</f>
        <v>#REF!</v>
      </c>
    </row>
    <row r="6" spans="1:6" x14ac:dyDescent="0.3">
      <c r="A6" s="45" t="s">
        <v>151</v>
      </c>
      <c r="B6" s="47" t="e">
        <f>'Quarterly P&amp;L'!I12</f>
        <v>#REF!</v>
      </c>
      <c r="C6" s="47">
        <f>'Quarterly P&amp;L'!E12</f>
        <v>6333.51</v>
      </c>
      <c r="D6" s="47">
        <f>'Quarterly P&amp;L'!H12</f>
        <v>9827.0499999999993</v>
      </c>
      <c r="E6" s="46" t="e">
        <f t="shared" ref="E6:E10" si="0">B6/C6-1</f>
        <v>#REF!</v>
      </c>
      <c r="F6" s="46" t="e">
        <f t="shared" ref="F6:F10" si="1">B6/D6-1</f>
        <v>#REF!</v>
      </c>
    </row>
    <row r="7" spans="1:6" x14ac:dyDescent="0.3">
      <c r="A7" s="45" t="s">
        <v>58</v>
      </c>
      <c r="B7" s="47" t="e">
        <f>'Quarterly P&amp;L'!I30</f>
        <v>#REF!</v>
      </c>
      <c r="C7" s="47">
        <f>'Quarterly P&amp;L'!E30</f>
        <v>685.90999999999985</v>
      </c>
      <c r="D7" s="47">
        <f>'Quarterly P&amp;L'!H30</f>
        <v>1447.5499999999993</v>
      </c>
      <c r="E7" s="46" t="e">
        <f t="shared" si="0"/>
        <v>#REF!</v>
      </c>
      <c r="F7" s="46" t="e">
        <f t="shared" si="1"/>
        <v>#REF!</v>
      </c>
    </row>
    <row r="8" spans="1:6" x14ac:dyDescent="0.3">
      <c r="A8" s="45" t="s">
        <v>179</v>
      </c>
      <c r="B8" s="48" t="e">
        <f>'Quarterly P&amp;L'!I32</f>
        <v>#REF!</v>
      </c>
      <c r="C8" s="48">
        <f>'Quarterly P&amp;L'!E32</f>
        <v>0.10829855798759296</v>
      </c>
      <c r="D8" s="48">
        <f>'Quarterly P&amp;L'!H32</f>
        <v>0.14730259844002008</v>
      </c>
      <c r="E8" s="48" t="e">
        <f>B8-C8</f>
        <v>#REF!</v>
      </c>
      <c r="F8" s="48" t="e">
        <f>B8-D8</f>
        <v>#REF!</v>
      </c>
    </row>
    <row r="9" spans="1:6" x14ac:dyDescent="0.3">
      <c r="A9" s="45" t="s">
        <v>169</v>
      </c>
      <c r="B9" s="47" t="e">
        <f>'Quarterly P&amp;L'!I51</f>
        <v>#REF!</v>
      </c>
      <c r="C9" s="47">
        <f>'Quarterly P&amp;L'!E51</f>
        <v>613.80999999999983</v>
      </c>
      <c r="D9" s="47">
        <f>'Quarterly P&amp;L'!H51</f>
        <v>1029.1699999999989</v>
      </c>
      <c r="E9" s="46" t="e">
        <f t="shared" si="0"/>
        <v>#REF!</v>
      </c>
      <c r="F9" s="46" t="e">
        <f t="shared" si="1"/>
        <v>#REF!</v>
      </c>
    </row>
    <row r="10" spans="1:6" x14ac:dyDescent="0.3">
      <c r="A10" s="45" t="s">
        <v>73</v>
      </c>
      <c r="B10" s="47" t="e">
        <f>'Quarterly P&amp;L'!I60</f>
        <v>#REF!</v>
      </c>
      <c r="C10" s="47">
        <f>'Quarterly P&amp;L'!E60</f>
        <v>30.257822277847307</v>
      </c>
      <c r="D10" s="47">
        <f>'Quarterly P&amp;L'!H60</f>
        <v>51.022778473091357</v>
      </c>
      <c r="E10" s="46" t="e">
        <f t="shared" si="0"/>
        <v>#REF!</v>
      </c>
      <c r="F10" s="46" t="e">
        <f t="shared" si="1"/>
        <v>#REF!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B73F-9214-457E-93F3-5548CDA6BB00}">
  <dimension ref="A2:H45"/>
  <sheetViews>
    <sheetView zoomScale="145" zoomScaleNormal="145" workbookViewId="0">
      <selection activeCell="I3" sqref="I1:I1048576"/>
    </sheetView>
  </sheetViews>
  <sheetFormatPr defaultRowHeight="14.4" x14ac:dyDescent="0.3"/>
  <cols>
    <col min="1" max="1" width="59.33203125" bestFit="1" customWidth="1"/>
    <col min="2" max="2" width="15.5546875" style="5" customWidth="1"/>
    <col min="3" max="3" width="12.109375" style="5" customWidth="1"/>
    <col min="4" max="4" width="9.88671875" style="5" customWidth="1"/>
    <col min="5" max="5" width="10.44140625" style="5" customWidth="1"/>
    <col min="6" max="6" width="10.109375" style="5" customWidth="1"/>
    <col min="7" max="7" width="12.33203125" style="5" customWidth="1"/>
    <col min="8" max="8" width="9.5546875" style="5" bestFit="1" customWidth="1"/>
  </cols>
  <sheetData>
    <row r="2" spans="1:8" x14ac:dyDescent="0.3">
      <c r="A2" t="s">
        <v>32</v>
      </c>
    </row>
    <row r="3" spans="1:8" s="2" customFormat="1" x14ac:dyDescent="0.3">
      <c r="A3" s="2" t="s">
        <v>0</v>
      </c>
      <c r="B3" s="8" t="s">
        <v>41</v>
      </c>
      <c r="C3" s="8" t="s">
        <v>39</v>
      </c>
      <c r="D3" s="8" t="s">
        <v>31</v>
      </c>
      <c r="E3" s="8" t="s">
        <v>42</v>
      </c>
      <c r="F3" s="8" t="s">
        <v>40</v>
      </c>
      <c r="G3" s="8" t="s">
        <v>30</v>
      </c>
      <c r="H3" s="8" t="s">
        <v>29</v>
      </c>
    </row>
    <row r="4" spans="1:8" s="2" customFormat="1" hidden="1" x14ac:dyDescent="0.3">
      <c r="A4" s="2" t="s">
        <v>119</v>
      </c>
      <c r="B4" s="8">
        <v>1843000</v>
      </c>
      <c r="C4" s="8">
        <v>1691000</v>
      </c>
      <c r="D4" s="8">
        <v>1541000</v>
      </c>
      <c r="E4" s="8">
        <v>1323000</v>
      </c>
      <c r="F4" s="8">
        <v>565000</v>
      </c>
      <c r="G4" s="38">
        <v>1822000</v>
      </c>
      <c r="H4" s="8">
        <v>1845000</v>
      </c>
    </row>
    <row r="5" spans="1:8" hidden="1" x14ac:dyDescent="0.3">
      <c r="C5" s="40">
        <f>C4/B4-1</f>
        <v>-8.2474226804123751E-2</v>
      </c>
      <c r="D5" s="40">
        <f t="shared" ref="D5:H5" si="0">D4/C4-1</f>
        <v>-8.870490833826139E-2</v>
      </c>
      <c r="E5" s="40">
        <f t="shared" si="0"/>
        <v>-0.14146658014276448</v>
      </c>
      <c r="F5" s="40">
        <f t="shared" si="0"/>
        <v>-0.57294028722600143</v>
      </c>
      <c r="G5" s="40">
        <f t="shared" si="0"/>
        <v>2.2247787610619469</v>
      </c>
      <c r="H5" s="40">
        <f t="shared" si="0"/>
        <v>1.2623490669593895E-2</v>
      </c>
    </row>
    <row r="6" spans="1:8" s="2" customFormat="1" hidden="1" x14ac:dyDescent="0.3">
      <c r="A6" s="2" t="s">
        <v>163</v>
      </c>
      <c r="B6" s="38">
        <f>B8*10^7/B4</f>
        <v>44416.549104720565</v>
      </c>
      <c r="C6" s="38">
        <f t="shared" ref="C6:H6" si="1">C8*10^7/C4</f>
        <v>45302.188054405677</v>
      </c>
      <c r="D6" s="38">
        <f t="shared" si="1"/>
        <v>45910.837118754054</v>
      </c>
      <c r="E6" s="38">
        <f t="shared" si="1"/>
        <v>47875.20786092215</v>
      </c>
      <c r="F6" s="38">
        <f t="shared" si="1"/>
        <v>52550.088495575219</v>
      </c>
      <c r="G6" s="38">
        <f t="shared" si="1"/>
        <v>51994.072447859493</v>
      </c>
      <c r="H6" s="38">
        <f t="shared" si="1"/>
        <v>53263.143631436316</v>
      </c>
    </row>
    <row r="7" spans="1:8" s="2" customFormat="1" hidden="1" x14ac:dyDescent="0.3">
      <c r="B7" s="39"/>
      <c r="C7" s="39">
        <f t="shared" ref="C7:H7" si="2">C6/B6-1</f>
        <v>1.9939391229990555E-2</v>
      </c>
      <c r="D7" s="39">
        <f t="shared" si="2"/>
        <v>1.3435312740687433E-2</v>
      </c>
      <c r="E7" s="39">
        <f t="shared" si="2"/>
        <v>4.278664614820693E-2</v>
      </c>
      <c r="F7" s="39">
        <f t="shared" si="2"/>
        <v>9.7647213318292625E-2</v>
      </c>
      <c r="G7" s="39">
        <f t="shared" si="2"/>
        <v>-1.0580687181193649E-2</v>
      </c>
      <c r="H7" s="39">
        <f t="shared" si="2"/>
        <v>2.4407997370266887E-2</v>
      </c>
    </row>
    <row r="8" spans="1:8" x14ac:dyDescent="0.3">
      <c r="A8" t="s">
        <v>1</v>
      </c>
      <c r="B8" s="6">
        <v>8185.97</v>
      </c>
      <c r="C8" s="6">
        <v>7660.6</v>
      </c>
      <c r="D8" s="6">
        <v>7074.86</v>
      </c>
      <c r="E8" s="6">
        <v>6333.89</v>
      </c>
      <c r="F8" s="6">
        <v>2969.08</v>
      </c>
      <c r="G8" s="6">
        <v>9473.32</v>
      </c>
      <c r="H8" s="6">
        <v>9827.0499999999993</v>
      </c>
    </row>
    <row r="9" spans="1:8" x14ac:dyDescent="0.3">
      <c r="A9" t="s">
        <v>2</v>
      </c>
      <c r="B9" s="5">
        <v>224.44</v>
      </c>
      <c r="C9" s="5">
        <v>164.56</v>
      </c>
      <c r="D9" s="5">
        <v>184.53</v>
      </c>
      <c r="E9" s="5">
        <v>157.03</v>
      </c>
      <c r="F9" s="5">
        <v>150.13999999999999</v>
      </c>
      <c r="G9" s="5">
        <v>133.93</v>
      </c>
      <c r="H9" s="5">
        <v>205.56</v>
      </c>
    </row>
    <row r="10" spans="1:8" s="2" customFormat="1" x14ac:dyDescent="0.3">
      <c r="A10" s="2" t="s">
        <v>3</v>
      </c>
      <c r="B10" s="7">
        <f t="shared" ref="B10:H10" si="3">SUM(B8:B9)</f>
        <v>8410.41</v>
      </c>
      <c r="C10" s="7">
        <f t="shared" si="3"/>
        <v>7825.1600000000008</v>
      </c>
      <c r="D10" s="7">
        <f t="shared" si="3"/>
        <v>7259.3899999999994</v>
      </c>
      <c r="E10" s="7">
        <f t="shared" si="3"/>
        <v>6490.92</v>
      </c>
      <c r="F10" s="7">
        <f t="shared" si="3"/>
        <v>3119.22</v>
      </c>
      <c r="G10" s="7">
        <f t="shared" si="3"/>
        <v>9607.25</v>
      </c>
      <c r="H10" s="7">
        <f t="shared" si="3"/>
        <v>10032.609999999999</v>
      </c>
    </row>
    <row r="11" spans="1:8" x14ac:dyDescent="0.3">
      <c r="A11" t="s">
        <v>4</v>
      </c>
    </row>
    <row r="12" spans="1:8" x14ac:dyDescent="0.3">
      <c r="A12" t="s">
        <v>5</v>
      </c>
      <c r="B12" s="5">
        <v>5711.18</v>
      </c>
      <c r="C12" s="6">
        <v>5410.12</v>
      </c>
      <c r="D12" s="6">
        <v>4785.79</v>
      </c>
      <c r="E12" s="6">
        <v>4097.2</v>
      </c>
      <c r="F12" s="6">
        <v>1895.78</v>
      </c>
      <c r="G12" s="6">
        <v>6692.38</v>
      </c>
      <c r="H12" s="6">
        <v>7020.93</v>
      </c>
    </row>
    <row r="13" spans="1:8" x14ac:dyDescent="0.3">
      <c r="A13" t="s">
        <v>6</v>
      </c>
      <c r="B13" s="5">
        <v>-25.92</v>
      </c>
      <c r="C13" s="5">
        <v>-265.37</v>
      </c>
      <c r="D13" s="5">
        <v>-103.4</v>
      </c>
      <c r="E13" s="5">
        <v>221.35</v>
      </c>
      <c r="F13" s="5">
        <v>165.51</v>
      </c>
      <c r="G13" s="5">
        <v>26.34</v>
      </c>
      <c r="H13" s="5">
        <v>-131.4</v>
      </c>
    </row>
    <row r="14" spans="1:8" x14ac:dyDescent="0.3">
      <c r="A14" t="s">
        <v>7</v>
      </c>
      <c r="B14" s="5">
        <v>0.31</v>
      </c>
      <c r="C14" s="5">
        <v>0.33</v>
      </c>
      <c r="D14" s="5">
        <v>0.33</v>
      </c>
      <c r="E14" s="5">
        <v>0.38</v>
      </c>
    </row>
    <row r="15" spans="1:8" x14ac:dyDescent="0.3">
      <c r="A15" t="s">
        <v>8</v>
      </c>
      <c r="B15" s="5">
        <v>482.69</v>
      </c>
      <c r="C15" s="5">
        <v>477.83</v>
      </c>
      <c r="D15" s="5">
        <v>481.14</v>
      </c>
      <c r="E15" s="5">
        <v>447.66</v>
      </c>
      <c r="F15" s="5">
        <v>392.78</v>
      </c>
      <c r="G15" s="5">
        <v>523.98</v>
      </c>
      <c r="H15" s="5">
        <v>531.55999999999995</v>
      </c>
    </row>
    <row r="16" spans="1:8" x14ac:dyDescent="0.3">
      <c r="A16" t="s">
        <v>9</v>
      </c>
      <c r="B16" s="5">
        <v>10.98</v>
      </c>
      <c r="C16" s="5">
        <v>13.79</v>
      </c>
      <c r="D16" s="5">
        <v>11.74</v>
      </c>
      <c r="E16" s="5">
        <v>10.130000000000001</v>
      </c>
      <c r="F16" s="5">
        <v>12.19</v>
      </c>
      <c r="G16" s="5">
        <v>10.71</v>
      </c>
      <c r="H16" s="5">
        <v>10.9</v>
      </c>
    </row>
    <row r="17" spans="1:8" x14ac:dyDescent="0.3">
      <c r="A17" t="s">
        <v>10</v>
      </c>
      <c r="B17" s="5">
        <v>242.46</v>
      </c>
      <c r="C17" s="5">
        <v>209.71</v>
      </c>
      <c r="D17" s="5">
        <v>210.97</v>
      </c>
      <c r="E17" s="5">
        <v>182.62</v>
      </c>
      <c r="F17" s="5">
        <v>178.54</v>
      </c>
      <c r="G17" s="5">
        <v>183.46</v>
      </c>
      <c r="H17" s="5">
        <v>179.61</v>
      </c>
    </row>
    <row r="18" spans="1:8" x14ac:dyDescent="0.3">
      <c r="A18" t="s">
        <v>11</v>
      </c>
      <c r="B18" s="5">
        <v>844.59</v>
      </c>
      <c r="C18" s="5">
        <v>893.42</v>
      </c>
      <c r="D18" s="5">
        <v>853.38</v>
      </c>
      <c r="E18" s="5">
        <v>881.39</v>
      </c>
      <c r="F18" s="5">
        <v>397.95</v>
      </c>
      <c r="G18" s="5">
        <v>922.36</v>
      </c>
      <c r="H18" s="5">
        <v>958.41</v>
      </c>
    </row>
    <row r="19" spans="1:8" s="2" customFormat="1" x14ac:dyDescent="0.3">
      <c r="A19" s="2" t="s">
        <v>12</v>
      </c>
      <c r="B19" s="7">
        <f t="shared" ref="B19:H19" si="4">SUM(B12:B18)</f>
        <v>7266.29</v>
      </c>
      <c r="C19" s="7">
        <f t="shared" si="4"/>
        <v>6739.83</v>
      </c>
      <c r="D19" s="7">
        <f t="shared" si="4"/>
        <v>6239.9500000000007</v>
      </c>
      <c r="E19" s="7">
        <f t="shared" si="4"/>
        <v>5840.7300000000005</v>
      </c>
      <c r="F19" s="7">
        <f t="shared" si="4"/>
        <v>3042.7499999999995</v>
      </c>
      <c r="G19" s="7">
        <f t="shared" si="4"/>
        <v>8359.2300000000014</v>
      </c>
      <c r="H19" s="7">
        <f t="shared" si="4"/>
        <v>8570.01</v>
      </c>
    </row>
    <row r="20" spans="1:8" s="2" customFormat="1" x14ac:dyDescent="0.3">
      <c r="A20" s="2" t="s">
        <v>33</v>
      </c>
      <c r="B20" s="7">
        <f t="shared" ref="B20:H20" si="5">B10-B19</f>
        <v>1144.1199999999999</v>
      </c>
      <c r="C20" s="7">
        <f t="shared" si="5"/>
        <v>1085.3300000000008</v>
      </c>
      <c r="D20" s="7">
        <f t="shared" si="5"/>
        <v>1019.4399999999987</v>
      </c>
      <c r="E20" s="7">
        <f t="shared" si="5"/>
        <v>650.1899999999996</v>
      </c>
      <c r="F20" s="7">
        <f t="shared" si="5"/>
        <v>76.470000000000255</v>
      </c>
      <c r="G20" s="7">
        <f t="shared" si="5"/>
        <v>1248.0199999999986</v>
      </c>
      <c r="H20" s="7">
        <f t="shared" si="5"/>
        <v>1462.5999999999985</v>
      </c>
    </row>
    <row r="21" spans="1:8" x14ac:dyDescent="0.3">
      <c r="A21" t="s">
        <v>13</v>
      </c>
    </row>
    <row r="22" spans="1:8" x14ac:dyDescent="0.3">
      <c r="A22" t="s">
        <v>14</v>
      </c>
      <c r="B22" s="5">
        <v>8.2899999999999991</v>
      </c>
      <c r="C22" s="5">
        <v>14</v>
      </c>
      <c r="D22" s="5">
        <v>25</v>
      </c>
      <c r="E22" s="5">
        <v>-12.66</v>
      </c>
      <c r="F22" s="5">
        <v>1.4</v>
      </c>
      <c r="G22" s="5">
        <v>12.97</v>
      </c>
      <c r="H22" s="5">
        <v>-98.68</v>
      </c>
    </row>
    <row r="23" spans="1:8" s="2" customFormat="1" x14ac:dyDescent="0.3">
      <c r="A23" s="2" t="s">
        <v>34</v>
      </c>
      <c r="B23" s="7">
        <f t="shared" ref="B23:H23" si="6">B20+B22</f>
        <v>1152.4099999999999</v>
      </c>
      <c r="C23" s="7">
        <f t="shared" si="6"/>
        <v>1099.3300000000008</v>
      </c>
      <c r="D23" s="7">
        <f t="shared" si="6"/>
        <v>1044.4399999999987</v>
      </c>
      <c r="E23" s="7">
        <f t="shared" si="6"/>
        <v>637.52999999999963</v>
      </c>
      <c r="F23" s="7">
        <f t="shared" si="6"/>
        <v>77.87000000000026</v>
      </c>
      <c r="G23" s="7">
        <f t="shared" si="6"/>
        <v>1260.9899999999986</v>
      </c>
      <c r="H23" s="7">
        <f t="shared" si="6"/>
        <v>1363.9199999999985</v>
      </c>
    </row>
    <row r="24" spans="1:8" x14ac:dyDescent="0.3">
      <c r="A24" t="s">
        <v>15</v>
      </c>
    </row>
    <row r="25" spans="1:8" x14ac:dyDescent="0.3">
      <c r="A25" t="s">
        <v>0</v>
      </c>
      <c r="D25" s="5">
        <v>0</v>
      </c>
      <c r="G25" s="5">
        <v>0</v>
      </c>
      <c r="H25" s="5">
        <v>0</v>
      </c>
    </row>
    <row r="26" spans="1:8" x14ac:dyDescent="0.3">
      <c r="A26" t="s">
        <v>16</v>
      </c>
      <c r="B26" s="5">
        <v>737.48</v>
      </c>
      <c r="C26" s="5">
        <v>-60.11</v>
      </c>
      <c r="D26" s="5">
        <v>0</v>
      </c>
      <c r="G26" s="5">
        <v>0</v>
      </c>
      <c r="H26" s="5">
        <v>0</v>
      </c>
    </row>
    <row r="27" spans="1:8" s="2" customFormat="1" x14ac:dyDescent="0.3">
      <c r="A27" s="2" t="s">
        <v>17</v>
      </c>
      <c r="B27" s="7">
        <f t="shared" ref="B27:H27" si="7">B23+B25+B26</f>
        <v>1889.8899999999999</v>
      </c>
      <c r="C27" s="7">
        <f t="shared" si="7"/>
        <v>1039.2200000000009</v>
      </c>
      <c r="D27" s="7">
        <f t="shared" si="7"/>
        <v>1044.4399999999987</v>
      </c>
      <c r="E27" s="7">
        <f t="shared" si="7"/>
        <v>637.52999999999963</v>
      </c>
      <c r="F27" s="7">
        <f t="shared" si="7"/>
        <v>77.87000000000026</v>
      </c>
      <c r="G27" s="7">
        <f t="shared" si="7"/>
        <v>1260.9899999999986</v>
      </c>
      <c r="H27" s="7">
        <f t="shared" si="7"/>
        <v>1363.9199999999985</v>
      </c>
    </row>
    <row r="28" spans="1:8" x14ac:dyDescent="0.3">
      <c r="A28" t="s">
        <v>18</v>
      </c>
    </row>
    <row r="29" spans="1:8" x14ac:dyDescent="0.3">
      <c r="A29" t="s">
        <v>19</v>
      </c>
      <c r="B29" s="5">
        <v>628.95000000000005</v>
      </c>
      <c r="C29" s="5">
        <v>217.7</v>
      </c>
      <c r="D29" s="5">
        <v>179.73</v>
      </c>
      <c r="E29" s="5">
        <v>70.41</v>
      </c>
      <c r="F29" s="5">
        <v>17.18</v>
      </c>
      <c r="G29" s="5">
        <v>256.64999999999998</v>
      </c>
      <c r="H29" s="5">
        <v>338.44</v>
      </c>
    </row>
    <row r="30" spans="1:8" x14ac:dyDescent="0.3">
      <c r="A30" t="s">
        <v>20</v>
      </c>
      <c r="B30" s="5">
        <v>4.25</v>
      </c>
      <c r="C30" s="5">
        <v>-62.26</v>
      </c>
      <c r="D30" s="5">
        <v>-40.42</v>
      </c>
      <c r="E30" s="5">
        <v>-46.69</v>
      </c>
      <c r="F30" s="5">
        <v>2.91</v>
      </c>
      <c r="G30" s="5">
        <v>40.520000000000003</v>
      </c>
      <c r="H30" s="5">
        <v>-3.69</v>
      </c>
    </row>
    <row r="31" spans="1:8" s="2" customFormat="1" x14ac:dyDescent="0.3">
      <c r="A31" s="2" t="s">
        <v>21</v>
      </c>
      <c r="B31" s="8">
        <f t="shared" ref="B31:H31" si="8">SUM(B29:B30)</f>
        <v>633.20000000000005</v>
      </c>
      <c r="C31" s="8">
        <f t="shared" si="8"/>
        <v>155.44</v>
      </c>
      <c r="D31" s="8">
        <f t="shared" si="8"/>
        <v>139.31</v>
      </c>
      <c r="E31" s="8">
        <f t="shared" si="8"/>
        <v>23.72</v>
      </c>
      <c r="F31" s="8">
        <f t="shared" si="8"/>
        <v>20.09</v>
      </c>
      <c r="G31" s="8">
        <f t="shared" si="8"/>
        <v>297.16999999999996</v>
      </c>
      <c r="H31" s="8">
        <f t="shared" si="8"/>
        <v>334.75</v>
      </c>
    </row>
    <row r="32" spans="1:8" s="2" customFormat="1" x14ac:dyDescent="0.3">
      <c r="A32" s="2" t="s">
        <v>22</v>
      </c>
      <c r="B32" s="7">
        <f t="shared" ref="B32:H32" si="9">B27-B31</f>
        <v>1256.6899999999998</v>
      </c>
      <c r="C32" s="7">
        <f t="shared" si="9"/>
        <v>883.78000000000088</v>
      </c>
      <c r="D32" s="7">
        <f t="shared" si="9"/>
        <v>905.12999999999874</v>
      </c>
      <c r="E32" s="7">
        <f t="shared" si="9"/>
        <v>613.8099999999996</v>
      </c>
      <c r="F32" s="7">
        <f t="shared" si="9"/>
        <v>57.780000000000257</v>
      </c>
      <c r="G32" s="7">
        <f t="shared" si="9"/>
        <v>963.81999999999869</v>
      </c>
      <c r="H32" s="7">
        <f t="shared" si="9"/>
        <v>1029.1699999999985</v>
      </c>
    </row>
    <row r="33" spans="1:8" x14ac:dyDescent="0.3">
      <c r="H33" s="6"/>
    </row>
    <row r="34" spans="1:8" x14ac:dyDescent="0.3">
      <c r="A34" t="s">
        <v>36</v>
      </c>
      <c r="H34" s="6"/>
    </row>
    <row r="35" spans="1:8" x14ac:dyDescent="0.3">
      <c r="A35" t="s">
        <v>37</v>
      </c>
      <c r="B35" s="5">
        <v>1252.22</v>
      </c>
      <c r="C35" s="5">
        <v>879.45</v>
      </c>
      <c r="D35" s="5">
        <v>901.81</v>
      </c>
      <c r="E35" s="5">
        <v>604.4</v>
      </c>
      <c r="F35" s="5">
        <v>59.14</v>
      </c>
      <c r="G35" s="5">
        <v>958.49</v>
      </c>
      <c r="H35" s="6">
        <v>1019.18</v>
      </c>
    </row>
    <row r="36" spans="1:8" x14ac:dyDescent="0.3">
      <c r="A36" t="s">
        <v>38</v>
      </c>
      <c r="B36" s="5">
        <v>4.47</v>
      </c>
      <c r="C36" s="5">
        <v>4.33</v>
      </c>
      <c r="D36" s="5">
        <v>3.32</v>
      </c>
      <c r="E36" s="5">
        <v>12.02</v>
      </c>
      <c r="F36" s="5">
        <v>-1.36</v>
      </c>
      <c r="G36" s="5">
        <v>5.33</v>
      </c>
      <c r="H36" s="5">
        <v>9.99</v>
      </c>
    </row>
    <row r="39" spans="1:8" x14ac:dyDescent="0.3">
      <c r="A39" t="s">
        <v>23</v>
      </c>
      <c r="B39" s="5">
        <v>39.950000000000003</v>
      </c>
      <c r="C39" s="5">
        <v>39.950000000000003</v>
      </c>
      <c r="D39" s="5">
        <v>39.950000000000003</v>
      </c>
      <c r="E39" s="5">
        <v>39.950000000000003</v>
      </c>
      <c r="F39" s="5">
        <v>39.950000000000003</v>
      </c>
      <c r="G39" s="5">
        <v>39.950000000000003</v>
      </c>
      <c r="H39" s="5">
        <v>39.950000000000003</v>
      </c>
    </row>
    <row r="40" spans="1:8" x14ac:dyDescent="0.3">
      <c r="A40" t="s">
        <v>24</v>
      </c>
      <c r="B40" s="5">
        <v>2</v>
      </c>
      <c r="C40" s="5">
        <v>2</v>
      </c>
      <c r="D40" s="5">
        <v>2</v>
      </c>
      <c r="E40" s="5">
        <v>2</v>
      </c>
      <c r="F40" s="5">
        <v>2</v>
      </c>
      <c r="G40" s="5">
        <v>2</v>
      </c>
      <c r="H40" s="5">
        <v>2</v>
      </c>
    </row>
    <row r="41" spans="1:8" x14ac:dyDescent="0.3">
      <c r="A41" t="s">
        <v>35</v>
      </c>
      <c r="B41" s="9">
        <f t="shared" ref="B41:H41" si="10">B39/B40</f>
        <v>19.975000000000001</v>
      </c>
      <c r="C41" s="9">
        <f t="shared" si="10"/>
        <v>19.975000000000001</v>
      </c>
      <c r="D41" s="9">
        <f t="shared" si="10"/>
        <v>19.975000000000001</v>
      </c>
      <c r="E41" s="9">
        <f t="shared" si="10"/>
        <v>19.975000000000001</v>
      </c>
      <c r="F41" s="9">
        <f t="shared" si="10"/>
        <v>19.975000000000001</v>
      </c>
      <c r="G41" s="9">
        <f t="shared" si="10"/>
        <v>19.975000000000001</v>
      </c>
      <c r="H41" s="9">
        <f t="shared" si="10"/>
        <v>19.975000000000001</v>
      </c>
    </row>
    <row r="42" spans="1:8" x14ac:dyDescent="0.3">
      <c r="A42" t="s">
        <v>25</v>
      </c>
    </row>
    <row r="43" spans="1:8" x14ac:dyDescent="0.3">
      <c r="A43" t="s">
        <v>26</v>
      </c>
    </row>
    <row r="44" spans="1:8" x14ac:dyDescent="0.3">
      <c r="A44" t="s">
        <v>27</v>
      </c>
      <c r="B44" s="9">
        <f t="shared" ref="B44:H44" si="11">B35/B41</f>
        <v>62.689361702127655</v>
      </c>
      <c r="C44" s="9">
        <f t="shared" si="11"/>
        <v>44.027534418022526</v>
      </c>
      <c r="D44" s="9">
        <f t="shared" si="11"/>
        <v>45.14693366708385</v>
      </c>
      <c r="E44" s="9">
        <f t="shared" si="11"/>
        <v>30.257822277847307</v>
      </c>
      <c r="F44" s="9">
        <f t="shared" si="11"/>
        <v>2.9607008760951188</v>
      </c>
      <c r="G44" s="9">
        <f t="shared" si="11"/>
        <v>47.984480600750935</v>
      </c>
      <c r="H44" s="9">
        <f t="shared" si="11"/>
        <v>51.022778473091357</v>
      </c>
    </row>
    <row r="45" spans="1:8" x14ac:dyDescent="0.3">
      <c r="A45" t="s">
        <v>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0DDB-3C89-4E84-8CB3-F37B1A783547}">
  <dimension ref="A1:H30"/>
  <sheetViews>
    <sheetView zoomScale="77" zoomScaleNormal="77" workbookViewId="0">
      <selection activeCell="C11" sqref="C11"/>
    </sheetView>
  </sheetViews>
  <sheetFormatPr defaultRowHeight="14.4" x14ac:dyDescent="0.3"/>
  <cols>
    <col min="1" max="1" width="77.33203125" customWidth="1"/>
    <col min="2" max="3" width="11" bestFit="1" customWidth="1"/>
    <col min="4" max="5" width="10" bestFit="1" customWidth="1"/>
  </cols>
  <sheetData>
    <row r="1" spans="1:8" x14ac:dyDescent="0.3">
      <c r="B1" s="115" t="s">
        <v>93</v>
      </c>
      <c r="C1" s="115" t="s">
        <v>116</v>
      </c>
      <c r="D1" s="115" t="s">
        <v>117</v>
      </c>
    </row>
    <row r="2" spans="1:8" x14ac:dyDescent="0.3">
      <c r="A2" t="s">
        <v>286</v>
      </c>
      <c r="B2" s="1">
        <v>8400.0400000000009</v>
      </c>
      <c r="C2" s="1">
        <v>12433.66</v>
      </c>
      <c r="D2" s="1">
        <v>14870.25</v>
      </c>
    </row>
    <row r="3" spans="1:8" x14ac:dyDescent="0.3">
      <c r="A3" s="2" t="s">
        <v>287</v>
      </c>
      <c r="B3" s="1">
        <v>66.349999999999994</v>
      </c>
      <c r="C3" s="1">
        <v>115.51</v>
      </c>
      <c r="D3" s="1">
        <v>74.930000000000007</v>
      </c>
      <c r="E3" s="1"/>
    </row>
    <row r="4" spans="1:8" x14ac:dyDescent="0.3">
      <c r="A4" s="2" t="s">
        <v>330</v>
      </c>
      <c r="B4" s="1">
        <f>SUM(B2:B3)</f>
        <v>8466.3900000000012</v>
      </c>
      <c r="C4" s="1">
        <f t="shared" ref="C4:D4" si="0">SUM(C2:C3)</f>
        <v>12549.17</v>
      </c>
      <c r="D4" s="1">
        <f t="shared" si="0"/>
        <v>14945.18</v>
      </c>
      <c r="H4" s="1"/>
    </row>
    <row r="5" spans="1:8" s="2" customFormat="1" x14ac:dyDescent="0.3">
      <c r="A5" t="s">
        <v>331</v>
      </c>
      <c r="C5" s="1"/>
      <c r="D5" s="1"/>
      <c r="E5" s="24"/>
    </row>
    <row r="6" spans="1:8" x14ac:dyDescent="0.3">
      <c r="A6" t="s">
        <v>103</v>
      </c>
      <c r="B6" s="1">
        <v>4027.68</v>
      </c>
      <c r="C6" s="1">
        <v>6171.1</v>
      </c>
      <c r="D6" s="1">
        <v>7125.21</v>
      </c>
    </row>
    <row r="7" spans="1:8" x14ac:dyDescent="0.3">
      <c r="A7" t="s">
        <v>332</v>
      </c>
      <c r="B7">
        <v>62.92</v>
      </c>
      <c r="C7">
        <v>175.59</v>
      </c>
      <c r="D7">
        <v>277.22000000000003</v>
      </c>
      <c r="E7" s="1"/>
    </row>
    <row r="8" spans="1:8" x14ac:dyDescent="0.3">
      <c r="A8" t="s">
        <v>340</v>
      </c>
      <c r="B8" s="56">
        <v>-71.66</v>
      </c>
      <c r="C8" s="1">
        <v>-279.75</v>
      </c>
      <c r="D8" s="1">
        <v>-8.92</v>
      </c>
    </row>
    <row r="9" spans="1:8" x14ac:dyDescent="0.3">
      <c r="A9" t="s">
        <v>288</v>
      </c>
      <c r="B9" s="1">
        <v>621.4</v>
      </c>
      <c r="C9">
        <v>780</v>
      </c>
      <c r="D9">
        <v>813.8</v>
      </c>
    </row>
    <row r="10" spans="1:8" x14ac:dyDescent="0.3">
      <c r="A10" t="s">
        <v>104</v>
      </c>
      <c r="B10">
        <v>133.94999999999999</v>
      </c>
      <c r="C10" s="1">
        <v>115.93</v>
      </c>
      <c r="D10" s="1">
        <v>204.82</v>
      </c>
    </row>
    <row r="11" spans="1:8" x14ac:dyDescent="0.3">
      <c r="A11" s="2" t="s">
        <v>289</v>
      </c>
      <c r="B11" s="1">
        <v>453.08</v>
      </c>
      <c r="C11" s="1">
        <v>517.23</v>
      </c>
      <c r="D11" s="1">
        <v>575.32000000000005</v>
      </c>
      <c r="E11" s="1"/>
    </row>
    <row r="12" spans="1:8" x14ac:dyDescent="0.3">
      <c r="A12" s="2" t="s">
        <v>105</v>
      </c>
      <c r="B12" s="1">
        <v>1626.37</v>
      </c>
      <c r="C12" s="1">
        <v>2483.52</v>
      </c>
      <c r="D12" s="1">
        <v>3133.74</v>
      </c>
    </row>
    <row r="13" spans="1:8" x14ac:dyDescent="0.3">
      <c r="A13" t="s">
        <v>333</v>
      </c>
      <c r="B13" s="1">
        <f>SUM(B6:B12)</f>
        <v>6853.74</v>
      </c>
      <c r="C13" s="1">
        <f t="shared" ref="C13:D13" si="1">SUM(C6:C12)</f>
        <v>9963.6200000000008</v>
      </c>
      <c r="D13" s="1">
        <f t="shared" si="1"/>
        <v>12121.189999999999</v>
      </c>
    </row>
    <row r="14" spans="1:8" x14ac:dyDescent="0.3">
      <c r="A14" s="2" t="s">
        <v>334</v>
      </c>
      <c r="B14" s="1">
        <f>B4-B13</f>
        <v>1612.6500000000015</v>
      </c>
      <c r="C14" s="1">
        <f t="shared" ref="C14:D14" si="2">C4-C13</f>
        <v>2585.5499999999993</v>
      </c>
      <c r="D14" s="1">
        <f t="shared" si="2"/>
        <v>2823.9900000000016</v>
      </c>
      <c r="E14" s="1"/>
    </row>
    <row r="15" spans="1:8" s="2" customFormat="1" x14ac:dyDescent="0.3">
      <c r="A15" s="2" t="s">
        <v>335</v>
      </c>
      <c r="B15"/>
      <c r="C15"/>
      <c r="D15"/>
      <c r="E15" s="24"/>
    </row>
    <row r="16" spans="1:8" x14ac:dyDescent="0.3">
      <c r="A16" s="2" t="s">
        <v>19</v>
      </c>
      <c r="B16">
        <v>357.99</v>
      </c>
      <c r="C16">
        <v>657.53</v>
      </c>
      <c r="D16">
        <v>614.88</v>
      </c>
    </row>
    <row r="17" spans="1:5" x14ac:dyDescent="0.3">
      <c r="A17" s="2" t="s">
        <v>20</v>
      </c>
    </row>
    <row r="18" spans="1:5" s="2" customFormat="1" x14ac:dyDescent="0.3">
      <c r="A18" t="s">
        <v>338</v>
      </c>
      <c r="B18" s="56">
        <v>-5.38</v>
      </c>
      <c r="C18" s="56">
        <v>-25.27</v>
      </c>
      <c r="D18" s="56">
        <v>-94.13</v>
      </c>
      <c r="E18" s="24"/>
    </row>
    <row r="19" spans="1:5" x14ac:dyDescent="0.3">
      <c r="A19" t="s">
        <v>339</v>
      </c>
      <c r="B19">
        <v>61.79</v>
      </c>
      <c r="C19">
        <v>64.37</v>
      </c>
      <c r="D19">
        <v>140.9</v>
      </c>
    </row>
    <row r="20" spans="1:5" x14ac:dyDescent="0.3">
      <c r="A20" s="2" t="s">
        <v>341</v>
      </c>
      <c r="B20" s="25">
        <f>B16+B18+B19</f>
        <v>414.40000000000003</v>
      </c>
      <c r="C20" s="25">
        <f t="shared" ref="C20:D20" si="3">C16+C18+C19</f>
        <v>696.63</v>
      </c>
      <c r="D20" s="25">
        <f t="shared" si="3"/>
        <v>661.65</v>
      </c>
    </row>
    <row r="21" spans="1:5" x14ac:dyDescent="0.3">
      <c r="A21" s="15" t="s">
        <v>336</v>
      </c>
      <c r="B21" s="25"/>
      <c r="C21" s="25"/>
      <c r="D21" s="25"/>
    </row>
    <row r="22" spans="1:5" x14ac:dyDescent="0.3">
      <c r="A22" t="s">
        <v>342</v>
      </c>
      <c r="B22" s="56">
        <v>-2.73</v>
      </c>
      <c r="C22" s="25"/>
      <c r="D22" s="25"/>
    </row>
    <row r="23" spans="1:5" x14ac:dyDescent="0.3">
      <c r="A23" t="s">
        <v>343</v>
      </c>
      <c r="B23" s="56">
        <v>-2.42</v>
      </c>
    </row>
    <row r="24" spans="1:5" x14ac:dyDescent="0.3">
      <c r="A24" s="2" t="s">
        <v>344</v>
      </c>
      <c r="B24" s="76">
        <f>-B22+B23</f>
        <v>0.31000000000000005</v>
      </c>
    </row>
    <row r="25" spans="1:5" x14ac:dyDescent="0.3">
      <c r="A25" s="2" t="s">
        <v>337</v>
      </c>
      <c r="B25" s="76">
        <f>B14-B20-B24</f>
        <v>1197.9400000000014</v>
      </c>
      <c r="C25" s="76">
        <f t="shared" ref="C25:D25" si="4">C14-C20-C24</f>
        <v>1888.9199999999992</v>
      </c>
      <c r="D25" s="76">
        <f t="shared" si="4"/>
        <v>2162.3400000000015</v>
      </c>
    </row>
    <row r="27" spans="1:5" x14ac:dyDescent="0.3">
      <c r="A27" s="17" t="s">
        <v>70</v>
      </c>
      <c r="B27" s="20">
        <v>60.26</v>
      </c>
      <c r="C27" s="20">
        <v>297.44</v>
      </c>
      <c r="D27" s="20">
        <v>297.44</v>
      </c>
    </row>
    <row r="28" spans="1:5" x14ac:dyDescent="0.3">
      <c r="A28" s="17" t="s">
        <v>71</v>
      </c>
      <c r="B28" s="20">
        <v>10</v>
      </c>
      <c r="C28" s="20">
        <v>10</v>
      </c>
      <c r="D28" s="20">
        <v>10</v>
      </c>
    </row>
    <row r="29" spans="1:5" x14ac:dyDescent="0.3">
      <c r="A29" s="17" t="s">
        <v>285</v>
      </c>
      <c r="B29" s="20">
        <f>B27/B28</f>
        <v>6.0259999999999998</v>
      </c>
      <c r="C29" s="20">
        <f t="shared" ref="C29:D29" si="5">C27/C28</f>
        <v>29.744</v>
      </c>
      <c r="D29" s="20">
        <f t="shared" si="5"/>
        <v>29.744</v>
      </c>
    </row>
    <row r="30" spans="1:5" x14ac:dyDescent="0.3">
      <c r="A30" s="17" t="s">
        <v>73</v>
      </c>
      <c r="B30" s="20">
        <f>B25/B29</f>
        <v>198.79522071025579</v>
      </c>
      <c r="C30" s="20">
        <f t="shared" ref="C30:D30" si="6">C25/C29</f>
        <v>63.505917159763285</v>
      </c>
      <c r="D30" s="20">
        <f t="shared" si="6"/>
        <v>72.698359332974775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D19C-6D67-4730-BCF5-009050D3B0EF}">
  <dimension ref="B2:F11"/>
  <sheetViews>
    <sheetView zoomScale="175" zoomScaleNormal="175" workbookViewId="0">
      <selection activeCell="I3" sqref="I1:I1048576"/>
    </sheetView>
  </sheetViews>
  <sheetFormatPr defaultRowHeight="14.4" x14ac:dyDescent="0.3"/>
  <sheetData>
    <row r="2" spans="2:6" x14ac:dyDescent="0.3">
      <c r="B2" t="s">
        <v>243</v>
      </c>
    </row>
    <row r="3" spans="2:6" x14ac:dyDescent="0.3">
      <c r="F3" t="s">
        <v>244</v>
      </c>
    </row>
    <row r="4" spans="2:6" x14ac:dyDescent="0.3">
      <c r="B4" t="s">
        <v>242</v>
      </c>
      <c r="C4">
        <v>10</v>
      </c>
      <c r="F4">
        <v>12</v>
      </c>
    </row>
    <row r="7" spans="2:6" x14ac:dyDescent="0.3">
      <c r="B7" t="s">
        <v>164</v>
      </c>
      <c r="C7">
        <v>12</v>
      </c>
    </row>
    <row r="8" spans="2:6" x14ac:dyDescent="0.3">
      <c r="B8" t="s">
        <v>245</v>
      </c>
      <c r="C8">
        <v>10</v>
      </c>
    </row>
    <row r="9" spans="2:6" x14ac:dyDescent="0.3">
      <c r="C9" s="19">
        <f>C8/C7</f>
        <v>0.83333333333333337</v>
      </c>
    </row>
    <row r="10" spans="2:6" x14ac:dyDescent="0.3">
      <c r="C10" s="19"/>
    </row>
    <row r="11" spans="2:6" x14ac:dyDescent="0.3">
      <c r="B11" t="s">
        <v>214</v>
      </c>
      <c r="C11">
        <f>C7-C8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1F13-D3B8-4A99-915C-6FE99837E07C}">
  <dimension ref="B1:AL31"/>
  <sheetViews>
    <sheetView workbookViewId="0">
      <selection activeCell="I3" sqref="I1:I1048576"/>
    </sheetView>
  </sheetViews>
  <sheetFormatPr defaultRowHeight="14.4" x14ac:dyDescent="0.3"/>
  <cols>
    <col min="2" max="2" width="12.88671875" bestFit="1" customWidth="1"/>
    <col min="3" max="12" width="8.109375" bestFit="1" customWidth="1"/>
    <col min="13" max="13" width="8.33203125" customWidth="1"/>
    <col min="14" max="26" width="8.109375" bestFit="1" customWidth="1"/>
    <col min="28" max="28" width="6.88671875" bestFit="1" customWidth="1"/>
    <col min="29" max="35" width="8.109375" bestFit="1" customWidth="1"/>
    <col min="36" max="36" width="9" bestFit="1" customWidth="1"/>
    <col min="37" max="37" width="8.109375" bestFit="1" customWidth="1"/>
  </cols>
  <sheetData>
    <row r="1" spans="2:38" x14ac:dyDescent="0.3">
      <c r="C1" s="67">
        <v>43191</v>
      </c>
      <c r="D1" s="67">
        <v>43221</v>
      </c>
      <c r="E1" s="67">
        <v>43252</v>
      </c>
      <c r="F1" s="67">
        <v>43282</v>
      </c>
      <c r="G1" s="67">
        <v>43313</v>
      </c>
      <c r="H1" s="67">
        <v>43344</v>
      </c>
      <c r="I1" s="67">
        <v>43374</v>
      </c>
      <c r="J1" s="67">
        <v>43405</v>
      </c>
      <c r="K1" s="67">
        <v>43435</v>
      </c>
      <c r="L1" s="67">
        <v>43466</v>
      </c>
      <c r="M1" s="67">
        <v>43497</v>
      </c>
      <c r="N1" s="67">
        <v>43525</v>
      </c>
      <c r="O1" s="67">
        <v>43556</v>
      </c>
      <c r="P1" s="67">
        <v>43586</v>
      </c>
      <c r="Q1" s="67">
        <v>43617</v>
      </c>
      <c r="R1" s="67">
        <v>43647</v>
      </c>
      <c r="S1" s="67">
        <v>43678</v>
      </c>
      <c r="T1" s="67">
        <v>43709</v>
      </c>
      <c r="U1" s="67">
        <v>43739</v>
      </c>
      <c r="V1" s="67">
        <v>43770</v>
      </c>
      <c r="W1" s="67">
        <v>43800</v>
      </c>
      <c r="X1" s="67">
        <v>43831</v>
      </c>
      <c r="Y1" s="67">
        <v>43862</v>
      </c>
      <c r="Z1" s="67">
        <v>43891</v>
      </c>
      <c r="AA1" s="67">
        <v>43922</v>
      </c>
      <c r="AB1" s="67">
        <v>43952</v>
      </c>
      <c r="AC1" s="67">
        <v>43983</v>
      </c>
      <c r="AD1" s="67">
        <v>44013</v>
      </c>
      <c r="AE1" s="67">
        <v>44044</v>
      </c>
      <c r="AF1" s="67">
        <v>44075</v>
      </c>
      <c r="AG1" s="67">
        <v>44105</v>
      </c>
      <c r="AH1" s="67">
        <v>44136</v>
      </c>
      <c r="AI1" s="67">
        <v>44166</v>
      </c>
      <c r="AJ1" s="67">
        <v>44197</v>
      </c>
      <c r="AK1" s="67">
        <v>44228</v>
      </c>
      <c r="AL1" s="67">
        <v>44256</v>
      </c>
    </row>
    <row r="2" spans="2:38" x14ac:dyDescent="0.3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</row>
    <row r="3" spans="2:38" x14ac:dyDescent="0.3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</row>
    <row r="4" spans="2:38" x14ac:dyDescent="0.3">
      <c r="B4" s="71" t="s">
        <v>181</v>
      </c>
      <c r="C4" s="68">
        <v>331</v>
      </c>
      <c r="D4" s="68">
        <v>548</v>
      </c>
      <c r="E4" s="68">
        <v>175</v>
      </c>
      <c r="F4" s="68">
        <v>259</v>
      </c>
      <c r="G4" s="68">
        <v>244</v>
      </c>
      <c r="H4" s="68">
        <v>202</v>
      </c>
      <c r="I4" s="68">
        <v>13</v>
      </c>
      <c r="J4" s="68">
        <v>0</v>
      </c>
      <c r="K4" s="68">
        <v>277</v>
      </c>
      <c r="L4" s="68">
        <v>62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/>
      <c r="AB4" s="68"/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/>
    </row>
    <row r="5" spans="2:38" x14ac:dyDescent="0.3">
      <c r="B5" s="71" t="s">
        <v>182</v>
      </c>
      <c r="C5" s="68">
        <v>172340</v>
      </c>
      <c r="D5" s="68">
        <v>184131</v>
      </c>
      <c r="E5" s="68">
        <v>182883</v>
      </c>
      <c r="F5" s="68">
        <v>183694</v>
      </c>
      <c r="G5" s="68">
        <v>183716</v>
      </c>
      <c r="H5" s="68">
        <v>201240</v>
      </c>
      <c r="I5" s="68">
        <v>200312</v>
      </c>
      <c r="J5" s="68">
        <v>168839</v>
      </c>
      <c r="K5" s="68">
        <v>165321</v>
      </c>
      <c r="L5" s="68">
        <v>195706</v>
      </c>
      <c r="M5" s="68">
        <v>184396</v>
      </c>
      <c r="N5" s="68">
        <v>146162</v>
      </c>
      <c r="O5" s="68">
        <v>182029</v>
      </c>
      <c r="P5" s="68">
        <v>183255</v>
      </c>
      <c r="Q5" s="68">
        <v>193194</v>
      </c>
      <c r="R5" s="68">
        <v>169632</v>
      </c>
      <c r="S5" s="68">
        <v>160684</v>
      </c>
      <c r="T5" s="68">
        <v>195093</v>
      </c>
      <c r="U5" s="68">
        <v>185751</v>
      </c>
      <c r="V5" s="68">
        <v>159544</v>
      </c>
      <c r="W5" s="68">
        <v>138951</v>
      </c>
      <c r="X5" s="68">
        <v>191875</v>
      </c>
      <c r="Y5" s="68">
        <v>175997</v>
      </c>
      <c r="Z5" s="68">
        <v>114969</v>
      </c>
      <c r="AA5" s="68"/>
      <c r="AB5" s="68">
        <v>24830</v>
      </c>
      <c r="AC5" s="68">
        <v>129602</v>
      </c>
      <c r="AD5" s="68">
        <v>154142</v>
      </c>
      <c r="AE5" s="68">
        <v>177168</v>
      </c>
      <c r="AF5" s="68">
        <v>216201</v>
      </c>
      <c r="AG5" s="68">
        <v>233061</v>
      </c>
      <c r="AH5" s="68">
        <v>179426</v>
      </c>
      <c r="AI5" s="68">
        <v>141168</v>
      </c>
      <c r="AJ5" s="68">
        <v>134860</v>
      </c>
      <c r="AK5" s="68">
        <v>126309</v>
      </c>
      <c r="AL5" s="68"/>
    </row>
    <row r="6" spans="2:38" x14ac:dyDescent="0.3">
      <c r="B6" s="71" t="s">
        <v>127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</row>
    <row r="7" spans="2:38" x14ac:dyDescent="0.3">
      <c r="B7" s="71" t="s">
        <v>183</v>
      </c>
      <c r="C7" s="68">
        <v>95834</v>
      </c>
      <c r="D7" s="68">
        <v>96389</v>
      </c>
      <c r="E7" s="68">
        <v>97715</v>
      </c>
      <c r="F7" s="68">
        <v>88354</v>
      </c>
      <c r="G7" s="68">
        <v>82681</v>
      </c>
      <c r="H7" s="68">
        <v>95057</v>
      </c>
      <c r="I7" s="68">
        <v>84870</v>
      </c>
      <c r="J7" s="68">
        <v>74396</v>
      </c>
      <c r="K7" s="68">
        <v>29614</v>
      </c>
      <c r="L7" s="68">
        <v>45711</v>
      </c>
      <c r="M7" s="68">
        <v>67374</v>
      </c>
      <c r="N7" s="68">
        <v>58544</v>
      </c>
      <c r="O7" s="68">
        <v>59138</v>
      </c>
      <c r="P7" s="68">
        <v>69663</v>
      </c>
      <c r="Q7" s="68">
        <v>56143</v>
      </c>
      <c r="R7" s="68">
        <v>43439</v>
      </c>
      <c r="S7" s="68">
        <v>41157</v>
      </c>
      <c r="T7" s="68">
        <v>40672</v>
      </c>
      <c r="U7" s="68">
        <v>45928</v>
      </c>
      <c r="V7" s="68">
        <v>39525</v>
      </c>
      <c r="W7" s="68">
        <v>26960</v>
      </c>
      <c r="X7" s="68">
        <v>26905</v>
      </c>
      <c r="Y7" s="68">
        <v>34797</v>
      </c>
      <c r="Z7" s="68">
        <v>17937</v>
      </c>
      <c r="AA7" s="68"/>
      <c r="AB7" s="68">
        <v>13436</v>
      </c>
      <c r="AC7" s="68">
        <v>39900</v>
      </c>
      <c r="AD7" s="68">
        <v>44377</v>
      </c>
      <c r="AE7" s="68">
        <v>52471</v>
      </c>
      <c r="AF7" s="68">
        <v>63296</v>
      </c>
      <c r="AG7" s="68">
        <v>75540</v>
      </c>
      <c r="AH7" s="68">
        <v>53768</v>
      </c>
      <c r="AI7" s="68">
        <v>36624</v>
      </c>
      <c r="AJ7" s="68">
        <v>43162</v>
      </c>
      <c r="AK7" s="68">
        <v>34417</v>
      </c>
      <c r="AL7" s="68"/>
    </row>
    <row r="8" spans="2:38" x14ac:dyDescent="0.3">
      <c r="B8" s="71" t="s">
        <v>129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>
        <v>65330</v>
      </c>
      <c r="R8" s="68"/>
      <c r="S8" s="68"/>
      <c r="T8" s="68">
        <v>62016</v>
      </c>
      <c r="U8" s="68">
        <v>41959</v>
      </c>
      <c r="V8" s="68">
        <v>41532</v>
      </c>
      <c r="W8" s="68">
        <v>31133</v>
      </c>
      <c r="X8" s="68">
        <v>33949</v>
      </c>
      <c r="Y8" s="68">
        <v>30694</v>
      </c>
      <c r="Z8" s="68">
        <v>42195</v>
      </c>
      <c r="AA8" s="68"/>
      <c r="AB8" s="68">
        <v>9119</v>
      </c>
      <c r="AC8" s="68">
        <v>52464</v>
      </c>
      <c r="AD8" s="68">
        <v>53933</v>
      </c>
      <c r="AE8" s="68">
        <v>54490</v>
      </c>
      <c r="AF8" s="68">
        <v>64377</v>
      </c>
      <c r="AG8" s="68">
        <v>72391</v>
      </c>
      <c r="AH8" s="68">
        <v>50499</v>
      </c>
      <c r="AI8" s="68">
        <v>31085</v>
      </c>
      <c r="AJ8" s="68">
        <v>37225</v>
      </c>
      <c r="AK8" s="68">
        <v>34276</v>
      </c>
      <c r="AL8" s="68"/>
    </row>
    <row r="9" spans="2:38" x14ac:dyDescent="0.3">
      <c r="B9" s="71" t="s">
        <v>128</v>
      </c>
      <c r="C9" s="68">
        <v>266067</v>
      </c>
      <c r="D9" s="68">
        <v>280763</v>
      </c>
      <c r="E9" s="68">
        <v>278169</v>
      </c>
      <c r="F9" s="68">
        <v>260865</v>
      </c>
      <c r="G9" s="68">
        <v>247116</v>
      </c>
      <c r="H9" s="68">
        <v>285508</v>
      </c>
      <c r="I9" s="68">
        <v>268377</v>
      </c>
      <c r="J9" s="68">
        <v>225536</v>
      </c>
      <c r="K9" s="68">
        <v>178411</v>
      </c>
      <c r="L9" s="68">
        <v>223909</v>
      </c>
      <c r="M9" s="68">
        <v>244241</v>
      </c>
      <c r="N9" s="68">
        <v>246656</v>
      </c>
      <c r="O9" s="68">
        <v>223532</v>
      </c>
      <c r="P9" s="68">
        <v>199225</v>
      </c>
      <c r="Q9" s="68">
        <v>177413</v>
      </c>
      <c r="R9" s="68">
        <v>130333</v>
      </c>
      <c r="S9" s="68">
        <v>170258</v>
      </c>
      <c r="T9" s="68">
        <v>192593</v>
      </c>
      <c r="U9" s="68">
        <v>222178</v>
      </c>
      <c r="V9" s="68">
        <v>181757</v>
      </c>
      <c r="W9" s="68">
        <v>162593</v>
      </c>
      <c r="X9" s="68">
        <v>188629</v>
      </c>
      <c r="Y9" s="68">
        <v>184502</v>
      </c>
      <c r="Z9" s="68">
        <v>101541</v>
      </c>
      <c r="AA9" s="68"/>
      <c r="AB9" s="68">
        <v>32879</v>
      </c>
      <c r="AC9" s="68">
        <v>127802</v>
      </c>
      <c r="AD9" s="68">
        <v>159480</v>
      </c>
      <c r="AE9" s="68">
        <v>177811</v>
      </c>
      <c r="AF9" s="68">
        <v>215873</v>
      </c>
      <c r="AG9" s="68">
        <v>243407</v>
      </c>
      <c r="AH9" s="68">
        <v>197899</v>
      </c>
      <c r="AI9" s="68">
        <v>163845</v>
      </c>
      <c r="AJ9" s="68">
        <v>188157</v>
      </c>
      <c r="AK9" s="68">
        <v>213146</v>
      </c>
      <c r="AL9" s="68"/>
    </row>
    <row r="10" spans="2:38" x14ac:dyDescent="0.3">
      <c r="B10" s="71" t="s">
        <v>184</v>
      </c>
      <c r="C10" s="68">
        <v>69900</v>
      </c>
      <c r="D10" s="68">
        <v>72102</v>
      </c>
      <c r="E10" s="68">
        <v>63417</v>
      </c>
      <c r="F10" s="68">
        <v>74553</v>
      </c>
      <c r="G10" s="68">
        <v>74097</v>
      </c>
      <c r="H10" s="68">
        <v>82864</v>
      </c>
      <c r="I10" s="68">
        <v>80627</v>
      </c>
      <c r="J10" s="68">
        <v>63416</v>
      </c>
      <c r="K10" s="68">
        <v>25377</v>
      </c>
      <c r="L10" s="68">
        <v>45933</v>
      </c>
      <c r="M10" s="68">
        <v>46083</v>
      </c>
      <c r="N10" s="68">
        <v>56658</v>
      </c>
      <c r="O10" s="68">
        <v>67829</v>
      </c>
      <c r="P10" s="68">
        <v>69379</v>
      </c>
      <c r="Q10" s="68">
        <v>69878</v>
      </c>
      <c r="R10" s="68">
        <v>71160</v>
      </c>
      <c r="S10" s="68">
        <v>60706</v>
      </c>
      <c r="T10" s="68">
        <v>62016</v>
      </c>
      <c r="U10" s="68">
        <v>40896</v>
      </c>
      <c r="V10" s="68">
        <v>43370</v>
      </c>
      <c r="W10" s="68">
        <v>28606</v>
      </c>
      <c r="X10" s="68">
        <v>40318</v>
      </c>
      <c r="Y10" s="68">
        <v>35752</v>
      </c>
      <c r="Z10" s="68">
        <v>12713</v>
      </c>
      <c r="AA10" s="68"/>
      <c r="AB10" s="68">
        <v>22640</v>
      </c>
      <c r="AC10" s="68">
        <v>45252</v>
      </c>
      <c r="AD10" s="68">
        <v>51225</v>
      </c>
      <c r="AE10" s="68">
        <v>54315</v>
      </c>
      <c r="AF10" s="68">
        <v>69477</v>
      </c>
      <c r="AG10" s="68">
        <v>78439</v>
      </c>
      <c r="AH10" s="68">
        <v>39899</v>
      </c>
      <c r="AI10" s="68">
        <v>19238</v>
      </c>
      <c r="AJ10" s="68">
        <v>22681</v>
      </c>
      <c r="AK10" s="68">
        <v>27375</v>
      </c>
      <c r="AL10" s="68"/>
    </row>
    <row r="11" spans="2:38" x14ac:dyDescent="0.3">
      <c r="B11" s="71" t="s">
        <v>185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>
        <v>0</v>
      </c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</row>
    <row r="12" spans="2:38" x14ac:dyDescent="0.3">
      <c r="B12" s="71" t="s">
        <v>186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>
        <v>0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</row>
    <row r="13" spans="2:38" x14ac:dyDescent="0.3">
      <c r="B13" s="71" t="s">
        <v>187</v>
      </c>
      <c r="C13" s="68">
        <v>0</v>
      </c>
      <c r="D13" s="68">
        <v>17</v>
      </c>
      <c r="E13" s="68">
        <v>12</v>
      </c>
      <c r="F13" s="68">
        <v>14</v>
      </c>
      <c r="G13" s="68">
        <v>10</v>
      </c>
      <c r="H13" s="68">
        <v>11</v>
      </c>
      <c r="I13" s="68">
        <v>0</v>
      </c>
      <c r="J13" s="68">
        <v>4</v>
      </c>
      <c r="K13" s="68">
        <v>4</v>
      </c>
      <c r="L13" s="68">
        <v>4</v>
      </c>
      <c r="M13" s="68"/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/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/>
      <c r="AB13" s="68">
        <v>0</v>
      </c>
      <c r="AC13" s="68">
        <v>0</v>
      </c>
      <c r="AD13" s="68">
        <v>0</v>
      </c>
      <c r="AE13" s="68">
        <v>0</v>
      </c>
      <c r="AF13" s="68"/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/>
    </row>
    <row r="14" spans="2:38" x14ac:dyDescent="0.3">
      <c r="B14" s="71" t="s">
        <v>124</v>
      </c>
      <c r="C14" s="68">
        <v>1557</v>
      </c>
      <c r="D14" s="68">
        <v>1584</v>
      </c>
      <c r="E14" s="68">
        <v>1913</v>
      </c>
      <c r="F14" s="68">
        <v>998</v>
      </c>
      <c r="G14" s="68">
        <v>1027</v>
      </c>
      <c r="H14" s="68">
        <v>1183</v>
      </c>
      <c r="I14" s="68">
        <v>1049</v>
      </c>
      <c r="J14" s="68">
        <v>346</v>
      </c>
      <c r="K14" s="68">
        <v>35</v>
      </c>
      <c r="L14" s="68">
        <v>234</v>
      </c>
      <c r="M14" s="68">
        <v>128</v>
      </c>
      <c r="N14" s="68">
        <v>57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/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/>
      <c r="AB14" s="68">
        <v>0</v>
      </c>
      <c r="AC14" s="68">
        <v>0</v>
      </c>
      <c r="AD14" s="68">
        <v>0</v>
      </c>
      <c r="AE14" s="68">
        <v>0</v>
      </c>
      <c r="AF14" s="68"/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/>
    </row>
    <row r="15" spans="2:38" x14ac:dyDescent="0.3">
      <c r="B15" s="71" t="s">
        <v>188</v>
      </c>
      <c r="C15" s="68">
        <v>1691</v>
      </c>
      <c r="D15" s="68">
        <v>1669</v>
      </c>
      <c r="E15" s="68">
        <v>1910</v>
      </c>
      <c r="F15" s="68">
        <v>1185</v>
      </c>
      <c r="G15" s="68">
        <v>857</v>
      </c>
      <c r="H15" s="68">
        <v>5401</v>
      </c>
      <c r="I15" s="68">
        <v>7126</v>
      </c>
      <c r="J15" s="68">
        <v>0</v>
      </c>
      <c r="K15" s="68">
        <v>1671</v>
      </c>
      <c r="L15" s="68">
        <v>161</v>
      </c>
      <c r="M15" s="68">
        <v>0</v>
      </c>
      <c r="N15" s="68"/>
      <c r="O15" s="68">
        <v>0</v>
      </c>
      <c r="P15" s="68">
        <v>462</v>
      </c>
      <c r="Q15" s="68">
        <v>1992</v>
      </c>
      <c r="R15" s="68">
        <v>1596</v>
      </c>
      <c r="S15" s="68">
        <v>2087</v>
      </c>
      <c r="T15" s="68">
        <v>1965</v>
      </c>
      <c r="U15" s="68">
        <v>1844</v>
      </c>
      <c r="V15" s="68">
        <v>0</v>
      </c>
      <c r="W15" s="68">
        <v>0</v>
      </c>
      <c r="X15" s="68">
        <v>0</v>
      </c>
      <c r="Y15" s="68">
        <v>0</v>
      </c>
      <c r="Z15" s="68"/>
      <c r="AA15" s="68"/>
      <c r="AB15" s="68">
        <v>0</v>
      </c>
      <c r="AC15" s="68">
        <v>220</v>
      </c>
      <c r="AD15" s="68">
        <v>6639</v>
      </c>
      <c r="AE15" s="68">
        <v>12037</v>
      </c>
      <c r="AF15" s="68">
        <v>0</v>
      </c>
      <c r="AG15" s="68">
        <v>0</v>
      </c>
      <c r="AH15" s="68">
        <v>0</v>
      </c>
      <c r="AI15" s="68">
        <v>0</v>
      </c>
      <c r="AJ15" s="68">
        <v>0</v>
      </c>
      <c r="AK15" s="68">
        <v>0</v>
      </c>
      <c r="AL15" s="68"/>
    </row>
    <row r="16" spans="2:38" x14ac:dyDescent="0.3">
      <c r="B16" s="71" t="s">
        <v>125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/>
      <c r="M16" s="68"/>
      <c r="N16" s="68">
        <v>0</v>
      </c>
      <c r="O16" s="68">
        <v>0</v>
      </c>
      <c r="P16" s="68"/>
      <c r="Q16" s="68"/>
      <c r="R16" s="68">
        <v>0</v>
      </c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>
        <v>0</v>
      </c>
      <c r="AE16" s="68"/>
      <c r="AF16" s="68"/>
      <c r="AG16" s="68"/>
      <c r="AH16" s="68"/>
      <c r="AI16" s="68"/>
      <c r="AJ16" s="68"/>
      <c r="AK16" s="68"/>
      <c r="AL16" s="68"/>
    </row>
    <row r="17" spans="2:38" x14ac:dyDescent="0.3">
      <c r="B17" s="71" t="s">
        <v>189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>
        <v>0</v>
      </c>
      <c r="AE17" s="68"/>
      <c r="AF17" s="68"/>
      <c r="AG17" s="68"/>
      <c r="AH17" s="68"/>
      <c r="AI17" s="68"/>
      <c r="AJ17" s="68"/>
      <c r="AK17" s="68"/>
      <c r="AL17" s="68"/>
    </row>
    <row r="18" spans="2:38" x14ac:dyDescent="0.3">
      <c r="B18" s="71" t="s">
        <v>190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/>
      <c r="M18" s="68"/>
      <c r="N18" s="68">
        <v>0</v>
      </c>
      <c r="O18" s="68">
        <v>0</v>
      </c>
      <c r="P18" s="68"/>
      <c r="Q18" s="68"/>
      <c r="R18" s="68">
        <v>0</v>
      </c>
      <c r="S18" s="68"/>
      <c r="T18" s="68"/>
      <c r="U18" s="68"/>
      <c r="V18" s="68"/>
      <c r="W18" s="68">
        <v>0</v>
      </c>
      <c r="X18" s="68"/>
      <c r="Y18" s="68"/>
      <c r="Z18" s="68"/>
      <c r="AA18" s="68"/>
      <c r="AB18" s="68"/>
      <c r="AC18" s="68"/>
      <c r="AD18" s="68">
        <v>0</v>
      </c>
      <c r="AE18" s="68"/>
      <c r="AF18" s="68"/>
      <c r="AG18" s="68"/>
      <c r="AH18" s="68"/>
      <c r="AI18" s="68"/>
      <c r="AJ18" s="68"/>
      <c r="AK18" s="68"/>
      <c r="AL18" s="68"/>
    </row>
    <row r="19" spans="2:38" x14ac:dyDescent="0.3">
      <c r="B19" s="71" t="s">
        <v>191</v>
      </c>
      <c r="C19" s="68">
        <v>0</v>
      </c>
      <c r="D19" s="68"/>
      <c r="E19" s="68"/>
      <c r="F19" s="68"/>
      <c r="G19" s="68">
        <v>1653</v>
      </c>
      <c r="H19" s="68"/>
      <c r="I19" s="68"/>
      <c r="J19" s="68">
        <v>3266</v>
      </c>
      <c r="K19" s="68">
        <v>0</v>
      </c>
      <c r="L19" s="68">
        <v>2931</v>
      </c>
      <c r="M19" s="68">
        <v>1851</v>
      </c>
      <c r="N19" s="68">
        <v>1618</v>
      </c>
      <c r="O19" s="68">
        <v>1633</v>
      </c>
      <c r="P19" s="68">
        <v>1536</v>
      </c>
      <c r="Q19" s="68">
        <v>837</v>
      </c>
      <c r="R19" s="68">
        <v>426</v>
      </c>
      <c r="S19" s="68">
        <v>429</v>
      </c>
      <c r="T19" s="68">
        <v>530</v>
      </c>
      <c r="U19" s="68">
        <v>347</v>
      </c>
      <c r="V19" s="68">
        <v>1237</v>
      </c>
      <c r="W19" s="68">
        <v>653</v>
      </c>
      <c r="X19" s="68">
        <v>114</v>
      </c>
      <c r="Y19" s="68">
        <v>605</v>
      </c>
      <c r="Z19" s="68">
        <v>194</v>
      </c>
      <c r="AA19" s="68"/>
      <c r="AB19" s="68">
        <v>0</v>
      </c>
      <c r="AC19" s="68">
        <v>0</v>
      </c>
      <c r="AD19" s="68">
        <v>0</v>
      </c>
      <c r="AE19" s="68">
        <v>0</v>
      </c>
      <c r="AF19" s="68">
        <v>12930</v>
      </c>
      <c r="AG19" s="68">
        <v>12480</v>
      </c>
      <c r="AH19" s="68">
        <v>5460</v>
      </c>
      <c r="AI19" s="68">
        <v>3265</v>
      </c>
      <c r="AJ19" s="68">
        <v>5443</v>
      </c>
      <c r="AK19" s="68">
        <v>4985</v>
      </c>
      <c r="AL19" s="68"/>
    </row>
    <row r="20" spans="2:38" x14ac:dyDescent="0.3">
      <c r="B20" s="71" t="s">
        <v>192</v>
      </c>
      <c r="C20" s="68"/>
      <c r="D20" s="68"/>
      <c r="E20" s="68"/>
      <c r="F20" s="68"/>
      <c r="G20" s="68">
        <v>0</v>
      </c>
      <c r="H20" s="68"/>
      <c r="I20" s="68"/>
      <c r="J20" s="68">
        <v>0</v>
      </c>
      <c r="K20" s="68"/>
      <c r="L20" s="68"/>
      <c r="M20" s="68">
        <v>0</v>
      </c>
      <c r="N20" s="68"/>
      <c r="O20" s="68"/>
      <c r="P20" s="68">
        <v>1026</v>
      </c>
      <c r="Q20" s="68">
        <v>2674</v>
      </c>
      <c r="R20" s="68">
        <v>2530</v>
      </c>
      <c r="S20" s="68">
        <v>3734</v>
      </c>
      <c r="T20" s="68">
        <v>0</v>
      </c>
      <c r="U20" s="68">
        <v>2769</v>
      </c>
      <c r="V20" s="68">
        <v>2936</v>
      </c>
      <c r="W20" s="68">
        <v>2311</v>
      </c>
      <c r="X20" s="68">
        <v>139</v>
      </c>
      <c r="Y20" s="68">
        <v>5</v>
      </c>
      <c r="Z20" s="68">
        <v>20</v>
      </c>
      <c r="AA20" s="68"/>
      <c r="AB20" s="68">
        <v>0</v>
      </c>
      <c r="AC20" s="68">
        <v>0</v>
      </c>
      <c r="AD20" s="68">
        <v>1475</v>
      </c>
      <c r="AE20" s="68">
        <v>1317</v>
      </c>
      <c r="AF20" s="68">
        <v>1398</v>
      </c>
      <c r="AG20" s="68">
        <v>2473</v>
      </c>
      <c r="AH20" s="68">
        <v>1372</v>
      </c>
      <c r="AI20" s="68">
        <v>1018</v>
      </c>
      <c r="AJ20" s="68">
        <v>1750</v>
      </c>
      <c r="AK20" s="68">
        <v>2861</v>
      </c>
      <c r="AL20" s="68"/>
    </row>
    <row r="22" spans="2:38" x14ac:dyDescent="0.3">
      <c r="B22" s="71" t="s">
        <v>139</v>
      </c>
    </row>
    <row r="23" spans="2:38" x14ac:dyDescent="0.3">
      <c r="B23" s="72" t="s">
        <v>193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5556</v>
      </c>
      <c r="J23" s="69">
        <v>16047</v>
      </c>
      <c r="K23" s="69">
        <v>17364</v>
      </c>
      <c r="L23" s="69">
        <v>21352</v>
      </c>
      <c r="M23" s="69">
        <v>24018</v>
      </c>
      <c r="N23" s="69">
        <v>22564</v>
      </c>
      <c r="O23" s="69">
        <v>16301</v>
      </c>
      <c r="P23" s="69">
        <v>16752</v>
      </c>
      <c r="Q23" s="69">
        <v>11292</v>
      </c>
      <c r="R23" s="69">
        <v>11158</v>
      </c>
      <c r="S23" s="69">
        <v>9735</v>
      </c>
      <c r="T23" s="69">
        <v>9982</v>
      </c>
      <c r="U23" s="69">
        <v>10371</v>
      </c>
      <c r="V23" s="69">
        <v>7744</v>
      </c>
      <c r="W23" s="69">
        <v>3388</v>
      </c>
      <c r="X23" s="69">
        <v>394</v>
      </c>
      <c r="Y23" s="69">
        <v>7304</v>
      </c>
      <c r="Z23" s="69">
        <v>9523</v>
      </c>
      <c r="AA23" s="69"/>
      <c r="AB23" s="69"/>
      <c r="AC23" s="69">
        <v>12475</v>
      </c>
      <c r="AD23" s="69">
        <v>13184</v>
      </c>
      <c r="AE23" s="69">
        <v>13609</v>
      </c>
      <c r="AF23" s="69">
        <v>19644</v>
      </c>
      <c r="AG23" s="69">
        <v>26714</v>
      </c>
      <c r="AH23" s="69">
        <v>15515</v>
      </c>
      <c r="AI23" s="69">
        <v>5789</v>
      </c>
      <c r="AJ23" s="69">
        <v>9484</v>
      </c>
      <c r="AK23" s="69">
        <v>12031</v>
      </c>
      <c r="AL23" s="69"/>
    </row>
    <row r="24" spans="2:38" x14ac:dyDescent="0.3">
      <c r="B24" s="71" t="s">
        <v>120</v>
      </c>
      <c r="C24" s="69">
        <v>34694</v>
      </c>
      <c r="D24" s="69">
        <v>23509</v>
      </c>
      <c r="E24" s="69">
        <v>32189</v>
      </c>
      <c r="F24" s="69">
        <v>22879</v>
      </c>
      <c r="G24" s="69">
        <v>31691</v>
      </c>
      <c r="H24" s="69">
        <v>37367</v>
      </c>
      <c r="I24" s="69">
        <v>33053</v>
      </c>
      <c r="J24" s="69">
        <v>23280</v>
      </c>
      <c r="K24" s="69">
        <v>6281</v>
      </c>
      <c r="L24" s="69">
        <v>11803</v>
      </c>
      <c r="M24" s="69">
        <v>10223</v>
      </c>
      <c r="N24" s="69">
        <v>5463</v>
      </c>
      <c r="O24" s="69">
        <v>3407</v>
      </c>
      <c r="P24" s="69">
        <v>13423</v>
      </c>
      <c r="Q24" s="69">
        <v>10012</v>
      </c>
      <c r="R24" s="69">
        <v>11922</v>
      </c>
      <c r="S24" s="69">
        <v>12724</v>
      </c>
      <c r="T24" s="69">
        <v>14191</v>
      </c>
      <c r="U24" s="69">
        <v>11807</v>
      </c>
      <c r="V24" s="69">
        <v>7143</v>
      </c>
      <c r="W24" s="69">
        <v>3608</v>
      </c>
      <c r="X24" s="69">
        <v>656</v>
      </c>
      <c r="Y24" s="69">
        <v>2102</v>
      </c>
      <c r="Z24" s="69">
        <v>3538</v>
      </c>
      <c r="AA24" s="69"/>
      <c r="AB24" s="69"/>
      <c r="AC24" s="69">
        <v>5701</v>
      </c>
      <c r="AD24" s="69">
        <v>6201</v>
      </c>
      <c r="AE24" s="69">
        <v>8521</v>
      </c>
      <c r="AF24" s="69">
        <v>14029</v>
      </c>
      <c r="AG24" s="69">
        <v>23240</v>
      </c>
      <c r="AH24" s="69">
        <v>12412</v>
      </c>
      <c r="AI24" s="69">
        <v>3911</v>
      </c>
      <c r="AJ24" s="69">
        <v>6388</v>
      </c>
      <c r="AK24" s="69">
        <v>5899</v>
      </c>
      <c r="AL24" s="69"/>
    </row>
    <row r="25" spans="2:38" x14ac:dyDescent="0.3">
      <c r="B25" s="71" t="s">
        <v>123</v>
      </c>
      <c r="C25" s="69">
        <v>18153</v>
      </c>
      <c r="D25" s="69">
        <v>19741</v>
      </c>
      <c r="E25" s="69">
        <v>17934</v>
      </c>
      <c r="F25" s="69">
        <v>16710</v>
      </c>
      <c r="G25" s="69">
        <v>22036</v>
      </c>
      <c r="H25" s="69">
        <v>23124</v>
      </c>
      <c r="I25" s="69">
        <v>20040</v>
      </c>
      <c r="J25" s="69">
        <v>12137</v>
      </c>
      <c r="K25" s="69">
        <v>5511</v>
      </c>
      <c r="L25" s="69">
        <v>7464</v>
      </c>
      <c r="M25" s="69">
        <v>7038</v>
      </c>
      <c r="N25" s="69">
        <v>5351</v>
      </c>
      <c r="O25" s="69">
        <v>3374</v>
      </c>
      <c r="P25" s="69">
        <v>5353</v>
      </c>
      <c r="Q25" s="69">
        <v>3141</v>
      </c>
      <c r="R25" s="69">
        <v>2975</v>
      </c>
      <c r="S25" s="69">
        <v>3600</v>
      </c>
      <c r="T25" s="69">
        <v>7478</v>
      </c>
      <c r="U25" s="69">
        <v>6791</v>
      </c>
      <c r="V25" s="69">
        <v>2732</v>
      </c>
      <c r="W25" s="69">
        <v>2415</v>
      </c>
      <c r="X25" s="69">
        <v>851</v>
      </c>
      <c r="Y25" s="69">
        <v>3</v>
      </c>
      <c r="Z25" s="69">
        <v>157</v>
      </c>
      <c r="AA25" s="69"/>
      <c r="AB25" s="69"/>
      <c r="AC25" s="69">
        <v>-1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/>
    </row>
    <row r="26" spans="2:38" x14ac:dyDescent="0.3">
      <c r="B26" s="71" t="s">
        <v>122</v>
      </c>
      <c r="C26" s="70">
        <v>17225</v>
      </c>
      <c r="D26" s="70">
        <v>12148</v>
      </c>
      <c r="E26" s="70">
        <v>13632</v>
      </c>
      <c r="F26" s="70">
        <v>13497</v>
      </c>
      <c r="G26" s="70">
        <v>17912</v>
      </c>
      <c r="H26" s="70">
        <v>16578</v>
      </c>
      <c r="I26" s="70">
        <v>15036</v>
      </c>
      <c r="J26" s="70">
        <v>13388</v>
      </c>
      <c r="K26" s="70">
        <v>6725</v>
      </c>
      <c r="L26" s="70">
        <v>12892</v>
      </c>
      <c r="M26" s="70">
        <v>15264</v>
      </c>
      <c r="N26" s="70">
        <v>10218</v>
      </c>
      <c r="O26" s="70">
        <v>10689</v>
      </c>
      <c r="P26" s="70">
        <v>9020</v>
      </c>
      <c r="Q26" s="70">
        <v>8474</v>
      </c>
      <c r="R26" s="70">
        <v>17629</v>
      </c>
      <c r="S26" s="70">
        <v>16308</v>
      </c>
      <c r="T26" s="70">
        <v>20425</v>
      </c>
      <c r="U26" s="70">
        <v>16347</v>
      </c>
      <c r="V26" s="70">
        <v>18474</v>
      </c>
      <c r="W26" s="70">
        <v>11391</v>
      </c>
      <c r="X26" s="70">
        <v>4239</v>
      </c>
      <c r="Y26" s="70">
        <v>8435</v>
      </c>
      <c r="Z26" s="70">
        <v>13898</v>
      </c>
      <c r="AA26" s="70"/>
      <c r="AB26" s="70"/>
      <c r="AC26" s="70">
        <v>15012</v>
      </c>
      <c r="AD26" s="70">
        <v>16290</v>
      </c>
      <c r="AE26" s="70">
        <v>16935</v>
      </c>
      <c r="AF26" s="70">
        <v>20068</v>
      </c>
      <c r="AG26" s="70">
        <v>23392</v>
      </c>
      <c r="AH26" s="70">
        <v>19707</v>
      </c>
      <c r="AI26" s="70">
        <v>19090</v>
      </c>
      <c r="AJ26" s="70">
        <v>18603</v>
      </c>
      <c r="AK26" s="70">
        <v>23106</v>
      </c>
      <c r="AL26" s="70"/>
    </row>
    <row r="27" spans="2:38" x14ac:dyDescent="0.3">
      <c r="AJ27" s="26"/>
    </row>
    <row r="30" spans="2:38" x14ac:dyDescent="0.3">
      <c r="AJ30" s="26"/>
    </row>
    <row r="31" spans="2:38" x14ac:dyDescent="0.3">
      <c r="AJ31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7003-316B-49EB-93D5-356628591991}">
  <dimension ref="A1:AA25"/>
  <sheetViews>
    <sheetView topLeftCell="A12" zoomScale="220" zoomScaleNormal="220" workbookViewId="0">
      <selection activeCell="I3" sqref="I1:I1048576"/>
    </sheetView>
  </sheetViews>
  <sheetFormatPr defaultRowHeight="14.4" x14ac:dyDescent="0.3"/>
  <cols>
    <col min="1" max="1" width="16.44140625" bestFit="1" customWidth="1"/>
    <col min="2" max="2" width="23.88671875" bestFit="1" customWidth="1"/>
    <col min="4" max="4" width="12.109375" bestFit="1" customWidth="1"/>
    <col min="12" max="26" width="0" hidden="1" customWidth="1"/>
  </cols>
  <sheetData>
    <row r="1" spans="1:27" x14ac:dyDescent="0.3">
      <c r="B1" t="s">
        <v>216</v>
      </c>
    </row>
    <row r="2" spans="1:27" x14ac:dyDescent="0.3">
      <c r="A2" t="s">
        <v>213</v>
      </c>
      <c r="B2" t="s">
        <v>214</v>
      </c>
      <c r="C2" t="s">
        <v>215</v>
      </c>
      <c r="D2" t="s">
        <v>83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27" x14ac:dyDescent="0.3">
      <c r="A3" t="s">
        <v>212</v>
      </c>
      <c r="B3">
        <v>5</v>
      </c>
      <c r="C3" s="20">
        <v>20</v>
      </c>
      <c r="D3">
        <f>B3*C3</f>
        <v>100</v>
      </c>
      <c r="G3" s="20">
        <f>$B$3*1.01</f>
        <v>5.05</v>
      </c>
      <c r="H3" s="20">
        <f>G3*1.3</f>
        <v>6.5650000000000004</v>
      </c>
      <c r="I3" s="20">
        <f>H3*1.3</f>
        <v>8.5345000000000013</v>
      </c>
      <c r="J3" s="20">
        <f t="shared" ref="J3:K3" si="0">I3*1.3</f>
        <v>11.094850000000003</v>
      </c>
      <c r="K3" s="20">
        <f t="shared" si="0"/>
        <v>14.423305000000004</v>
      </c>
      <c r="L3" s="20">
        <f t="shared" ref="L3:N3" si="1">K3*1.2</f>
        <v>17.307966000000004</v>
      </c>
      <c r="M3" s="20">
        <f t="shared" si="1"/>
        <v>20.769559200000003</v>
      </c>
      <c r="N3" s="20">
        <f t="shared" si="1"/>
        <v>24.923471040000003</v>
      </c>
      <c r="O3" s="20"/>
      <c r="P3" s="20"/>
      <c r="Q3" s="20"/>
      <c r="R3" s="20"/>
      <c r="S3" s="20"/>
      <c r="T3" s="20"/>
      <c r="U3" s="20"/>
      <c r="V3" s="20"/>
      <c r="W3" s="20"/>
      <c r="AA3">
        <v>187</v>
      </c>
    </row>
    <row r="4" spans="1:27" x14ac:dyDescent="0.3">
      <c r="C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7" x14ac:dyDescent="0.3">
      <c r="B5" t="s">
        <v>164</v>
      </c>
      <c r="C5" s="20" t="s">
        <v>81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7" x14ac:dyDescent="0.3">
      <c r="A6" t="s">
        <v>224</v>
      </c>
      <c r="B6">
        <v>50</v>
      </c>
      <c r="C6" s="20">
        <v>2</v>
      </c>
      <c r="D6">
        <f>B6*C6</f>
        <v>100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7" x14ac:dyDescent="0.3">
      <c r="C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7" x14ac:dyDescent="0.3">
      <c r="C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7" x14ac:dyDescent="0.3">
      <c r="A9" t="s">
        <v>217</v>
      </c>
      <c r="C9" s="20"/>
      <c r="G9" s="20"/>
      <c r="H9" s="20"/>
      <c r="I9" s="20"/>
      <c r="J9" s="20"/>
      <c r="K9" s="20">
        <v>20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AA9">
        <v>20</v>
      </c>
    </row>
    <row r="10" spans="1:27" x14ac:dyDescent="0.3">
      <c r="A10" t="s">
        <v>87</v>
      </c>
      <c r="C10" s="20"/>
      <c r="G10" s="20"/>
      <c r="H10" s="20"/>
      <c r="I10" s="20"/>
      <c r="J10" s="20"/>
      <c r="K10" s="20">
        <f>K3*K9</f>
        <v>288.4661000000001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AA10">
        <f>AA3*AA9</f>
        <v>3740</v>
      </c>
    </row>
    <row r="11" spans="1:27" x14ac:dyDescent="0.3">
      <c r="C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7" x14ac:dyDescent="0.3">
      <c r="C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7" x14ac:dyDescent="0.3">
      <c r="C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7" x14ac:dyDescent="0.3">
      <c r="A14" s="121" t="s">
        <v>218</v>
      </c>
      <c r="B14" s="121"/>
      <c r="C14" s="1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7" x14ac:dyDescent="0.3">
      <c r="A15" s="78">
        <v>1</v>
      </c>
      <c r="B15" s="52" t="s">
        <v>219</v>
      </c>
      <c r="C15" s="20">
        <v>20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7" x14ac:dyDescent="0.3">
      <c r="A16" s="78">
        <v>2</v>
      </c>
      <c r="B16" t="s">
        <v>222</v>
      </c>
      <c r="C16">
        <v>15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  <c r="T16">
        <v>14</v>
      </c>
      <c r="U16">
        <v>15</v>
      </c>
      <c r="V16">
        <v>16</v>
      </c>
      <c r="W16">
        <v>17</v>
      </c>
      <c r="X16">
        <v>18</v>
      </c>
      <c r="Y16">
        <v>19</v>
      </c>
      <c r="Z16">
        <v>20</v>
      </c>
    </row>
    <row r="17" spans="1:26" x14ac:dyDescent="0.3">
      <c r="A17" s="78">
        <v>3</v>
      </c>
      <c r="B17" t="s">
        <v>220</v>
      </c>
      <c r="C17">
        <v>2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 s="52" customFormat="1" x14ac:dyDescent="0.3">
      <c r="A18" s="79">
        <v>4</v>
      </c>
      <c r="B18" s="52" t="s">
        <v>221</v>
      </c>
      <c r="C18" s="52">
        <v>4</v>
      </c>
    </row>
    <row r="19" spans="1:26" x14ac:dyDescent="0.3">
      <c r="A19" s="61"/>
    </row>
    <row r="20" spans="1:26" x14ac:dyDescent="0.3">
      <c r="G20" s="19"/>
    </row>
    <row r="21" spans="1:26" x14ac:dyDescent="0.3">
      <c r="A21" t="s">
        <v>86</v>
      </c>
      <c r="B21">
        <f>B23+B24-B25</f>
        <v>90</v>
      </c>
    </row>
    <row r="22" spans="1:26" x14ac:dyDescent="0.3">
      <c r="A22" t="s">
        <v>223</v>
      </c>
    </row>
    <row r="23" spans="1:26" x14ac:dyDescent="0.3">
      <c r="A23" t="s">
        <v>83</v>
      </c>
      <c r="B23">
        <v>100</v>
      </c>
    </row>
    <row r="24" spans="1:26" x14ac:dyDescent="0.3">
      <c r="A24" t="s">
        <v>84</v>
      </c>
      <c r="B24">
        <v>10</v>
      </c>
    </row>
    <row r="25" spans="1:26" x14ac:dyDescent="0.3">
      <c r="A25" t="s">
        <v>171</v>
      </c>
      <c r="B25">
        <v>20</v>
      </c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Basics</vt:lpstr>
      <vt:lpstr>% Breakup</vt:lpstr>
      <vt:lpstr>P&amp;L</vt:lpstr>
      <vt:lpstr>BS</vt:lpstr>
      <vt:lpstr>Cash Flow</vt:lpstr>
      <vt:lpstr>Fixed Asset</vt:lpstr>
      <vt:lpstr>Other Equity</vt:lpstr>
      <vt:lpstr>Working Capital Schedule</vt:lpstr>
      <vt:lpstr>Debt Schedule</vt:lpstr>
      <vt:lpstr>DCF</vt:lpstr>
      <vt:lpstr>WACC</vt:lpstr>
      <vt:lpstr>Sales breakup 1</vt:lpstr>
      <vt:lpstr>Quarterly P&amp;L</vt:lpstr>
      <vt:lpstr>Sheet1</vt:lpstr>
      <vt:lpstr>Snapshot</vt:lpstr>
      <vt:lpstr>Result PL</vt:lpstr>
      <vt:lpstr>AR PL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Syed Kawish Ahmad</cp:lastModifiedBy>
  <dcterms:created xsi:type="dcterms:W3CDTF">2021-04-10T07:01:42Z</dcterms:created>
  <dcterms:modified xsi:type="dcterms:W3CDTF">2023-10-17T08:46:49Z</dcterms:modified>
</cp:coreProperties>
</file>