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1" minimized="0" showHorizontalScroll="1" showSheetTabs="1" showVerticalScroll="1" tabRatio="600" visibility="visible" windowHeight="15840" windowWidth="29040" xWindow="-28920" yWindow="-120"/>
  </bookViews>
  <sheets>
    <sheet name="QuoteCal" sheetId="1" state="hidden" r:id="rId1"/>
    <sheet name="FLATAX" sheetId="2" state="visible" r:id="rId2"/>
    <sheet name="DLAORDERS" sheetId="3" state="visible" r:id="rId3"/>
    <sheet name="SHipInvice" sheetId="4" state="visible" r:id="rId4"/>
    <sheet name="OTHERORDERS" sheetId="5" state="hidden" r:id="rId5"/>
    <sheet name="Qcal" sheetId="6" state="visible" r:id="rId6"/>
    <sheet name="Receiving" sheetId="7" state="hidden" r:id="rId7"/>
    <sheet name="CageNSN" sheetId="8" state="visible" r:id="rId8"/>
    <sheet name="Sheet4" sheetId="9" state="hidden" r:id="rId9"/>
    <sheet name="Servicestimeshhet" sheetId="10" state="hidden" r:id="rId10"/>
    <sheet name="2016Expan" sheetId="11" state="hidden" r:id="rId11"/>
    <sheet name="Sheet5" sheetId="12" state="hidden" r:id="rId12"/>
    <sheet name="Sheet3" sheetId="13" state="hidden" r:id="rId13"/>
    <sheet name="Sheet6" sheetId="14" state="hidden" r:id="rId14"/>
    <sheet name="Invoices" sheetId="15" state="visible" r:id="rId15"/>
    <sheet name="Glenair" sheetId="16" state="hidden" r:id="rId16"/>
    <sheet name="CageCodes" sheetId="17" state="visible" r:id="rId17"/>
    <sheet name="Sheet1" sheetId="18" state="visible" r:id="rId18"/>
  </sheets>
  <definedNames>
    <definedName localSheetId="2" name="Award_Date">DLAORDERS!$G:$G</definedName>
    <definedName name="Award_Price">DLAORDERS!$K:$K</definedName>
    <definedName name="Company_Name">DLAORDERS!$F:$F</definedName>
    <definedName localSheetId="2" name="Contract_Number">DLAORDERS!$B:$B</definedName>
    <definedName localSheetId="2" name="Due_Date">DLAORDERS!$H:$H</definedName>
    <definedName localSheetId="3" name="Invoice_Number">SHipInvice!$I:$I</definedName>
    <definedName localSheetId="2" name="Margin">DLAORDERS!$M:$M</definedName>
    <definedName localSheetId="2" name="NSN_Number">DLAORDERS!$D:$D</definedName>
    <definedName localSheetId="2" name="Part_Cost">DLAORDERS!$L:$L</definedName>
    <definedName localSheetId="2" name="PO_Number">DLAORDERS!$I:$I</definedName>
    <definedName name="Quantity">DLAORDERS!$E:$E</definedName>
    <definedName localSheetId="3" name="Shipment_Date">SHipInvice!$J:$J</definedName>
    <definedName localSheetId="3" name="Shipment_Number">SHipInvice!$H:$H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_(&quot;$&quot;* #,##0.00_);_(&quot;$&quot;* \(#,##0.00\);_(&quot;$&quot;* &quot;-&quot;??_);_(@_)" numFmtId="164"/>
    <numFmt formatCode="&quot;$&quot;#,##0.00" numFmtId="165"/>
    <numFmt formatCode="&quot;$&quot;#,##0.00_);[Red]\(&quot;$&quot;#,##0.00\)" numFmtId="166"/>
    <numFmt formatCode="0000" numFmtId="167"/>
    <numFmt formatCode="_(&quot;$&quot;* #,##0.000_);_(&quot;$&quot;* \(#,##0.000\);_(&quot;$&quot;* &quot;-&quot;???_);_(@_)" numFmtId="168"/>
  </numFmts>
  <fonts count="7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3"/>
      <scheme val="minor"/>
    </font>
    <font>
      <name val="Calibri"/>
      <family val="2"/>
      <b val="1"/>
      <color theme="1"/>
      <sz val="11"/>
      <scheme val="minor"/>
    </font>
    <font>
      <name val="Verdana"/>
      <family val="2"/>
      <color rgb="FF000000"/>
      <sz val="11"/>
    </font>
    <font>
      <name val="Calibri"/>
      <family val="2"/>
      <color rgb="FF800000"/>
      <sz val="13"/>
      <scheme val="minor"/>
    </font>
    <font>
      <name val="Calibri"/>
      <family val="2"/>
      <color theme="10"/>
      <sz val="11"/>
      <u val="single"/>
    </font>
    <font>
      <name val="Calibri"/>
      <family val="2"/>
      <color rgb="FFFF0000"/>
      <sz val="11"/>
      <scheme val="minor"/>
    </font>
    <font>
      <name val="Calibri"/>
      <family val="2"/>
      <color theme="1"/>
      <sz val="12"/>
      <scheme val="minor"/>
    </font>
    <font>
      <name val="Verdana"/>
      <family val="2"/>
      <b val="1"/>
      <color rgb="FF000000"/>
      <sz val="10"/>
    </font>
    <font>
      <name val="Verdana"/>
      <family val="2"/>
      <color rgb="FF000033"/>
      <sz val="7"/>
    </font>
    <font>
      <name val="Inherit"/>
      <b val="1"/>
      <color rgb="FF333333"/>
      <sz val="16.5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C0000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sz val="11"/>
      <scheme val="minor"/>
    </font>
    <font>
      <name val="Calibri"/>
      <family val="2"/>
      <color theme="10"/>
      <sz val="12"/>
      <u val="single"/>
    </font>
    <font>
      <name val="Verdana"/>
      <family val="2"/>
      <b val="1"/>
      <color rgb="FF000033"/>
      <sz val="11"/>
    </font>
    <font>
      <name val="Verdana"/>
      <family val="2"/>
      <b val="1"/>
      <color rgb="FF000000"/>
      <sz val="7"/>
    </font>
    <font>
      <name val="Verdana"/>
      <family val="2"/>
      <color rgb="FF000033"/>
      <sz val="10"/>
    </font>
    <font>
      <name val="Calibri"/>
      <family val="2"/>
      <color rgb="FF00B0F0"/>
      <sz val="11"/>
      <scheme val="minor"/>
    </font>
    <font>
      <name val="Verdana"/>
      <family val="2"/>
      <b val="1"/>
      <color rgb="FF000033"/>
      <sz val="10"/>
    </font>
    <font>
      <name val="Verdana"/>
      <family val="2"/>
      <color rgb="FF000033"/>
      <sz val="11"/>
    </font>
    <font>
      <name val="Calibri"/>
      <family val="2"/>
      <color rgb="FF00B050"/>
      <sz val="11"/>
      <scheme val="minor"/>
    </font>
    <font>
      <name val="Arial"/>
      <family val="2"/>
      <color rgb="FF000000"/>
      <sz val="12"/>
    </font>
    <font>
      <name val="Calibri"/>
      <family val="2"/>
      <color rgb="FF000000"/>
      <sz val="12"/>
      <vertAlign val="subscript"/>
    </font>
    <font>
      <name val="Segoe UI"/>
      <family val="2"/>
      <color theme="1"/>
      <sz val="13"/>
      <vertAlign val="subscript"/>
    </font>
    <font>
      <name val="Segoe UI"/>
      <family val="2"/>
      <color rgb="FFF4F4F4"/>
      <sz val="13"/>
      <vertAlign val="subscript"/>
    </font>
    <font>
      <name val="Arial"/>
      <family val="2"/>
      <color rgb="FF000000"/>
      <sz val="11"/>
    </font>
    <font>
      <name val="Verdana"/>
      <family val="2"/>
      <color rgb="FF000033"/>
      <sz val="12"/>
    </font>
    <font>
      <name val="Arial"/>
      <family val="2"/>
      <b val="1"/>
      <color rgb="FF000000"/>
      <sz val="13"/>
    </font>
    <font>
      <name val="Arial"/>
      <family val="2"/>
      <color rgb="FF333333"/>
      <sz val="11"/>
    </font>
    <font>
      <name val="Arial"/>
      <family val="2"/>
      <color rgb="FF3300CC"/>
      <sz val="8"/>
      <u val="single"/>
    </font>
    <font>
      <name val="Segoe UI"/>
      <family val="2"/>
      <color rgb="FF212121"/>
      <sz val="9"/>
    </font>
    <font>
      <name val="Tahoma"/>
      <family val="2"/>
      <b val="1"/>
      <color rgb="FF000000"/>
      <sz val="7"/>
    </font>
    <font>
      <name val="Tahoma"/>
      <family val="2"/>
      <color rgb="FF000000"/>
      <sz val="7"/>
    </font>
    <font>
      <name val="Verdana"/>
      <family val="2"/>
      <b val="1"/>
      <color rgb="FFFFFFFF"/>
      <sz val="12"/>
    </font>
    <font>
      <name val="Verdana"/>
      <family val="2"/>
      <b val="1"/>
      <color rgb="FF000000"/>
      <sz val="9"/>
    </font>
    <font>
      <name val="Calibri"/>
      <family val="2"/>
      <color theme="9"/>
      <sz val="11"/>
      <scheme val="minor"/>
    </font>
    <font>
      <name val="Arial"/>
      <family val="2"/>
      <color theme="1"/>
      <sz val="10"/>
    </font>
    <font>
      <name val="Calibri"/>
      <family val="2"/>
      <color rgb="FF212121"/>
      <sz val="11"/>
      <scheme val="minor"/>
    </font>
    <font>
      <name val="Verdana"/>
      <family val="2"/>
      <color rgb="FF000033"/>
      <sz val="8"/>
    </font>
    <font>
      <name val="Calibri"/>
      <family val="2"/>
      <color theme="1"/>
      <sz val="14"/>
      <scheme val="minor"/>
    </font>
    <font>
      <name val="&amp;quot"/>
      <color rgb="FF0078D7"/>
      <sz val="9"/>
    </font>
    <font>
      <name val="Segoe UI"/>
      <family val="2"/>
      <color rgb="FF212121"/>
      <sz val="11"/>
    </font>
    <font>
      <name val="Calibri"/>
      <family val="2"/>
      <color theme="1"/>
      <sz val="10"/>
      <scheme val="minor"/>
    </font>
    <font>
      <name val="Verdana"/>
      <family val="2"/>
      <b val="1"/>
      <color rgb="FF3300CC"/>
      <sz val="9"/>
      <u val="single"/>
    </font>
    <font>
      <name val="Verdana"/>
      <family val="2"/>
      <b val="1"/>
      <color rgb="FF00A400"/>
      <sz val="9"/>
    </font>
    <font>
      <name val="&amp;quot"/>
      <color rgb="FF0078D7"/>
      <sz val="10"/>
    </font>
    <font>
      <name val="Calibri"/>
      <family val="2"/>
      <color rgb="FF212121"/>
      <sz val="10"/>
      <scheme val="minor"/>
    </font>
    <font>
      <name val="&amp;quot"/>
      <color rgb="FF0078D7"/>
      <sz val="7"/>
    </font>
    <font>
      <name val="&amp;quot"/>
      <b val="1"/>
      <color rgb="FF363636"/>
      <sz val="7"/>
    </font>
    <font>
      <name val="Segoe UI"/>
      <family val="2"/>
      <color rgb="FF0078D7"/>
      <sz val="9"/>
    </font>
    <font>
      <name val="Verdana"/>
      <family val="2"/>
      <color rgb="FF000000"/>
      <sz val="10"/>
    </font>
    <font>
      <name val="&amp;quot"/>
      <color rgb="FF666666"/>
      <sz val="9"/>
    </font>
    <font>
      <name val="Times New Roman"/>
      <family val="1"/>
      <color rgb="FF000000"/>
      <sz val="11"/>
    </font>
    <font>
      <name val="Calibri"/>
      <family val="2"/>
      <color rgb="FF0070C0"/>
      <sz val="11"/>
      <scheme val="minor"/>
    </font>
    <font>
      <name val="Arial"/>
      <family val="2"/>
      <b val="1"/>
      <color rgb="FF000000"/>
      <sz val="16"/>
    </font>
    <font>
      <name val="Segoe UI"/>
      <family val="2"/>
      <b val="1"/>
      <color rgb="FF212121"/>
      <sz val="12"/>
    </font>
    <font>
      <name val="Segoe UI"/>
      <family val="2"/>
      <color rgb="FF212121"/>
      <sz val="12"/>
    </font>
    <font>
      <name val="Calibri"/>
      <family val="2"/>
      <color rgb="FF000033"/>
      <sz val="11"/>
      <scheme val="minor"/>
    </font>
    <font>
      <name val="Calibri"/>
      <color rgb="FFFF0000"/>
      <sz val="11"/>
    </font>
    <font>
      <name val="Calibri"/>
      <color rgb="FFFF0000"/>
      <sz val="11"/>
    </font>
    <font>
      <name val="Calibri"/>
      <color rgb="FFFF0000"/>
      <sz val="11"/>
    </font>
    <font>
      <name val="Calibri"/>
      <family val="2"/>
      <sz val="8"/>
      <scheme val="minor"/>
    </font>
    <font>
      <color rgb="00FF0000"/>
    </font>
  </fonts>
  <fills count="20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EFFD7"/>
        <bgColor indexed="64"/>
      </patternFill>
    </fill>
    <fill>
      <patternFill patternType="solid">
        <fgColor rgb="FFFFFFFF"/>
      </patternFill>
    </fill>
    <fill>
      <patternFill patternType="solid">
        <fgColor rgb="00FFFFFF"/>
      </patternFill>
    </fill>
  </fills>
  <borders count="2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A9A9A9"/>
      </left>
      <right/>
      <top style="medium">
        <color rgb="FFA9A9A9"/>
      </top>
      <bottom style="medium">
        <color rgb="FFA9A9A9"/>
      </bottom>
      <diagonal/>
    </border>
    <border>
      <left/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3C4B78"/>
      </left>
      <right style="medium">
        <color rgb="FF3C4B78"/>
      </right>
      <top style="medium">
        <color rgb="FF3C4B78"/>
      </top>
      <bottom style="medium">
        <color rgb="FF3C4B78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00C0C0C0"/>
      </left>
      <right style="thin">
        <color rgb="00C0C0C0"/>
      </right>
      <top style="thin">
        <color rgb="00C0C0C0"/>
      </top>
      <bottom style="thin">
        <color rgb="00C0C0C0"/>
      </bottom>
      <diagonal/>
    </border>
  </borders>
  <cellStyleXfs count="4">
    <xf borderId="0" fillId="0" fontId="1" numFmtId="0"/>
    <xf borderId="0" fillId="0" fontId="1" numFmtId="164"/>
    <xf applyAlignment="1" applyProtection="1" borderId="0" fillId="0" fontId="6" numFmtId="0">
      <alignment vertical="top"/>
      <protection hidden="0" locked="0"/>
    </xf>
    <xf borderId="0" fillId="0" fontId="1" numFmtId="0"/>
  </cellStyleXfs>
  <cellXfs count="284">
    <xf borderId="0" fillId="0" fontId="0" numFmtId="0" pivotButton="0" quotePrefix="0" xfId="0"/>
    <xf borderId="0" fillId="0" fontId="2" numFmtId="0" pivotButton="0" quotePrefix="0" xfId="0"/>
    <xf borderId="0" fillId="0" fontId="4" numFmtId="0" pivotButton="0" quotePrefix="0" xfId="0"/>
    <xf borderId="0" fillId="2" fontId="0" numFmtId="0" pivotButton="0" quotePrefix="0" xfId="0"/>
    <xf borderId="0" fillId="0" fontId="0" numFmtId="14" pivotButton="0" quotePrefix="0" xfId="0"/>
    <xf borderId="0" fillId="0" fontId="3" numFmtId="0" pivotButton="0" quotePrefix="0" xfId="0"/>
    <xf borderId="0" fillId="0" fontId="5" numFmtId="0" pivotButton="0" quotePrefix="0" xfId="0"/>
    <xf borderId="0" fillId="0" fontId="6" numFmtId="0" pivotButton="0" quotePrefix="0" xfId="2"/>
    <xf borderId="0" fillId="0" fontId="3" numFmtId="49" pivotButton="0" quotePrefix="0" xfId="0"/>
    <xf borderId="0" fillId="0" fontId="0" numFmtId="49" pivotButton="0" quotePrefix="0" xfId="0"/>
    <xf borderId="0" fillId="0" fontId="0" numFmtId="0" pivotButton="0" quotePrefix="1" xfId="0"/>
    <xf borderId="0" fillId="0" fontId="2" numFmtId="0" pivotButton="0" quotePrefix="1" xfId="0"/>
    <xf borderId="0" fillId="0" fontId="0" numFmtId="49" pivotButton="0" quotePrefix="1" xfId="0"/>
    <xf borderId="0" fillId="0" fontId="8" numFmtId="0" pivotButton="0" quotePrefix="0" xfId="0"/>
    <xf borderId="0" fillId="0" fontId="9" numFmtId="0" pivotButton="0" quotePrefix="1" xfId="0"/>
    <xf applyAlignment="1" borderId="1" fillId="3" fontId="6" numFmtId="49" pivotButton="0" quotePrefix="0" xfId="2">
      <alignment vertical="top" wrapText="1"/>
    </xf>
    <xf borderId="0" fillId="0" fontId="7" numFmtId="49" pivotButton="0" quotePrefix="1" xfId="0"/>
    <xf borderId="0" fillId="0" fontId="11" numFmtId="49" pivotButton="0" quotePrefix="0" xfId="0"/>
    <xf borderId="0" fillId="0" fontId="12" numFmtId="0" pivotButton="0" quotePrefix="0" xfId="0"/>
    <xf borderId="0" fillId="0" fontId="0" numFmtId="10" pivotButton="0" quotePrefix="0" xfId="3"/>
    <xf borderId="0" fillId="4" fontId="0" numFmtId="0" pivotButton="0" quotePrefix="0" xfId="0"/>
    <xf applyAlignment="1" borderId="0" fillId="0" fontId="3" numFmtId="0" pivotButton="0" quotePrefix="0" xfId="0">
      <alignment wrapText="1"/>
    </xf>
    <xf borderId="0" fillId="6" fontId="0" numFmtId="0" pivotButton="0" quotePrefix="0" xfId="0"/>
    <xf borderId="0" fillId="0" fontId="13" numFmtId="0" pivotButton="0" quotePrefix="0" xfId="0"/>
    <xf borderId="0" fillId="4" fontId="12" numFmtId="0" pivotButton="0" quotePrefix="0" xfId="0"/>
    <xf borderId="0" fillId="0" fontId="12" numFmtId="14" pivotButton="0" quotePrefix="0" xfId="0"/>
    <xf borderId="0" fillId="5" fontId="12" numFmtId="0" pivotButton="0" quotePrefix="0" xfId="0"/>
    <xf borderId="0" fillId="6" fontId="12" numFmtId="0" pivotButton="0" quotePrefix="0" xfId="0"/>
    <xf borderId="0" fillId="0" fontId="14" numFmtId="0" pivotButton="0" quotePrefix="0" xfId="0"/>
    <xf borderId="0" fillId="0" fontId="15" numFmtId="0" pivotButton="0" quotePrefix="0" xfId="0"/>
    <xf borderId="2" fillId="0" fontId="14" numFmtId="0" pivotButton="0" quotePrefix="0" xfId="0"/>
    <xf borderId="8" fillId="0" fontId="14" numFmtId="14" pivotButton="0" quotePrefix="0" xfId="0"/>
    <xf borderId="4" fillId="0" fontId="14" numFmtId="0" pivotButton="0" quotePrefix="0" xfId="0"/>
    <xf borderId="5" fillId="0" fontId="14" numFmtId="0" pivotButton="0" quotePrefix="0" xfId="0"/>
    <xf borderId="0" fillId="0" fontId="14" numFmtId="14" pivotButton="0" quotePrefix="0" xfId="0"/>
    <xf borderId="6" fillId="0" fontId="14" numFmtId="0" pivotButton="0" quotePrefix="0" xfId="0"/>
    <xf borderId="9" fillId="0" fontId="14" numFmtId="14" pivotButton="0" quotePrefix="0" xfId="0"/>
    <xf borderId="7" fillId="0" fontId="14" numFmtId="0" pivotButton="0" quotePrefix="0" xfId="0"/>
    <xf borderId="10" fillId="0" fontId="14" numFmtId="0" pivotButton="0" quotePrefix="0" xfId="0"/>
    <xf borderId="2" fillId="0" fontId="15" numFmtId="0" pivotButton="0" quotePrefix="0" xfId="0"/>
    <xf borderId="8" fillId="0" fontId="15" numFmtId="0" pivotButton="0" quotePrefix="0" xfId="0"/>
    <xf borderId="3" fillId="0" fontId="15" numFmtId="0" pivotButton="0" quotePrefix="0" xfId="0"/>
    <xf borderId="0" fillId="2" fontId="8" numFmtId="0" pivotButton="0" quotePrefix="0" xfId="0"/>
    <xf borderId="0" fillId="0" fontId="16" numFmtId="0" pivotButton="0" quotePrefix="0" xfId="0"/>
    <xf borderId="0" fillId="0" fontId="8" numFmtId="49" pivotButton="0" quotePrefix="0" xfId="0"/>
    <xf borderId="0" fillId="2" fontId="8" numFmtId="49" pivotButton="0" quotePrefix="0" xfId="0"/>
    <xf borderId="0" fillId="0" fontId="0" numFmtId="4" pivotButton="0" quotePrefix="0" xfId="0"/>
    <xf borderId="0" fillId="7" fontId="8" numFmtId="49" pivotButton="0" quotePrefix="0" xfId="0"/>
    <xf borderId="0" fillId="8" fontId="0" numFmtId="0" pivotButton="0" quotePrefix="0" xfId="0"/>
    <xf borderId="0" fillId="7" fontId="0" numFmtId="0" pivotButton="0" quotePrefix="0" xfId="0"/>
    <xf borderId="0" fillId="7" fontId="7" numFmtId="0" pivotButton="0" quotePrefix="0" xfId="0"/>
    <xf borderId="0" fillId="0" fontId="7" numFmtId="0" pivotButton="0" quotePrefix="0" xfId="0"/>
    <xf borderId="0" fillId="0" fontId="10" numFmtId="0" pivotButton="0" quotePrefix="0" xfId="0"/>
    <xf borderId="0" fillId="0" fontId="18" numFmtId="0" pivotButton="0" quotePrefix="0" xfId="0"/>
    <xf borderId="0" fillId="0" fontId="19" numFmtId="0" pivotButton="0" quotePrefix="0" xfId="0"/>
    <xf borderId="0" fillId="0" fontId="20" numFmtId="0" pivotButton="0" quotePrefix="0" xfId="0"/>
    <xf borderId="0" fillId="2" fontId="17" numFmtId="0" pivotButton="0" quotePrefix="0" xfId="0"/>
    <xf borderId="0" fillId="2" fontId="7" numFmtId="0" pivotButton="0" quotePrefix="0" xfId="0"/>
    <xf borderId="0" fillId="0" fontId="21" numFmtId="0" pivotButton="0" quotePrefix="0" xfId="0"/>
    <xf borderId="0" fillId="0" fontId="22" numFmtId="0" pivotButton="0" quotePrefix="0" xfId="2"/>
    <xf applyAlignment="1" borderId="0" fillId="0" fontId="22" numFmtId="0" pivotButton="0" quotePrefix="0" xfId="2">
      <alignment wrapText="1"/>
    </xf>
    <xf borderId="0" fillId="0" fontId="23" numFmtId="0" pivotButton="0" quotePrefix="0" xfId="0"/>
    <xf borderId="0" fillId="0" fontId="24" numFmtId="0" pivotButton="0" quotePrefix="0" xfId="0"/>
    <xf borderId="0" fillId="0" fontId="25" numFmtId="0" pivotButton="0" quotePrefix="0" xfId="0"/>
    <xf borderId="0" fillId="0" fontId="26" numFmtId="0" pivotButton="0" quotePrefix="0" xfId="0"/>
    <xf borderId="0" fillId="0" fontId="8" numFmtId="0" pivotButton="0" quotePrefix="1" xfId="0"/>
    <xf borderId="0" fillId="4" fontId="7" numFmtId="0" pivotButton="0" quotePrefix="0" xfId="0"/>
    <xf borderId="0" fillId="8" fontId="21" numFmtId="0" pivotButton="0" quotePrefix="0" xfId="0"/>
    <xf borderId="0" fillId="2" fontId="8" numFmtId="14" pivotButton="0" quotePrefix="0" xfId="0"/>
    <xf borderId="0" fillId="2" fontId="6" numFmtId="0" pivotButton="0" quotePrefix="0" xfId="2"/>
    <xf borderId="0" fillId="2" fontId="27" numFmtId="0" pivotButton="0" quotePrefix="0" xfId="0"/>
    <xf borderId="0" fillId="10" fontId="0" numFmtId="0" pivotButton="0" quotePrefix="0" xfId="0"/>
    <xf borderId="0" fillId="4" fontId="21" numFmtId="0" pivotButton="0" quotePrefix="0" xfId="0"/>
    <xf applyAlignment="1" borderId="1" fillId="3" fontId="25" numFmtId="0" pivotButton="0" quotePrefix="0" xfId="0">
      <alignment wrapText="1"/>
    </xf>
    <xf borderId="0" fillId="0" fontId="28" numFmtId="0" pivotButton="0" quotePrefix="0" xfId="0"/>
    <xf borderId="0" fillId="2" fontId="19" numFmtId="0" pivotButton="0" quotePrefix="0" xfId="0"/>
    <xf borderId="0" fillId="7" fontId="25" numFmtId="0" pivotButton="0" quotePrefix="0" xfId="0"/>
    <xf borderId="0" fillId="2" fontId="25" numFmtId="0" pivotButton="0" quotePrefix="0" xfId="0"/>
    <xf borderId="0" fillId="0" fontId="29" numFmtId="0" pivotButton="0" quotePrefix="0" xfId="0"/>
    <xf borderId="14" fillId="8" fontId="0" numFmtId="0" pivotButton="0" quotePrefix="0" xfId="0"/>
    <xf borderId="12" fillId="0" fontId="0" numFmtId="0" pivotButton="0" quotePrefix="0" xfId="0"/>
    <xf borderId="12" fillId="0" fontId="3" numFmtId="0" pivotButton="0" quotePrefix="0" xfId="0"/>
    <xf borderId="12" fillId="0" fontId="0" numFmtId="14" pivotButton="0" quotePrefix="0" xfId="0"/>
    <xf borderId="0" fillId="0" fontId="31" numFmtId="0" pivotButton="0" quotePrefix="0" xfId="0"/>
    <xf borderId="0" fillId="8" fontId="7" numFmtId="0" pivotButton="0" quotePrefix="0" xfId="0"/>
    <xf borderId="0" fillId="4" fontId="0" numFmtId="4" pivotButton="0" quotePrefix="0" xfId="0"/>
    <xf borderId="13" fillId="4" fontId="0" numFmtId="0" pivotButton="0" quotePrefix="0" xfId="0"/>
    <xf borderId="14" fillId="4" fontId="0" numFmtId="0" pivotButton="0" quotePrefix="0" xfId="0"/>
    <xf borderId="0" fillId="0" fontId="9" numFmtId="0" pivotButton="0" quotePrefix="0" xfId="0"/>
    <xf borderId="0" fillId="0" fontId="7" numFmtId="14" pivotButton="0" quotePrefix="0" xfId="0"/>
    <xf borderId="0" fillId="9" fontId="0" numFmtId="0" pivotButton="0" quotePrefix="0" xfId="0"/>
    <xf borderId="14" fillId="0" fontId="3" numFmtId="0" pivotButton="0" quotePrefix="0" xfId="0"/>
    <xf borderId="0" fillId="2" fontId="0" numFmtId="10" pivotButton="0" quotePrefix="0" xfId="3"/>
    <xf borderId="0" fillId="0" fontId="6" numFmtId="0" pivotButton="0" quotePrefix="1" xfId="2"/>
    <xf applyAlignment="1" borderId="0" fillId="0" fontId="0" numFmtId="0" pivotButton="0" quotePrefix="0" xfId="0">
      <alignment wrapText="1"/>
    </xf>
    <xf borderId="0" fillId="11" fontId="0" numFmtId="0" pivotButton="0" quotePrefix="0" xfId="0"/>
    <xf borderId="15" fillId="4" fontId="0" numFmtId="0" pivotButton="0" quotePrefix="0" xfId="0"/>
    <xf borderId="0" fillId="0" fontId="0" numFmtId="13" pivotButton="0" quotePrefix="0" xfId="1"/>
    <xf borderId="0" fillId="0" fontId="32" numFmtId="0" pivotButton="0" quotePrefix="0" xfId="0"/>
    <xf borderId="0" fillId="0" fontId="0" numFmtId="16" pivotButton="0" quotePrefix="0" xfId="0"/>
    <xf borderId="0" fillId="0" fontId="33" numFmtId="0" pivotButton="0" quotePrefix="0" xfId="0"/>
    <xf borderId="0" fillId="0" fontId="34" numFmtId="0" pivotButton="0" quotePrefix="0" xfId="0"/>
    <xf borderId="12" fillId="8" fontId="7" numFmtId="0" pivotButton="0" quotePrefix="0" xfId="0"/>
    <xf borderId="12" fillId="8" fontId="0" numFmtId="0" pivotButton="0" quotePrefix="0" xfId="0"/>
    <xf borderId="0" fillId="0" fontId="17" numFmtId="0" pivotButton="0" quotePrefix="0" xfId="0"/>
    <xf borderId="0" fillId="12" fontId="7" numFmtId="0" pivotButton="0" quotePrefix="0" xfId="0"/>
    <xf borderId="0" fillId="0" fontId="35" numFmtId="0" pivotButton="0" quotePrefix="0" xfId="0"/>
    <xf borderId="0" fillId="4" fontId="0" numFmtId="10" pivotButton="0" quotePrefix="0" xfId="3"/>
    <xf borderId="0" fillId="2" fontId="21" numFmtId="0" pivotButton="0" quotePrefix="0" xfId="0"/>
    <xf borderId="0" fillId="0" fontId="36" numFmtId="0" pivotButton="0" quotePrefix="0" xfId="0"/>
    <xf borderId="0" fillId="0" fontId="7" numFmtId="4" pivotButton="0" quotePrefix="0" xfId="0"/>
    <xf applyAlignment="1" borderId="0" fillId="0" fontId="9" numFmtId="0" pivotButton="0" quotePrefix="0" xfId="0">
      <alignment wrapText="1"/>
    </xf>
    <xf borderId="0" fillId="0" fontId="37" numFmtId="4" pivotButton="0" quotePrefix="0" xfId="0"/>
    <xf applyAlignment="1" borderId="16" fillId="13" fontId="37" numFmtId="4" pivotButton="0" quotePrefix="0" xfId="0">
      <alignment horizontal="right" indent="1" wrapText="1"/>
    </xf>
    <xf applyAlignment="1" borderId="17" fillId="13" fontId="37" numFmtId="0" pivotButton="0" quotePrefix="0" xfId="0">
      <alignment horizontal="right" indent="1" wrapText="1"/>
    </xf>
    <xf borderId="0" fillId="0" fontId="38" numFmtId="0" pivotButton="0" quotePrefix="0" xfId="0"/>
    <xf borderId="0" fillId="4" fontId="0" numFmtId="16" pivotButton="0" quotePrefix="0" xfId="0"/>
    <xf borderId="0" fillId="14" fontId="0" numFmtId="0" pivotButton="0" quotePrefix="0" xfId="0"/>
    <xf borderId="0" fillId="0" fontId="39" numFmtId="0" pivotButton="0" quotePrefix="0" xfId="0"/>
    <xf borderId="0" fillId="0" fontId="7" numFmtId="16" pivotButton="0" quotePrefix="0" xfId="0"/>
    <xf borderId="0" fillId="0" fontId="30" numFmtId="0" pivotButton="0" quotePrefix="1" xfId="0"/>
    <xf applyAlignment="1" borderId="0" fillId="0" fontId="40" numFmtId="0" pivotButton="0" quotePrefix="0" xfId="0">
      <alignment horizontal="left" wrapText="1"/>
    </xf>
    <xf applyAlignment="1" borderId="0" fillId="0" fontId="41" numFmtId="0" pivotButton="0" quotePrefix="0" xfId="0">
      <alignment horizontal="left" wrapText="1"/>
    </xf>
    <xf borderId="0" fillId="0" fontId="42" numFmtId="0" pivotButton="0" quotePrefix="0" xfId="0"/>
    <xf borderId="0" fillId="0" fontId="43" numFmtId="0" pivotButton="0" quotePrefix="0" xfId="0"/>
    <xf applyAlignment="1" borderId="0" fillId="0" fontId="37" numFmtId="0" pivotButton="0" quotePrefix="0" xfId="0">
      <alignment horizontal="left" indent="1"/>
    </xf>
    <xf borderId="0" fillId="0" fontId="37" numFmtId="0" pivotButton="0" quotePrefix="0" xfId="0"/>
    <xf borderId="0" fillId="7" fontId="0" numFmtId="14" pivotButton="0" quotePrefix="0" xfId="0"/>
    <xf applyAlignment="1" borderId="0" fillId="0" fontId="0" numFmtId="0" pivotButton="0" quotePrefix="0" xfId="0">
      <alignment vertical="top"/>
    </xf>
    <xf applyAlignment="1" borderId="0" fillId="0" fontId="0" numFmtId="4" pivotButton="0" quotePrefix="0" xfId="0">
      <alignment horizontal="right" vertical="top"/>
    </xf>
    <xf applyAlignment="1" borderId="0" fillId="2" fontId="0" numFmtId="0" pivotButton="0" quotePrefix="0" xfId="0">
      <alignment vertical="top"/>
    </xf>
    <xf applyAlignment="1" borderId="0" fillId="4" fontId="0" numFmtId="0" pivotButton="0" quotePrefix="0" xfId="0">
      <alignment vertical="top"/>
    </xf>
    <xf applyAlignment="1" borderId="0" fillId="0" fontId="0" numFmtId="0" pivotButton="0" quotePrefix="0" xfId="0">
      <alignment vertical="center" wrapText="1"/>
    </xf>
    <xf borderId="0" fillId="0" fontId="48" numFmtId="49" pivotButton="0" quotePrefix="0" xfId="0"/>
    <xf applyAlignment="1" borderId="0" fillId="0" fontId="6" numFmtId="0" pivotButton="0" quotePrefix="0" xfId="2">
      <alignment wrapText="1"/>
    </xf>
    <xf applyAlignment="1" borderId="0" fillId="0" fontId="49" numFmtId="0" pivotButton="0" quotePrefix="0" xfId="0">
      <alignment horizontal="left" wrapText="1"/>
    </xf>
    <xf borderId="0" fillId="0" fontId="50" numFmtId="0" pivotButton="0" quotePrefix="0" xfId="0"/>
    <xf borderId="0" fillId="2" fontId="51" numFmtId="0" pivotButton="0" quotePrefix="0" xfId="0"/>
    <xf applyAlignment="1" borderId="18" fillId="16" fontId="52" numFmtId="0" pivotButton="0" quotePrefix="0" xfId="0">
      <alignment horizontal="left" vertical="center" wrapText="1"/>
    </xf>
    <xf applyAlignment="1" borderId="18" fillId="16" fontId="53" numFmtId="0" pivotButton="0" quotePrefix="0" xfId="0">
      <alignment horizontal="left" vertical="center" wrapText="1"/>
    </xf>
    <xf borderId="0" fillId="0" fontId="51" numFmtId="0" pivotButton="0" quotePrefix="0" xfId="0"/>
    <xf borderId="0" fillId="0" fontId="6" numFmtId="49" pivotButton="0" quotePrefix="0" xfId="2"/>
    <xf borderId="0" fillId="2" fontId="54" numFmtId="0" pivotButton="0" quotePrefix="0" xfId="0"/>
    <xf borderId="0" fillId="0" fontId="55" numFmtId="0" pivotButton="0" quotePrefix="0" xfId="0"/>
    <xf borderId="0" fillId="0" fontId="54" numFmtId="0" pivotButton="0" quotePrefix="0" xfId="0"/>
    <xf applyAlignment="1" borderId="0" fillId="0" fontId="51" numFmtId="0" pivotButton="0" quotePrefix="0" xfId="0">
      <alignment wrapText="1"/>
    </xf>
    <xf borderId="0" fillId="0" fontId="56" numFmtId="0" pivotButton="0" quotePrefix="0" xfId="0"/>
    <xf applyAlignment="1" borderId="0" fillId="2" fontId="0" numFmtId="0" pivotButton="0" quotePrefix="0" xfId="0">
      <alignment wrapText="1"/>
    </xf>
    <xf applyAlignment="1" borderId="0" fillId="0" fontId="6" numFmtId="0" pivotButton="0" quotePrefix="0" xfId="2">
      <alignment horizontal="left" wrapText="1"/>
    </xf>
    <xf borderId="0" fillId="0" fontId="58" numFmtId="0" pivotButton="0" quotePrefix="0" xfId="0"/>
    <xf applyAlignment="1" borderId="18" fillId="17" fontId="59" numFmtId="0" pivotButton="0" quotePrefix="0" xfId="0">
      <alignment horizontal="center" wrapText="1"/>
    </xf>
    <xf borderId="0" fillId="2" fontId="0" numFmtId="14" pivotButton="0" quotePrefix="0" xfId="0"/>
    <xf borderId="0" fillId="0" fontId="0" numFmtId="0" pivotButton="0" quotePrefix="0" xfId="1"/>
    <xf applyAlignment="1" borderId="0" fillId="0" fontId="60" numFmtId="0" pivotButton="0" quotePrefix="0" xfId="0">
      <alignment horizontal="left" vertical="center" wrapText="1"/>
    </xf>
    <xf borderId="0" fillId="4" fontId="8" numFmtId="0" pivotButton="0" quotePrefix="0" xfId="0"/>
    <xf borderId="0" fillId="2" fontId="61" numFmtId="0" pivotButton="0" quotePrefix="0" xfId="0"/>
    <xf borderId="0" fillId="0" fontId="8" numFmtId="49" pivotButton="0" quotePrefix="1" xfId="0"/>
    <xf applyAlignment="1" borderId="0" fillId="2" fontId="57" numFmtId="0" pivotButton="0" quotePrefix="0" xfId="0">
      <alignment horizontal="left" wrapText="1"/>
    </xf>
    <xf borderId="0" fillId="0" fontId="46" numFmtId="14" pivotButton="0" quotePrefix="0" xfId="1"/>
    <xf borderId="0" fillId="0" fontId="17" numFmtId="49" pivotButton="0" quotePrefix="0" xfId="0"/>
    <xf borderId="0" fillId="0" fontId="62" numFmtId="0" pivotButton="0" quotePrefix="0" xfId="0"/>
    <xf borderId="0" fillId="10" fontId="62" numFmtId="0" pivotButton="0" quotePrefix="0" xfId="0"/>
    <xf borderId="0" fillId="0" fontId="20" numFmtId="17" pivotButton="0" quotePrefix="0" xfId="0"/>
    <xf borderId="0" fillId="0" fontId="0" numFmtId="14" pivotButton="0" quotePrefix="0" xfId="1"/>
    <xf borderId="0" fillId="0" fontId="3" numFmtId="17" pivotButton="0" quotePrefix="0" xfId="0"/>
    <xf borderId="0" fillId="0" fontId="47" numFmtId="0" pivotButton="0" quotePrefix="0" xfId="0"/>
    <xf borderId="0" fillId="0" fontId="63" numFmtId="0" pivotButton="0" quotePrefix="0" xfId="0"/>
    <xf borderId="0" fillId="0" fontId="64" numFmtId="0" pivotButton="0" quotePrefix="0" xfId="0"/>
    <xf borderId="0" fillId="0" fontId="65" numFmtId="0" pivotButton="0" quotePrefix="0" xfId="0"/>
    <xf borderId="0" fillId="0" fontId="66" numFmtId="0" pivotButton="0" quotePrefix="0" xfId="0"/>
    <xf borderId="0" fillId="0" fontId="67" numFmtId="0" pivotButton="0" quotePrefix="0" xfId="0"/>
    <xf borderId="0" fillId="0" fontId="68" numFmtId="0" pivotButton="0" quotePrefix="0" xfId="0"/>
    <xf borderId="0" fillId="7" fontId="0" numFmtId="164" pivotButton="0" quotePrefix="0" xfId="1"/>
    <xf borderId="0" fillId="7" fontId="0" numFmtId="165" pivotButton="0" quotePrefix="0" xfId="0"/>
    <xf borderId="0" fillId="0" fontId="0" numFmtId="164" pivotButton="0" quotePrefix="0" xfId="1"/>
    <xf borderId="0" fillId="2" fontId="0" numFmtId="164" pivotButton="0" quotePrefix="0" xfId="1"/>
    <xf borderId="0" fillId="0" fontId="0" numFmtId="166" pivotButton="0" quotePrefix="0" xfId="0"/>
    <xf borderId="0" fillId="0" fontId="0" numFmtId="164" pivotButton="0" quotePrefix="0" xfId="0"/>
    <xf borderId="0" fillId="0" fontId="0" numFmtId="167" pivotButton="0" quotePrefix="0" xfId="0"/>
    <xf borderId="0" fillId="0" fontId="3" numFmtId="167" pivotButton="0" quotePrefix="0" xfId="0"/>
    <xf borderId="0" fillId="4" fontId="0" numFmtId="164" pivotButton="0" quotePrefix="0" xfId="1"/>
    <xf borderId="0" fillId="4" fontId="0" numFmtId="166" pivotButton="0" quotePrefix="0" xfId="0"/>
    <xf borderId="0" fillId="4" fontId="0" numFmtId="164" pivotButton="0" quotePrefix="0" xfId="0"/>
    <xf borderId="0" fillId="10" fontId="0" numFmtId="164" pivotButton="0" quotePrefix="0" xfId="0"/>
    <xf borderId="0" fillId="2" fontId="0" numFmtId="164" pivotButton="0" quotePrefix="0" xfId="0"/>
    <xf borderId="0" fillId="10" fontId="29" numFmtId="164" pivotButton="0" quotePrefix="0" xfId="0"/>
    <xf borderId="0" fillId="2" fontId="0" numFmtId="166" pivotButton="0" quotePrefix="0" xfId="1"/>
    <xf borderId="0" fillId="2" fontId="0" numFmtId="166" pivotButton="0" quotePrefix="0" xfId="0"/>
    <xf borderId="0" fillId="5" fontId="0" numFmtId="166" pivotButton="0" quotePrefix="0" xfId="0"/>
    <xf borderId="0" fillId="0" fontId="44" numFmtId="164" pivotButton="0" quotePrefix="0" xfId="0"/>
    <xf borderId="0" fillId="9" fontId="0" numFmtId="164" pivotButton="0" quotePrefix="0" xfId="1"/>
    <xf borderId="0" fillId="0" fontId="29" numFmtId="164" pivotButton="0" quotePrefix="0" xfId="0"/>
    <xf borderId="0" fillId="8" fontId="0" numFmtId="164" pivotButton="0" quotePrefix="0" xfId="0"/>
    <xf borderId="0" fillId="0" fontId="29" numFmtId="164" pivotButton="0" quotePrefix="0" xfId="1"/>
    <xf borderId="0" fillId="10" fontId="0" numFmtId="164" pivotButton="0" quotePrefix="0" xfId="1"/>
    <xf borderId="0" fillId="10" fontId="29" numFmtId="164" pivotButton="0" quotePrefix="0" xfId="1"/>
    <xf borderId="0" fillId="0" fontId="21" numFmtId="164" pivotButton="0" quotePrefix="0" xfId="1"/>
    <xf borderId="0" fillId="10" fontId="0" numFmtId="166" pivotButton="0" quotePrefix="0" xfId="0"/>
    <xf borderId="0" fillId="0" fontId="7" numFmtId="164" pivotButton="0" quotePrefix="0" xfId="0"/>
    <xf borderId="0" fillId="0" fontId="7" numFmtId="164" pivotButton="0" quotePrefix="0" xfId="1"/>
    <xf borderId="0" fillId="0" fontId="0" numFmtId="166" pivotButton="0" quotePrefix="0" xfId="1"/>
    <xf borderId="0" fillId="0" fontId="7" numFmtId="166" pivotButton="0" quotePrefix="0" xfId="0"/>
    <xf borderId="0" fillId="0" fontId="7" numFmtId="167" pivotButton="0" quotePrefix="0" xfId="0"/>
    <xf borderId="0" fillId="0" fontId="0" numFmtId="168" pivotButton="0" quotePrefix="0" xfId="0"/>
    <xf borderId="0" fillId="9" fontId="0" numFmtId="166" pivotButton="0" quotePrefix="0" xfId="0"/>
    <xf borderId="0" fillId="0" fontId="45" numFmtId="164" pivotButton="0" quotePrefix="0" xfId="1"/>
    <xf applyAlignment="1" borderId="0" fillId="15" fontId="45" numFmtId="164" pivotButton="0" quotePrefix="0" xfId="1">
      <alignment horizontal="right" vertical="center" wrapText="1"/>
    </xf>
    <xf borderId="0" fillId="0" fontId="3" numFmtId="164" pivotButton="0" quotePrefix="0" xfId="1"/>
    <xf borderId="0" fillId="0" fontId="1" numFmtId="164" pivotButton="0" quotePrefix="0" xfId="1"/>
    <xf borderId="0" fillId="0" fontId="69" numFmtId="0" pivotButton="0" quotePrefix="0" xfId="0"/>
    <xf borderId="0" fillId="0" fontId="0" numFmtId="165" pivotButton="0" quotePrefix="0" xfId="0"/>
    <xf borderId="0" fillId="0" fontId="0" numFmtId="165" pivotButton="0" quotePrefix="0" xfId="1"/>
    <xf borderId="0" fillId="0" fontId="46" numFmtId="164" pivotButton="0" quotePrefix="0" xfId="1"/>
    <xf borderId="0" fillId="0" fontId="14" numFmtId="164" pivotButton="0" quotePrefix="0" xfId="1"/>
    <xf borderId="0" fillId="0" fontId="14" numFmtId="164" pivotButton="0" quotePrefix="0" xfId="0"/>
    <xf borderId="11" fillId="0" fontId="14" numFmtId="164" pivotButton="0" quotePrefix="0" xfId="1"/>
    <xf borderId="3" fillId="0" fontId="14" numFmtId="164" pivotButton="0" quotePrefix="0" xfId="1"/>
    <xf borderId="5" fillId="0" fontId="14" numFmtId="164" pivotButton="0" quotePrefix="0" xfId="1"/>
    <xf borderId="7" fillId="0" fontId="14" numFmtId="164" pivotButton="0" quotePrefix="0" xfId="1"/>
    <xf borderId="6" fillId="0" fontId="14" numFmtId="164" pivotButton="0" quotePrefix="0" xfId="1"/>
    <xf borderId="9" fillId="0" fontId="14" numFmtId="164" pivotButton="0" quotePrefix="0" xfId="1"/>
    <xf borderId="0" fillId="0" fontId="12" numFmtId="164" pivotButton="0" quotePrefix="0" xfId="1"/>
    <xf borderId="0" fillId="0" fontId="12" numFmtId="166" pivotButton="0" quotePrefix="0" xfId="0"/>
    <xf borderId="0" fillId="2" fontId="12" numFmtId="164" pivotButton="0" quotePrefix="0" xfId="1"/>
    <xf borderId="0" fillId="0" fontId="12" numFmtId="164" pivotButton="0" quotePrefix="0" xfId="0"/>
    <xf borderId="0" fillId="2" fontId="12" numFmtId="164" pivotButton="0" quotePrefix="0" xfId="0"/>
    <xf borderId="0" fillId="9" fontId="0" numFmtId="164" pivotButton="0" quotePrefix="0" xfId="0"/>
    <xf borderId="19" fillId="18" fontId="0" numFmtId="0" pivotButton="0" quotePrefix="0" xfId="0"/>
    <xf borderId="0" fillId="7" fontId="0" numFmtId="164" pivotButton="0" quotePrefix="0" xfId="1"/>
    <xf borderId="0" fillId="7" fontId="0" numFmtId="165" pivotButton="0" quotePrefix="0" xfId="0"/>
    <xf borderId="0" fillId="0" fontId="0" numFmtId="164" pivotButton="0" quotePrefix="0" xfId="1"/>
    <xf borderId="0" fillId="2" fontId="0" numFmtId="164" pivotButton="0" quotePrefix="0" xfId="1"/>
    <xf borderId="0" fillId="0" fontId="0" numFmtId="166" pivotButton="0" quotePrefix="0" xfId="0"/>
    <xf borderId="0" fillId="0" fontId="0" numFmtId="164" pivotButton="0" quotePrefix="0" xfId="0"/>
    <xf borderId="0" fillId="0" fontId="0" numFmtId="167" pivotButton="0" quotePrefix="0" xfId="0"/>
    <xf borderId="0" fillId="0" fontId="3" numFmtId="167" pivotButton="0" quotePrefix="0" xfId="0"/>
    <xf borderId="0" fillId="4" fontId="0" numFmtId="164" pivotButton="0" quotePrefix="0" xfId="1"/>
    <xf borderId="0" fillId="4" fontId="0" numFmtId="166" pivotButton="0" quotePrefix="0" xfId="0"/>
    <xf borderId="0" fillId="4" fontId="0" numFmtId="164" pivotButton="0" quotePrefix="0" xfId="0"/>
    <xf borderId="0" fillId="10" fontId="0" numFmtId="164" pivotButton="0" quotePrefix="0" xfId="0"/>
    <xf borderId="0" fillId="2" fontId="0" numFmtId="164" pivotButton="0" quotePrefix="0" xfId="0"/>
    <xf borderId="0" fillId="10" fontId="29" numFmtId="164" pivotButton="0" quotePrefix="0" xfId="0"/>
    <xf borderId="0" fillId="2" fontId="0" numFmtId="166" pivotButton="0" quotePrefix="0" xfId="1"/>
    <xf borderId="0" fillId="2" fontId="0" numFmtId="166" pivotButton="0" quotePrefix="0" xfId="0"/>
    <xf borderId="0" fillId="5" fontId="0" numFmtId="166" pivotButton="0" quotePrefix="0" xfId="0"/>
    <xf borderId="0" fillId="0" fontId="44" numFmtId="164" pivotButton="0" quotePrefix="0" xfId="0"/>
    <xf borderId="0" fillId="9" fontId="0" numFmtId="164" pivotButton="0" quotePrefix="0" xfId="1"/>
    <xf borderId="0" fillId="0" fontId="29" numFmtId="164" pivotButton="0" quotePrefix="0" xfId="0"/>
    <xf borderId="0" fillId="8" fontId="0" numFmtId="164" pivotButton="0" quotePrefix="0" xfId="0"/>
    <xf borderId="0" fillId="0" fontId="29" numFmtId="164" pivotButton="0" quotePrefix="0" xfId="1"/>
    <xf borderId="0" fillId="10" fontId="0" numFmtId="164" pivotButton="0" quotePrefix="0" xfId="1"/>
    <xf borderId="0" fillId="10" fontId="29" numFmtId="164" pivotButton="0" quotePrefix="0" xfId="1"/>
    <xf borderId="0" fillId="0" fontId="21" numFmtId="164" pivotButton="0" quotePrefix="0" xfId="1"/>
    <xf borderId="0" fillId="10" fontId="0" numFmtId="166" pivotButton="0" quotePrefix="0" xfId="0"/>
    <xf borderId="0" fillId="0" fontId="7" numFmtId="164" pivotButton="0" quotePrefix="0" xfId="0"/>
    <xf borderId="0" fillId="0" fontId="7" numFmtId="164" pivotButton="0" quotePrefix="0" xfId="1"/>
    <xf borderId="0" fillId="0" fontId="0" numFmtId="166" pivotButton="0" quotePrefix="0" xfId="1"/>
    <xf borderId="0" fillId="0" fontId="7" numFmtId="166" pivotButton="0" quotePrefix="0" xfId="0"/>
    <xf borderId="0" fillId="0" fontId="7" numFmtId="167" pivotButton="0" quotePrefix="0" xfId="0"/>
    <xf borderId="0" fillId="0" fontId="0" numFmtId="168" pivotButton="0" quotePrefix="0" xfId="0"/>
    <xf borderId="20" fillId="19" fontId="0" numFmtId="0" pivotButton="0" quotePrefix="0" xfId="0"/>
    <xf borderId="0" fillId="9" fontId="0" numFmtId="166" pivotButton="0" quotePrefix="0" xfId="0"/>
    <xf borderId="0" fillId="0" fontId="45" numFmtId="164" pivotButton="0" quotePrefix="0" xfId="1"/>
    <xf applyAlignment="1" borderId="0" fillId="15" fontId="45" numFmtId="164" pivotButton="0" quotePrefix="0" xfId="1">
      <alignment horizontal="right" vertical="center" wrapText="1"/>
    </xf>
    <xf borderId="0" fillId="0" fontId="3" numFmtId="164" pivotButton="0" quotePrefix="0" xfId="1"/>
    <xf borderId="0" fillId="0" fontId="1" numFmtId="164" pivotButton="0" quotePrefix="0" xfId="1"/>
    <xf borderId="0" fillId="0" fontId="71" numFmtId="0" pivotButton="0" quotePrefix="0" xfId="0"/>
    <xf borderId="0" fillId="0" fontId="0" numFmtId="165" pivotButton="0" quotePrefix="0" xfId="0"/>
    <xf borderId="0" fillId="0" fontId="0" numFmtId="165" pivotButton="0" quotePrefix="0" xfId="1"/>
    <xf borderId="0" fillId="0" fontId="46" numFmtId="164" pivotButton="0" quotePrefix="0" xfId="1"/>
    <xf borderId="0" fillId="0" fontId="14" numFmtId="164" pivotButton="0" quotePrefix="0" xfId="1"/>
    <xf borderId="0" fillId="0" fontId="14" numFmtId="164" pivotButton="0" quotePrefix="0" xfId="0"/>
    <xf borderId="11" fillId="0" fontId="14" numFmtId="164" pivotButton="0" quotePrefix="0" xfId="1"/>
    <xf borderId="3" fillId="0" fontId="14" numFmtId="164" pivotButton="0" quotePrefix="0" xfId="1"/>
    <xf borderId="5" fillId="0" fontId="14" numFmtId="164" pivotButton="0" quotePrefix="0" xfId="1"/>
    <xf borderId="7" fillId="0" fontId="14" numFmtId="164" pivotButton="0" quotePrefix="0" xfId="1"/>
    <xf borderId="6" fillId="0" fontId="14" numFmtId="164" pivotButton="0" quotePrefix="0" xfId="1"/>
    <xf borderId="9" fillId="0" fontId="14" numFmtId="164" pivotButton="0" quotePrefix="0" xfId="1"/>
    <xf borderId="0" fillId="0" fontId="12" numFmtId="164" pivotButton="0" quotePrefix="0" xfId="1"/>
    <xf borderId="0" fillId="0" fontId="12" numFmtId="166" pivotButton="0" quotePrefix="0" xfId="0"/>
    <xf borderId="0" fillId="2" fontId="12" numFmtId="164" pivotButton="0" quotePrefix="0" xfId="1"/>
    <xf borderId="0" fillId="0" fontId="12" numFmtId="164" pivotButton="0" quotePrefix="0" xfId="0"/>
    <xf borderId="0" fillId="2" fontId="12" numFmtId="164" pivotButton="0" quotePrefix="0" xfId="0"/>
    <xf borderId="0" fillId="9" fontId="0" numFmtId="164" pivotButton="0" quotePrefix="0" xfId="0"/>
  </cellXfs>
  <cellStyles count="4">
    <cellStyle builtinId="0" name="Normal" xfId="0"/>
    <cellStyle builtinId="4" name="Currency" xfId="1"/>
    <cellStyle builtinId="8" name="Hyperlink" xfId="2"/>
    <cellStyle builtinId="5" name="Percent" xfId="3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Ali Kalwar</author>
  </authors>
  <commentList>
    <comment authorId="0" ref="I246" shapeId="0">
      <text>
        <t>Ali Kalwar:
Orderd 3 extra</t>
      </text>
    </comment>
    <comment authorId="0" ref="I299" shapeId="0">
      <text>
        <t>Ali Kalwar:
Includes 5 from -4600</t>
      </text>
    </comment>
    <comment authorId="0" ref="I306" shapeId="0">
      <text>
        <t>Ali Kalwar:
Orderd 20, 4 exttra</t>
      </text>
    </comment>
    <comment authorId="0" ref="I310" shapeId="0">
      <text>
        <t>Ali Kalwar:
Orderd 50, 1 extra</t>
      </text>
    </comment>
    <comment authorId="0" ref="I312" shapeId="0">
      <text>
        <t>Ali Kalwar:
Orderd 10, 2 extra</t>
      </text>
    </comment>
    <comment authorId="0" ref="I317" shapeId="0">
      <text>
        <t>Ali Kalwar:
Orderd 35, req 31
4 extra in stock</t>
      </text>
    </comment>
    <comment authorId="0" ref="I328" shapeId="0">
      <text>
        <t>Ali Kalwar:
Ordered 10, 1 extra</t>
      </text>
    </comment>
    <comment authorId="0" ref="I330" shapeId="0">
      <text>
        <t>Ali Kalwar:
Purchased from Mitchel</t>
      </text>
    </comment>
    <comment authorId="0" ref="I341" shapeId="0">
      <text>
        <t>Ali Kalwar:
Ordered 10, 2 in stock</t>
      </text>
    </comment>
    <comment authorId="0" ref="F344" shapeId="0">
      <text>
        <t>Ali Kalwar:
Orderd10, 3 extra</t>
      </text>
    </comment>
    <comment authorId="0" ref="I346" shapeId="0">
      <text>
        <t>Ali Kalwar:
Orderd 50, stock 3</t>
      </text>
    </comment>
    <comment authorId="0" ref="I355" shapeId="0">
      <text>
        <t>Ali Kalwar:
Includes 5 from -4600</t>
      </text>
    </comment>
    <comment authorId="0" ref="I356" shapeId="0">
      <text>
        <t>Ali Kalwar:
Orderd 5, 2 extra for stock</t>
      </text>
    </comment>
    <comment authorId="0" ref="I361" shapeId="0">
      <text>
        <t>Ali Kalwar:
Orderd 100, 39 etra</t>
      </text>
    </comment>
    <comment authorId="0" ref="I363" shapeId="0">
      <text>
        <t>Ali Kalwar:
Orderd qty 45, 20 for order</t>
      </text>
    </comment>
    <comment authorId="0" ref="I367" shapeId="0">
      <text>
        <t>Ali Kalwar:
Orderd 62</t>
      </text>
    </comment>
    <comment authorId="0" ref="I369" shapeId="0">
      <text>
        <t>Ali Kalwar:
Orderd 20, 1 extra</t>
      </text>
    </comment>
    <comment authorId="0" ref="I385" shapeId="0">
      <text>
        <t>Ali Kalwar:
Orderd 20, 1 extra</t>
      </text>
    </comment>
    <comment authorId="0" ref="I393" shapeId="0">
      <text>
        <t>Ali Kalwar:
Orderd 100, 35 extra</t>
      </text>
    </comment>
    <comment authorId="0" ref="I395" shapeId="0">
      <text>
        <t>Ali Kalwar:
Orderd 100</t>
      </text>
    </comment>
    <comment authorId="0" ref="I396" shapeId="0">
      <text>
        <t>Ali Kalwar:
orderd 62</t>
      </text>
    </comment>
    <comment authorId="0" ref="I398" shapeId="0">
      <text>
        <t>Ali Kalwar:
orderd 50</t>
      </text>
    </comment>
    <comment authorId="0" ref="I422" shapeId="0">
      <text>
        <t>Ali Kalwar:
Orderd 50, 14 extra</t>
      </text>
    </comment>
    <comment authorId="0" ref="I430" shapeId="0">
      <text>
        <t>Ali Kalwar:
Orderd 20, 7 for -7017</t>
      </text>
    </comment>
    <comment authorId="0" ref="I431" shapeId="0">
      <text>
        <t>Ali Kalwar:
Orderd 20, 7 for -7017</t>
      </text>
    </comment>
    <comment authorId="0" ref="I433" shapeId="0">
      <text>
        <t>Ali Kalwar:
Orderd 20, 2 extra</t>
      </text>
    </comment>
    <comment authorId="0" ref="I446" shapeId="0">
      <text>
        <t>Ali Kalwar:
orderd 20, extra 5</t>
      </text>
    </comment>
    <comment authorId="0" ref="I447" shapeId="0">
      <text>
        <t>Ali Kalwar:
Orderd 20, 5 for stock</t>
      </text>
    </comment>
    <comment authorId="0" ref="I449" shapeId="0">
      <text>
        <t>Ali Kalwar:
Orderd 45, 20 for -7931 in March</t>
      </text>
    </comment>
    <comment authorId="0" ref="I450" shapeId="0">
      <text>
        <t>Ali Kalwar:
Orderd 50,14 for stock</t>
      </text>
    </comment>
    <comment authorId="0" ref="I460" shapeId="0">
      <text>
        <t>Ali Kalwar:
Orderd 40, 12 and 12 for-1882, 16 for stock</t>
      </text>
    </comment>
    <comment authorId="0" ref="I465" shapeId="0">
      <text>
        <t>Ali Kalwar:
Orderd 50, 24 for stock</t>
      </text>
    </comment>
    <comment authorId="0" ref="I475" shapeId="0">
      <text>
        <t>Ali Kalwar:
Orderd 50, 1 for stock</t>
      </text>
    </comment>
    <comment authorId="0" ref="I477" shapeId="0">
      <text>
        <t>Ali Kalwar:
Orderd 50, 1 for stock</t>
      </text>
    </comment>
    <comment authorId="0" ref="I486" shapeId="0">
      <text>
        <t>Ali Kalwar:
Orderd 35, 1 for stock</t>
      </text>
    </comment>
    <comment authorId="0" ref="I488" shapeId="0">
      <text>
        <t>Ali Kalwar:
orderd 10, 5 for -6151 and 3 for stock</t>
      </text>
    </comment>
    <comment authorId="0" ref="I492" shapeId="0">
      <text>
        <t>Ali Kalwar:
Orderd 100, 10 for stock</t>
      </text>
    </comment>
    <comment authorId="0" ref="I499" shapeId="0">
      <text>
        <t>Ali Kalwar:
Orderd 7, 2 for</t>
      </text>
    </comment>
    <comment authorId="0" ref="I504" shapeId="0">
      <text>
        <t>Ali Kalwar:
Orderd 10, 2 for stock</t>
      </text>
    </comment>
    <comment authorId="0" ref="K504" shapeId="0">
      <text>
        <t>Ali Kalwar:
Orderd 10, 2for stock</t>
      </text>
    </comment>
    <comment authorId="0" ref="I508" shapeId="0">
      <text>
        <t>Ali Kalwar:
Orderd 50, 8 for stock</t>
      </text>
    </comment>
    <comment authorId="0" ref="I512" shapeId="0">
      <text>
        <t>Ali Kalwar:
orderd 10</t>
      </text>
    </comment>
    <comment authorId="0" ref="I517" shapeId="0">
      <text>
        <t>Ali Kalwar:
orderd 10, 5 for -6151 and 3 for stock</t>
      </text>
    </comment>
    <comment authorId="0" ref="I524" shapeId="0">
      <text>
        <t>Ali Kalwar:
Orderd 7, 2 for</t>
      </text>
    </comment>
    <comment authorId="0" ref="I547" shapeId="0">
      <text>
        <t>Ali Kalwar:
Orderd 20, 7for -9614 and 4 for stock.</t>
      </text>
    </comment>
    <comment authorId="0" ref="I557" shapeId="0">
      <text>
        <t>Ali Kalwar:
Orderd 40, 12 and 1 for-1882, 16 for stock</t>
      </text>
    </comment>
    <comment authorId="0" ref="I563" shapeId="0">
      <text>
        <t>Ali Kalwar:
Orderd 10, 2for stock</t>
      </text>
    </comment>
    <comment authorId="0" ref="I566" shapeId="0">
      <text>
        <t>Ali Kalwar:
Orderd 76</t>
      </text>
    </comment>
    <comment authorId="0" ref="I576" shapeId="0">
      <text>
        <t>Ali Kalwar:
orderd 20, 1 for stock</t>
      </text>
    </comment>
    <comment authorId="0" ref="I580" shapeId="0">
      <text>
        <t>Ali Kalwar:
Orderd 50, 20 for stock</t>
      </text>
    </comment>
    <comment authorId="0" ref="I584" shapeId="0">
      <text>
        <t>Ali Kalwar:
orderd 10, 1 for stock</t>
      </text>
    </comment>
    <comment authorId="0" ref="I607" shapeId="0">
      <text>
        <t>Ali Kalwar:
Orderd 50, 8 extra</t>
      </text>
    </comment>
    <comment authorId="0" ref="I624" shapeId="0">
      <text>
        <t>Ali Kalwar:
Orderd 35</t>
      </text>
    </comment>
    <comment authorId="0" ref="I635" shapeId="0">
      <text>
        <t>Ali Kalwar:
orderd 50, 10 for stock</t>
      </text>
    </comment>
    <comment authorId="0" ref="G640" shapeId="0">
      <text>
        <t>Ali Kalwar:
orderd 50</t>
      </text>
    </comment>
    <comment authorId="0" ref="I654" shapeId="0">
      <text>
        <t>Ali Kalwar:
Orderd 25, 4 for stock</t>
      </text>
    </comment>
    <comment authorId="0" ref="F762" shapeId="0">
      <text>
        <t>Ali Kalwar:</t>
      </text>
    </comment>
    <comment authorId="0" ref="I246" shapeId="0">
      <text>
        <t>Ali Kalwar:
Orderd 3 extra</t>
      </text>
    </comment>
    <comment authorId="0" ref="I299" shapeId="0">
      <text>
        <t>Ali Kalwar:
Includes 5 from -4600</t>
      </text>
    </comment>
    <comment authorId="0" ref="I306" shapeId="0">
      <text>
        <t>Ali Kalwar:
Orderd 20, 4 exttra</t>
      </text>
    </comment>
    <comment authorId="0" ref="I310" shapeId="0">
      <text>
        <t>Ali Kalwar:
Orderd 50, 1 extra</t>
      </text>
    </comment>
    <comment authorId="0" ref="I312" shapeId="0">
      <text>
        <t>Ali Kalwar:
Orderd 10, 2 extra</t>
      </text>
    </comment>
    <comment authorId="0" ref="I317" shapeId="0">
      <text>
        <t>Ali Kalwar:
Orderd 35, req 31
4 extra in stock</t>
      </text>
    </comment>
    <comment authorId="0" ref="I328" shapeId="0">
      <text>
        <t>Ali Kalwar:
Ordered 10, 1 extra</t>
      </text>
    </comment>
    <comment authorId="0" ref="I330" shapeId="0">
      <text>
        <t>Ali Kalwar:
Purchased from Mitchel</t>
      </text>
    </comment>
    <comment authorId="0" ref="I341" shapeId="0">
      <text>
        <t>Ali Kalwar:
Ordered 10, 2 in stock</t>
      </text>
    </comment>
    <comment authorId="0" ref="F344" shapeId="0">
      <text>
        <t>Ali Kalwar:
Orderd10, 3 extra</t>
      </text>
    </comment>
    <comment authorId="0" ref="I346" shapeId="0">
      <text>
        <t>Ali Kalwar:
Orderd 50, stock 3</t>
      </text>
    </comment>
    <comment authorId="0" ref="I355" shapeId="0">
      <text>
        <t>Ali Kalwar:
Includes 5 from -4600</t>
      </text>
    </comment>
    <comment authorId="0" ref="I356" shapeId="0">
      <text>
        <t>Ali Kalwar:
Orderd 5, 2 extra for stock</t>
      </text>
    </comment>
    <comment authorId="0" ref="I361" shapeId="0">
      <text>
        <t>Ali Kalwar:
Orderd 100, 39 etra</t>
      </text>
    </comment>
    <comment authorId="0" ref="I363" shapeId="0">
      <text>
        <t>Ali Kalwar:
Orderd qty 45, 20 for order</t>
      </text>
    </comment>
    <comment authorId="0" ref="I367" shapeId="0">
      <text>
        <t>Ali Kalwar:
Orderd 62</t>
      </text>
    </comment>
    <comment authorId="0" ref="I369" shapeId="0">
      <text>
        <t>Ali Kalwar:
Orderd 20, 1 extra</t>
      </text>
    </comment>
    <comment authorId="0" ref="I385" shapeId="0">
      <text>
        <t>Ali Kalwar:
Orderd 20, 1 extra</t>
      </text>
    </comment>
    <comment authorId="0" ref="I393" shapeId="0">
      <text>
        <t>Ali Kalwar:
Orderd 100, 35 extra</t>
      </text>
    </comment>
    <comment authorId="0" ref="I395" shapeId="0">
      <text>
        <t>Ali Kalwar:
Orderd 100</t>
      </text>
    </comment>
    <comment authorId="0" ref="I396" shapeId="0">
      <text>
        <t>Ali Kalwar:
orderd 62</t>
      </text>
    </comment>
    <comment authorId="0" ref="I398" shapeId="0">
      <text>
        <t>Ali Kalwar:
orderd 50</t>
      </text>
    </comment>
    <comment authorId="0" ref="I422" shapeId="0">
      <text>
        <t>Ali Kalwar:
Orderd 50, 14 extra</t>
      </text>
    </comment>
    <comment authorId="0" ref="I430" shapeId="0">
      <text>
        <t>Ali Kalwar:
Orderd 20, 7 for -7017</t>
      </text>
    </comment>
    <comment authorId="0" ref="I431" shapeId="0">
      <text>
        <t>Ali Kalwar:
Orderd 20, 7 for -7017</t>
      </text>
    </comment>
    <comment authorId="0" ref="I433" shapeId="0">
      <text>
        <t>Ali Kalwar:
Orderd 20, 2 extra</t>
      </text>
    </comment>
    <comment authorId="0" ref="I446" shapeId="0">
      <text>
        <t>Ali Kalwar:
orderd 20, extra 5</t>
      </text>
    </comment>
    <comment authorId="0" ref="I447" shapeId="0">
      <text>
        <t>Ali Kalwar:
Orderd 20, 5 for stock</t>
      </text>
    </comment>
    <comment authorId="0" ref="I449" shapeId="0">
      <text>
        <t>Ali Kalwar:
Orderd 45, 20 for -7931 in March</t>
      </text>
    </comment>
    <comment authorId="0" ref="I450" shapeId="0">
      <text>
        <t>Ali Kalwar:
Orderd 50,14 for stock</t>
      </text>
    </comment>
    <comment authorId="0" ref="I460" shapeId="0">
      <text>
        <t>Ali Kalwar:
Orderd 40, 12 and 12 for-1882, 16 for stock</t>
      </text>
    </comment>
    <comment authorId="0" ref="I465" shapeId="0">
      <text>
        <t>Ali Kalwar:
Orderd 50, 24 for stock</t>
      </text>
    </comment>
    <comment authorId="0" ref="I475" shapeId="0">
      <text>
        <t>Ali Kalwar:
Orderd 50, 1 for stock</t>
      </text>
    </comment>
    <comment authorId="0" ref="I477" shapeId="0">
      <text>
        <t>Ali Kalwar:
Orderd 50, 1 for stock</t>
      </text>
    </comment>
    <comment authorId="0" ref="I486" shapeId="0">
      <text>
        <t>Ali Kalwar:
Orderd 35, 1 for stock</t>
      </text>
    </comment>
    <comment authorId="0" ref="I488" shapeId="0">
      <text>
        <t>Ali Kalwar:
orderd 10, 5 for -6151 and 3 for stock</t>
      </text>
    </comment>
    <comment authorId="0" ref="I492" shapeId="0">
      <text>
        <t>Ali Kalwar:
Orderd 100, 10 for stock</t>
      </text>
    </comment>
    <comment authorId="0" ref="I499" shapeId="0">
      <text>
        <t>Ali Kalwar:
Orderd 7, 2 for</t>
      </text>
    </comment>
    <comment authorId="0" ref="I504" shapeId="0">
      <text>
        <t>Ali Kalwar:
Orderd 10, 2 for stock</t>
      </text>
    </comment>
    <comment authorId="0" ref="K504" shapeId="0">
      <text>
        <t>Ali Kalwar:
Orderd 10, 2for stock</t>
      </text>
    </comment>
    <comment authorId="0" ref="I508" shapeId="0">
      <text>
        <t>Ali Kalwar:
Orderd 50, 8 for stock</t>
      </text>
    </comment>
    <comment authorId="0" ref="I512" shapeId="0">
      <text>
        <t>Ali Kalwar:
orderd 10</t>
      </text>
    </comment>
    <comment authorId="0" ref="I517" shapeId="0">
      <text>
        <t>Ali Kalwar:
orderd 10, 5 for -6151 and 3 for stock</t>
      </text>
    </comment>
    <comment authorId="0" ref="I524" shapeId="0">
      <text>
        <t>Ali Kalwar:
Orderd 7, 2 for</t>
      </text>
    </comment>
    <comment authorId="0" ref="I547" shapeId="0">
      <text>
        <t>Ali Kalwar:
Orderd 20, 7for -9614 and 4 for stock.</t>
      </text>
    </comment>
    <comment authorId="0" ref="I557" shapeId="0">
      <text>
        <t>Ali Kalwar:
Orderd 40, 12 and 1 for-1882, 16 for stock</t>
      </text>
    </comment>
    <comment authorId="0" ref="I563" shapeId="0">
      <text>
        <t>Ali Kalwar:
Orderd 10, 2for stock</t>
      </text>
    </comment>
    <comment authorId="0" ref="I566" shapeId="0">
      <text>
        <t>Ali Kalwar:
Orderd 76</t>
      </text>
    </comment>
    <comment authorId="0" ref="I576" shapeId="0">
      <text>
        <t>Ali Kalwar:
orderd 20, 1 for stock</t>
      </text>
    </comment>
    <comment authorId="0" ref="I580" shapeId="0">
      <text>
        <t>Ali Kalwar:
Orderd 50, 20 for stock</t>
      </text>
    </comment>
    <comment authorId="0" ref="I584" shapeId="0">
      <text>
        <t>Ali Kalwar:
orderd 10, 1 for stock</t>
      </text>
    </comment>
    <comment authorId="0" ref="I607" shapeId="0">
      <text>
        <t>Ali Kalwar:
Orderd 50, 8 extra</t>
      </text>
    </comment>
    <comment authorId="0" ref="I624" shapeId="0">
      <text>
        <t>Ali Kalwar:
Orderd 35</t>
      </text>
    </comment>
    <comment authorId="0" ref="I635" shapeId="0">
      <text>
        <t>Ali Kalwar:
orderd 50, 10 for stock</t>
      </text>
    </comment>
    <comment authorId="0" ref="G640" shapeId="0">
      <text>
        <t>Ali Kalwar:
orderd 50</t>
      </text>
    </comment>
    <comment authorId="0" ref="I654" shapeId="0">
      <text>
        <t>Ali Kalwar:
Orderd 25, 4 for stock</t>
      </text>
    </comment>
    <comment authorId="0" ref="F762" shapeId="0">
      <text>
        <t>Ali Kalwar: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www.neco.navy.mil/secure/register/login.aspx?soln=SPMYM217Q0260" TargetMode="External" Type="http://schemas.openxmlformats.org/officeDocument/2006/relationships/hyperlink" /><Relationship Id="rId2" Target="https://www.neco.navy.mil/secure/register/login.aspx?soln=SPMYM217Q0260" TargetMode="External" Type="http://schemas.openxmlformats.org/officeDocument/2006/relationships/hyperlink" /></Relationships>
</file>

<file path=xl/worksheets/_rels/sheet17.xml.rels><Relationships xmlns="http://schemas.openxmlformats.org/package/2006/relationships"><Relationship Id="rId1" Target="mailto:arojas@aerofit.com" TargetMode="External" Type="http://schemas.openxmlformats.org/officeDocument/2006/relationships/hyperlink" /><Relationship Id="rId2" Target="mailto:bserenson@airexrubber.com" TargetMode="External" Type="http://schemas.openxmlformats.org/officeDocument/2006/relationships/hyperlink" /><Relationship Id="rId3" Target="mailto:erin@newerasalesteam.com" TargetMode="External" Type="http://schemas.openxmlformats.org/officeDocument/2006/relationships/hyperlink" /><Relationship Id="rId4" Target="mailto:tatsuya.koyama@amadamiyachi.com" TargetMode="External" Type="http://schemas.openxmlformats.org/officeDocument/2006/relationships/hyperlink" /><Relationship Id="rId5" Target="mailto:info@armelelectronics.com" TargetMode="External" Type="http://schemas.openxmlformats.org/officeDocument/2006/relationships/hyperlink" /><Relationship Id="rId6" Target="mailto:ksoares@atrenne-cs.com" TargetMode="External" Type="http://schemas.openxmlformats.org/officeDocument/2006/relationships/hyperlink" /><Relationship Id="rId7" Target="mailto:ksoares@atrenne-cs.com" TargetMode="External" Type="http://schemas.openxmlformats.org/officeDocument/2006/relationships/hyperlink" /><Relationship Id="rId8" Target="mailto:crystal.bryant@pccairframe.com" TargetMode="External" Type="http://schemas.openxmlformats.org/officeDocument/2006/relationships/hyperlink" /><Relationship Id="rId9" Target="mailto:nlandis@amphenol-antennas.com" TargetMode="External" Type="http://schemas.openxmlformats.org/officeDocument/2006/relationships/hyperlink" /><Relationship Id="rId10" Target="mailto:DBardsley2@cameron.slb.com" TargetMode="External" Type="http://schemas.openxmlformats.org/officeDocument/2006/relationships/hyperlink" /><Relationship Id="rId11" Target="mailto:kmorse@applebeechurch.com" TargetMode="External" Type="http://schemas.openxmlformats.org/officeDocument/2006/relationships/hyperlink" /><Relationship Id="rId12" Target="mailto:Kendra.Mitchell@colfaxfluidhandling.com" TargetMode="External" Type="http://schemas.openxmlformats.org/officeDocument/2006/relationships/hyperlink" /><Relationship Id="rId13" Target="mailto:srobinson@connectronicscorp.com" TargetMode="External" Type="http://schemas.openxmlformats.org/officeDocument/2006/relationships/hyperlink" /><Relationship Id="rId14" Target="mailto:sales@cole-switches.com" TargetMode="External" Type="http://schemas.openxmlformats.org/officeDocument/2006/relationships/hyperlink" /><Relationship Id="rId15" Target="mailto:crystal@ametek.com" TargetMode="External" Type="http://schemas.openxmlformats.org/officeDocument/2006/relationships/hyperlink" /><Relationship Id="rId16" Target="mailto:paulk@datadelay.com" TargetMode="External" Type="http://schemas.openxmlformats.org/officeDocument/2006/relationships/hyperlink" /><Relationship Id="rId17" Target="mailto:Nicole.Acevedo@dsi-hums.com" TargetMode="External" Type="http://schemas.openxmlformats.org/officeDocument/2006/relationships/hyperlink" /><Relationship Id="rId18" Target="mailto:mikep@peerlessusa.com" TargetMode="External" Type="http://schemas.openxmlformats.org/officeDocument/2006/relationships/hyperlink" /><Relationship Id="rId19" Target="mailto:ccpressureusa@ge.com" TargetMode="External" Type="http://schemas.openxmlformats.org/officeDocument/2006/relationships/hyperlink" /><Relationship Id="rId20" Target="mailto:sbutler@eastwestindustries.com" TargetMode="External" Type="http://schemas.openxmlformats.org/officeDocument/2006/relationships/hyperlink" /><Relationship Id="rId21" Target="mailto:bsheffield@entwistleco.com" TargetMode="External" Type="http://schemas.openxmlformats.org/officeDocument/2006/relationships/hyperlink" /><Relationship Id="rId22" Target="mailto:rgeisz@essexind.com" TargetMode="External" Type="http://schemas.openxmlformats.org/officeDocument/2006/relationships/hyperlink" /><Relationship Id="rId23" Target="mailto:bradley@flowlinevalves.com" TargetMode="External" Type="http://schemas.openxmlformats.org/officeDocument/2006/relationships/hyperlink" /><Relationship Id="rId24" Target="mailto:kmartin@tencarva.com" TargetMode="External" Type="http://schemas.openxmlformats.org/officeDocument/2006/relationships/hyperlink" /><Relationship Id="rId25" Target="mailto:customerservice@gai-tronics.com" TargetMode="External" Type="http://schemas.openxmlformats.org/officeDocument/2006/relationships/hyperlink" /><Relationship Id="rId26" Target="mailto:davepatrick@generaldevices.com" TargetMode="External" Type="http://schemas.openxmlformats.org/officeDocument/2006/relationships/hyperlink" /><Relationship Id="rId27" Target="mailto:gregs@general-rubber.com" TargetMode="External" Type="http://schemas.openxmlformats.org/officeDocument/2006/relationships/hyperlink" /><Relationship Id="rId28" Target="mailto:icarrillo@glenair.com" TargetMode="External" Type="http://schemas.openxmlformats.org/officeDocument/2006/relationships/hyperlink" /><Relationship Id="rId29" Target="mailto:sales@gouldvalve.com" TargetMode="External" Type="http://schemas.openxmlformats.org/officeDocument/2006/relationships/hyperlink" /><Relationship Id="rId30" Target="mailto:sales@hantech.com" TargetMode="External" Type="http://schemas.openxmlformats.org/officeDocument/2006/relationships/hyperlink" /><Relationship Id="rId31" Target="mailto:us.hiab.parts@hiab.com" TargetMode="External" Type="http://schemas.openxmlformats.org/officeDocument/2006/relationships/hyperlink" /><Relationship Id="rId32" Target="mailto:kbriersmith@hydroair.net" TargetMode="External" Type="http://schemas.openxmlformats.org/officeDocument/2006/relationships/hyperlink" /><Relationship Id="rId33" Target="mailto:lcerulli@brandel-stephens.com" TargetMode="External" Type="http://schemas.openxmlformats.org/officeDocument/2006/relationships/hyperlink" /><Relationship Id="rId34" Target="mailto:ksmith@brandel-stephens.com" TargetMode="External" Type="http://schemas.openxmlformats.org/officeDocument/2006/relationships/hyperlink" /><Relationship Id="rId35" Target="mailto:terie.briones@kulite.com" TargetMode="External" Type="http://schemas.openxmlformats.org/officeDocument/2006/relationships/hyperlink" /><Relationship Id="rId36" Target="mailto:bsparadeo@leddynamics.com" TargetMode="External" Type="http://schemas.openxmlformats.org/officeDocument/2006/relationships/hyperlink" /><Relationship Id="rId37" Target="mailto:tbishop@marway.com" TargetMode="External" Type="http://schemas.openxmlformats.org/officeDocument/2006/relationships/hyperlink" /><Relationship Id="rId38" Target="mailto:rachelg@millerleaman.com" TargetMode="External" Type="http://schemas.openxmlformats.org/officeDocument/2006/relationships/hyperlink" /><Relationship Id="rId39" Target="mailto:kdrewelow@miradaresearch.com" TargetMode="External" Type="http://schemas.openxmlformats.org/officeDocument/2006/relationships/hyperlink" /><Relationship Id="rId40" Target="mailto:elainerobles@moldeddevices.com" TargetMode="External" Type="http://schemas.openxmlformats.org/officeDocument/2006/relationships/hyperlink" /><Relationship Id="rId41" Target="mailto:angelinaherrera@moldeddevices.com" TargetMode="External" Type="http://schemas.openxmlformats.org/officeDocument/2006/relationships/hyperlink" /><Relationship Id="rId42" Target="mailto:partscpp@konecranes.com" TargetMode="External" Type="http://schemas.openxmlformats.org/officeDocument/2006/relationships/hyperlink" /><Relationship Id="rId43" Target="mailto:partsairtusa@munters.com" TargetMode="External" Type="http://schemas.openxmlformats.org/officeDocument/2006/relationships/hyperlink" /><Relationship Id="rId44" Target="mailto:quote@ni.com" TargetMode="External" Type="http://schemas.openxmlformats.org/officeDocument/2006/relationships/hyperlink" /><Relationship Id="rId45" Target="mailto:sales@spartonre.com" TargetMode="External" Type="http://schemas.openxmlformats.org/officeDocument/2006/relationships/hyperlink" /><Relationship Id="rId46" Target="mailto:gabrielac@westmarine.com" TargetMode="External" Type="http://schemas.openxmlformats.org/officeDocument/2006/relationships/hyperlink" /><Relationship Id="rId47" Target="mailto:sales@cttinc.com" TargetMode="External" Type="http://schemas.openxmlformats.org/officeDocument/2006/relationships/hyperlink" /><Relationship Id="rId48" Target="mailto:parts@KTSDI.com" TargetMode="External" Type="http://schemas.openxmlformats.org/officeDocument/2006/relationships/hyperlink" /><Relationship Id="rId49" Target="mailto:rolf.geerdink@mafo.nl" TargetMode="External" Type="http://schemas.openxmlformats.org/officeDocument/2006/relationships/hyperlink" /><Relationship Id="rId50" Target="mailto:tina.lopez@newport.com" TargetMode="External" Type="http://schemas.openxmlformats.org/officeDocument/2006/relationships/hyperlink" /><Relationship Id="rId51" Target="mailto:calvin.duplechin@doverautomation.com" TargetMode="External" Type="http://schemas.openxmlformats.org/officeDocument/2006/relationships/hyperlink" /><Relationship Id="rId52" Target="mailto:sales@pasternack.com" TargetMode="External" Type="http://schemas.openxmlformats.org/officeDocument/2006/relationships/hyperlink" /><Relationship Id="rId53" Target="mailto:darlapotter@fluidflow.com" TargetMode="External" Type="http://schemas.openxmlformats.org/officeDocument/2006/relationships/hyperlink" /><Relationship Id="rId54" Target="mailto:kjonas@phxlogistics.com" TargetMode="External" Type="http://schemas.openxmlformats.org/officeDocument/2006/relationships/hyperlink" /><Relationship Id="rId55" Target="mailto:brenze@pgcontrols.com" TargetMode="External" Type="http://schemas.openxmlformats.org/officeDocument/2006/relationships/hyperlink" /><Relationship Id="rId56" Target="mailto:sales@preeceinc.com" TargetMode="External" Type="http://schemas.openxmlformats.org/officeDocument/2006/relationships/hyperlink" /><Relationship Id="rId57" Target="mailto:sales@procureinc.us" TargetMode="External" Type="http://schemas.openxmlformats.org/officeDocument/2006/relationships/hyperlink" /><Relationship Id="rId58" Target="mailto:mps@hascoinc.net" TargetMode="External" Type="http://schemas.openxmlformats.org/officeDocument/2006/relationships/hyperlink" /><Relationship Id="rId59" Target="mailto:Nancy@kerneng.com" TargetMode="External" Type="http://schemas.openxmlformats.org/officeDocument/2006/relationships/hyperlink" /><Relationship Id="rId60" Target="mailto:Service.RSA@RSA.Rohde-Schwarz.com" TargetMode="External" Type="http://schemas.openxmlformats.org/officeDocument/2006/relationships/hyperlink" /><Relationship Id="rId61" Target="mailto:sales@ruland.com%3E" TargetMode="External" Type="http://schemas.openxmlformats.org/officeDocument/2006/relationships/hyperlink" /><Relationship Id="rId62" Target="mailto:la@minicircuits.com" TargetMode="External" Type="http://schemas.openxmlformats.org/officeDocument/2006/relationships/hyperlink" /><Relationship Id="rId63" Target="mailto:kristin@microlambda.com" TargetMode="External" Type="http://schemas.openxmlformats.org/officeDocument/2006/relationships/hyperlink" /><Relationship Id="rId64" Target="mailto:us.quotes@us.spiraxsarco.com" TargetMode="External" Type="http://schemas.openxmlformats.org/officeDocument/2006/relationships/hyperlink" /><Relationship Id="rId65" Target="mailto:tim-w@superbrightleds.com" TargetMode="External" Type="http://schemas.openxmlformats.org/officeDocument/2006/relationships/hyperlink" /><Relationship Id="rId66" Target="mailto:tim.smith@timesmicro.com" TargetMode="External" Type="http://schemas.openxmlformats.org/officeDocument/2006/relationships/hyperlink" /><Relationship Id="rId67" Target="mailto:gquinlan@philagear.com" TargetMode="External" Type="http://schemas.openxmlformats.org/officeDocument/2006/relationships/hyperlink" /><Relationship Id="rId68" Target="mailto:cnotaro@wems.com" TargetMode="External" Type="http://schemas.openxmlformats.org/officeDocument/2006/relationships/hyperlink" /><Relationship Id="rId69" Target="mailto:deanna.howell@wesconcontrols.com" TargetMode="External" Type="http://schemas.openxmlformats.org/officeDocument/2006/relationships/hyperlink" /><Relationship Id="rId70" Target="mailto:sgalla@worldmagnetics.com" TargetMode="External" Type="http://schemas.openxmlformats.org/officeDocument/2006/relationships/hyperlink" /><Relationship Id="rId71" Target="mailto:vbanks@zistos.com" TargetMode="External" Type="http://schemas.openxmlformats.org/officeDocument/2006/relationships/hyperlink" /><Relationship Id="rId72" Target="mailto:elaine.dufrene@macgregor.com" TargetMode="External" Type="http://schemas.openxmlformats.org/officeDocument/2006/relationships/hyperlink" /><Relationship Id="rId73" Target="mailto:dgeren@indeeco.com" TargetMode="External" Type="http://schemas.openxmlformats.org/officeDocument/2006/relationships/hyperlink" /><Relationship Id="rId74" Target="mailto:sales@cole-switches.com" TargetMode="External" Type="http://schemas.openxmlformats.org/officeDocument/2006/relationships/hyperlink" /><Relationship Id="rId75" Target="mailto:cathy.eufemia@ultra-msi.com" TargetMode="External" Type="http://schemas.openxmlformats.org/officeDocument/2006/relationships/hyperlink" /><Relationship Id="rId76" Target="mailto:ht.navymail@xyleminc.com" TargetMode="External" Type="http://schemas.openxmlformats.org/officeDocument/2006/relationships/hyperlink" /><Relationship Id="rId77" Target="mailto:sales@highpressure.com" TargetMode="External" Type="http://schemas.openxmlformats.org/officeDocument/2006/relationships/hyperlink" /><Relationship Id="rId78" Target="mailto:sales@maurymw.com" TargetMode="External" Type="http://schemas.openxmlformats.org/officeDocument/2006/relationships/hyperlink" /><Relationship Id="rId79" Target="mailto:bmoore@arc-tech.com" TargetMode="External" Type="http://schemas.openxmlformats.org/officeDocument/2006/relationships/hyperlink" /><Relationship Id="rId80" Target="mailto:DGeren@indeeco.com" TargetMode="External" Type="http://schemas.openxmlformats.org/officeDocument/2006/relationships/hyperlink" /><Relationship Id="rId81" Target="mailto:darlapotter@fluidflow.com" TargetMode="External" Type="http://schemas.openxmlformats.org/officeDocument/2006/relationships/hyperlink" /><Relationship Id="rId82" Target="mailto:lcalderon@sierramonitor.com" TargetMode="External" Type="http://schemas.openxmlformats.org/officeDocument/2006/relationships/hyperlink" /><Relationship Id="rId83" Target="mailto:sales@wardwell.com" TargetMode="External" Type="http://schemas.openxmlformats.org/officeDocument/2006/relationships/hyperlink" /><Relationship Id="rId84" Target="mailto:davem@xenotronix.com" TargetMode="External" Type="http://schemas.openxmlformats.org/officeDocument/2006/relationships/hyperlink" /><Relationship Id="rId85" Target="mailto:sgalla@worldmagnetics.com" TargetMode="External" Type="http://schemas.openxmlformats.org/officeDocument/2006/relationships/hyperlink" /><Relationship Id="rId86" Target="mailto:cheryl@elastomeric.com" TargetMode="External" Type="http://schemas.openxmlformats.org/officeDocument/2006/relationships/hyperlink" /><Relationship Id="rId87" Target="mailto:ajs@edifax.com" TargetMode="External" Type="http://schemas.openxmlformats.org/officeDocument/2006/relationships/hyperlink" /><Relationship Id="rId88" Target="mailto:mcroce@wattswater.com" TargetMode="External" Type="http://schemas.openxmlformats.org/officeDocument/2006/relationships/hyperlink" /><Relationship Id="rId89" Target="mailto:ginal@ambco.net" TargetMode="External" Type="http://schemas.openxmlformats.org/officeDocument/2006/relationships/hyperlink" /><Relationship Id="rId90" Target="mailto:sales@instrumart.com," TargetMode="External" Type="http://schemas.openxmlformats.org/officeDocument/2006/relationships/hyperlink" /><Relationship Id="rId91" Target="mailto:twolff@kmparts.com" TargetMode="External" Type="http://schemas.openxmlformats.org/officeDocument/2006/relationships/hyperlink" /><Relationship Id="rId92" Target="mailto:sales@avon-aef.com" TargetMode="External" Type="http://schemas.openxmlformats.org/officeDocument/2006/relationships/hyperlink" /><Relationship Id="rId93" Target="mailto:dewan.watts@avon-rubber.com" TargetMode="External" Type="http://schemas.openxmlformats.org/officeDocument/2006/relationships/hyperlink" /><Relationship Id="rId94" Target="mailto:jgrainger@filtrationgroup.com" TargetMode="External" Type="http://schemas.openxmlformats.org/officeDocument/2006/relationships/hyperlink" /><Relationship Id="rId95" Target="mailto:arojas@aerofit.com" TargetMode="External" Type="http://schemas.openxmlformats.org/officeDocument/2006/relationships/hyperlink" /><Relationship Id="rId96" Target="mailto:bserenson@airexrubber.com" TargetMode="External" Type="http://schemas.openxmlformats.org/officeDocument/2006/relationships/hyperlink" /><Relationship Id="rId97" Target="mailto:erin@newerasalesteam.com" TargetMode="External" Type="http://schemas.openxmlformats.org/officeDocument/2006/relationships/hyperlink" /><Relationship Id="rId98" Target="mailto:tatsuya.koyama@amadamiyachi.com" TargetMode="External" Type="http://schemas.openxmlformats.org/officeDocument/2006/relationships/hyperlink" /><Relationship Id="rId99" Target="mailto:info@armelelectronics.com" TargetMode="External" Type="http://schemas.openxmlformats.org/officeDocument/2006/relationships/hyperlink" /><Relationship Id="rId100" Target="mailto:ksoares@atrenne-cs.com" TargetMode="External" Type="http://schemas.openxmlformats.org/officeDocument/2006/relationships/hyperlink" /><Relationship Id="rId101" Target="mailto:ksoares@atrenne-cs.com" TargetMode="External" Type="http://schemas.openxmlformats.org/officeDocument/2006/relationships/hyperlink" /><Relationship Id="rId102" Target="mailto:crystal.bryant@pccairframe.com" TargetMode="External" Type="http://schemas.openxmlformats.org/officeDocument/2006/relationships/hyperlink" /><Relationship Id="rId103" Target="mailto:nlandis@amphenol-antennas.com" TargetMode="External" Type="http://schemas.openxmlformats.org/officeDocument/2006/relationships/hyperlink" /><Relationship Id="rId104" Target="mailto:DBardsley2@cameron.slb.com" TargetMode="External" Type="http://schemas.openxmlformats.org/officeDocument/2006/relationships/hyperlink" /><Relationship Id="rId105" Target="mailto:kmorse@applebeechurch.com" TargetMode="External" Type="http://schemas.openxmlformats.org/officeDocument/2006/relationships/hyperlink" /><Relationship Id="rId106" Target="mailto:Kendra.Mitchell@colfaxfluidhandling.com" TargetMode="External" Type="http://schemas.openxmlformats.org/officeDocument/2006/relationships/hyperlink" /><Relationship Id="rId107" Target="mailto:srobinson@connectronicscorp.com" TargetMode="External" Type="http://schemas.openxmlformats.org/officeDocument/2006/relationships/hyperlink" /><Relationship Id="rId108" Target="mailto:sales@cole-switches.com" TargetMode="External" Type="http://schemas.openxmlformats.org/officeDocument/2006/relationships/hyperlink" /><Relationship Id="rId109" Target="mailto:crystal@ametek.com" TargetMode="External" Type="http://schemas.openxmlformats.org/officeDocument/2006/relationships/hyperlink" /><Relationship Id="rId110" Target="mailto:paulk@datadelay.com" TargetMode="External" Type="http://schemas.openxmlformats.org/officeDocument/2006/relationships/hyperlink" /><Relationship Id="rId111" Target="mailto:Nicole.Acevedo@dsi-hums.com" TargetMode="External" Type="http://schemas.openxmlformats.org/officeDocument/2006/relationships/hyperlink" /><Relationship Id="rId112" Target="mailto:mikep@peerlessusa.com" TargetMode="External" Type="http://schemas.openxmlformats.org/officeDocument/2006/relationships/hyperlink" /><Relationship Id="rId113" Target="mailto:ccpressureusa@ge.com" TargetMode="External" Type="http://schemas.openxmlformats.org/officeDocument/2006/relationships/hyperlink" /><Relationship Id="rId114" Target="mailto:sbutler@eastwestindustries.com" TargetMode="External" Type="http://schemas.openxmlformats.org/officeDocument/2006/relationships/hyperlink" /><Relationship Id="rId115" Target="mailto:bsheffield@entwistleco.com" TargetMode="External" Type="http://schemas.openxmlformats.org/officeDocument/2006/relationships/hyperlink" /><Relationship Id="rId116" Target="mailto:rgeisz@essexind.com" TargetMode="External" Type="http://schemas.openxmlformats.org/officeDocument/2006/relationships/hyperlink" /><Relationship Id="rId117" Target="mailto:bradley@flowlinevalves.com" TargetMode="External" Type="http://schemas.openxmlformats.org/officeDocument/2006/relationships/hyperlink" /><Relationship Id="rId118" Target="mailto:kmartin@tencarva.com" TargetMode="External" Type="http://schemas.openxmlformats.org/officeDocument/2006/relationships/hyperlink" /><Relationship Id="rId119" Target="mailto:customerservice@gai-tronics.com" TargetMode="External" Type="http://schemas.openxmlformats.org/officeDocument/2006/relationships/hyperlink" /><Relationship Id="rId120" Target="mailto:davepatrick@generaldevices.com" TargetMode="External" Type="http://schemas.openxmlformats.org/officeDocument/2006/relationships/hyperlink" /><Relationship Id="rId121" Target="mailto:gregs@general-rubber.com" TargetMode="External" Type="http://schemas.openxmlformats.org/officeDocument/2006/relationships/hyperlink" /><Relationship Id="rId122" Target="mailto:icarrillo@glenair.com" TargetMode="External" Type="http://schemas.openxmlformats.org/officeDocument/2006/relationships/hyperlink" /><Relationship Id="rId123" Target="mailto:sales@gouldvalve.com" TargetMode="External" Type="http://schemas.openxmlformats.org/officeDocument/2006/relationships/hyperlink" /><Relationship Id="rId124" Target="mailto:sales@hantech.com" TargetMode="External" Type="http://schemas.openxmlformats.org/officeDocument/2006/relationships/hyperlink" /><Relationship Id="rId125" Target="mailto:us.hiab.parts@hiab.com" TargetMode="External" Type="http://schemas.openxmlformats.org/officeDocument/2006/relationships/hyperlink" /><Relationship Id="rId126" Target="mailto:kbriersmith@hydroair.net" TargetMode="External" Type="http://schemas.openxmlformats.org/officeDocument/2006/relationships/hyperlink" /><Relationship Id="rId127" Target="mailto:lcerulli@brandel-stephens.com" TargetMode="External" Type="http://schemas.openxmlformats.org/officeDocument/2006/relationships/hyperlink" /><Relationship Id="rId128" Target="mailto:ksmith@brandel-stephens.com" TargetMode="External" Type="http://schemas.openxmlformats.org/officeDocument/2006/relationships/hyperlink" /><Relationship Id="rId129" Target="mailto:terie.briones@kulite.com" TargetMode="External" Type="http://schemas.openxmlformats.org/officeDocument/2006/relationships/hyperlink" /><Relationship Id="rId130" Target="mailto:bsparadeo@leddynamics.com" TargetMode="External" Type="http://schemas.openxmlformats.org/officeDocument/2006/relationships/hyperlink" /><Relationship Id="rId131" Target="mailto:tbishop@marway.com" TargetMode="External" Type="http://schemas.openxmlformats.org/officeDocument/2006/relationships/hyperlink" /><Relationship Id="rId132" Target="mailto:rachelg@millerleaman.com" TargetMode="External" Type="http://schemas.openxmlformats.org/officeDocument/2006/relationships/hyperlink" /><Relationship Id="rId133" Target="mailto:kdrewelow@miradaresearch.com" TargetMode="External" Type="http://schemas.openxmlformats.org/officeDocument/2006/relationships/hyperlink" /><Relationship Id="rId134" Target="mailto:elainerobles@moldeddevices.com" TargetMode="External" Type="http://schemas.openxmlformats.org/officeDocument/2006/relationships/hyperlink" /><Relationship Id="rId135" Target="mailto:angelinaherrera@moldeddevices.com" TargetMode="External" Type="http://schemas.openxmlformats.org/officeDocument/2006/relationships/hyperlink" /><Relationship Id="rId136" Target="mailto:partscpp@konecranes.com" TargetMode="External" Type="http://schemas.openxmlformats.org/officeDocument/2006/relationships/hyperlink" /><Relationship Id="rId137" Target="mailto:partsairtusa@munters.com" TargetMode="External" Type="http://schemas.openxmlformats.org/officeDocument/2006/relationships/hyperlink" /><Relationship Id="rId138" Target="mailto:quote@ni.com" TargetMode="External" Type="http://schemas.openxmlformats.org/officeDocument/2006/relationships/hyperlink" /><Relationship Id="rId139" Target="mailto:sales@spartonre.com" TargetMode="External" Type="http://schemas.openxmlformats.org/officeDocument/2006/relationships/hyperlink" /><Relationship Id="rId140" Target="mailto:gabrielac@westmarine.com" TargetMode="External" Type="http://schemas.openxmlformats.org/officeDocument/2006/relationships/hyperlink" /><Relationship Id="rId141" Target="mailto:sales@cttinc.com" TargetMode="External" Type="http://schemas.openxmlformats.org/officeDocument/2006/relationships/hyperlink" /><Relationship Id="rId142" Target="mailto:parts@KTSDI.com" TargetMode="External" Type="http://schemas.openxmlformats.org/officeDocument/2006/relationships/hyperlink" /><Relationship Id="rId143" Target="mailto:rolf.geerdink@mafo.nl" TargetMode="External" Type="http://schemas.openxmlformats.org/officeDocument/2006/relationships/hyperlink" /><Relationship Id="rId144" Target="mailto:tina.lopez@newport.com" TargetMode="External" Type="http://schemas.openxmlformats.org/officeDocument/2006/relationships/hyperlink" /><Relationship Id="rId145" Target="mailto:calvin.duplechin@doverautomation.com" TargetMode="External" Type="http://schemas.openxmlformats.org/officeDocument/2006/relationships/hyperlink" /><Relationship Id="rId146" Target="mailto:sales@pasternack.com" TargetMode="External" Type="http://schemas.openxmlformats.org/officeDocument/2006/relationships/hyperlink" /><Relationship Id="rId147" Target="mailto:darlapotter@fluidflow.com" TargetMode="External" Type="http://schemas.openxmlformats.org/officeDocument/2006/relationships/hyperlink" /><Relationship Id="rId148" Target="mailto:kjonas@phxlogistics.com" TargetMode="External" Type="http://schemas.openxmlformats.org/officeDocument/2006/relationships/hyperlink" /><Relationship Id="rId149" Target="mailto:brenze@pgcontrols.com" TargetMode="External" Type="http://schemas.openxmlformats.org/officeDocument/2006/relationships/hyperlink" /><Relationship Id="rId150" Target="mailto:sales@preeceinc.com" TargetMode="External" Type="http://schemas.openxmlformats.org/officeDocument/2006/relationships/hyperlink" /><Relationship Id="rId151" Target="mailto:sales@procureinc.us" TargetMode="External" Type="http://schemas.openxmlformats.org/officeDocument/2006/relationships/hyperlink" /><Relationship Id="rId152" Target="mailto:mps@hascoinc.net" TargetMode="External" Type="http://schemas.openxmlformats.org/officeDocument/2006/relationships/hyperlink" /><Relationship Id="rId153" Target="mailto:Nancy@kerneng.com" TargetMode="External" Type="http://schemas.openxmlformats.org/officeDocument/2006/relationships/hyperlink" /><Relationship Id="rId154" Target="mailto:Service.RSA@RSA.Rohde-Schwarz.com" TargetMode="External" Type="http://schemas.openxmlformats.org/officeDocument/2006/relationships/hyperlink" /><Relationship Id="rId155" Target="mailto:sales@ruland.com%3E" TargetMode="External" Type="http://schemas.openxmlformats.org/officeDocument/2006/relationships/hyperlink" /><Relationship Id="rId156" Target="mailto:la@minicircuits.com" TargetMode="External" Type="http://schemas.openxmlformats.org/officeDocument/2006/relationships/hyperlink" /><Relationship Id="rId157" Target="mailto:kristin@microlambda.com" TargetMode="External" Type="http://schemas.openxmlformats.org/officeDocument/2006/relationships/hyperlink" /><Relationship Id="rId158" Target="mailto:us.quotes@us.spiraxsarco.com" TargetMode="External" Type="http://schemas.openxmlformats.org/officeDocument/2006/relationships/hyperlink" /><Relationship Id="rId159" Target="mailto:tim-w@superbrightleds.com" TargetMode="External" Type="http://schemas.openxmlformats.org/officeDocument/2006/relationships/hyperlink" /><Relationship Id="rId160" Target="mailto:tim.smith@timesmicro.com" TargetMode="External" Type="http://schemas.openxmlformats.org/officeDocument/2006/relationships/hyperlink" /><Relationship Id="rId161" Target="mailto:gquinlan@philagear.com" TargetMode="External" Type="http://schemas.openxmlformats.org/officeDocument/2006/relationships/hyperlink" /><Relationship Id="rId162" Target="mailto:cnotaro@wems.com" TargetMode="External" Type="http://schemas.openxmlformats.org/officeDocument/2006/relationships/hyperlink" /><Relationship Id="rId163" Target="mailto:deanna.howell@wesconcontrols.com" TargetMode="External" Type="http://schemas.openxmlformats.org/officeDocument/2006/relationships/hyperlink" /><Relationship Id="rId164" Target="mailto:sgalla@worldmagnetics.com" TargetMode="External" Type="http://schemas.openxmlformats.org/officeDocument/2006/relationships/hyperlink" /><Relationship Id="rId165" Target="mailto:vbanks@zistos.com" TargetMode="External" Type="http://schemas.openxmlformats.org/officeDocument/2006/relationships/hyperlink" /><Relationship Id="rId166" Target="mailto:elaine.dufrene@macgregor.com" TargetMode="External" Type="http://schemas.openxmlformats.org/officeDocument/2006/relationships/hyperlink" /><Relationship Id="rId167" Target="mailto:dgeren@indeeco.com" TargetMode="External" Type="http://schemas.openxmlformats.org/officeDocument/2006/relationships/hyperlink" /><Relationship Id="rId168" Target="mailto:sales@cole-switches.com" TargetMode="External" Type="http://schemas.openxmlformats.org/officeDocument/2006/relationships/hyperlink" /><Relationship Id="rId169" Target="mailto:cathy.eufemia@ultra-msi.com" TargetMode="External" Type="http://schemas.openxmlformats.org/officeDocument/2006/relationships/hyperlink" /><Relationship Id="rId170" Target="mailto:ht.navymail@xyleminc.com" TargetMode="External" Type="http://schemas.openxmlformats.org/officeDocument/2006/relationships/hyperlink" /><Relationship Id="rId171" Target="mailto:sales@highpressure.com" TargetMode="External" Type="http://schemas.openxmlformats.org/officeDocument/2006/relationships/hyperlink" /><Relationship Id="rId172" Target="mailto:sales@maurymw.com" TargetMode="External" Type="http://schemas.openxmlformats.org/officeDocument/2006/relationships/hyperlink" /><Relationship Id="rId173" Target="mailto:bmoore@arc-tech.com" TargetMode="External" Type="http://schemas.openxmlformats.org/officeDocument/2006/relationships/hyperlink" /><Relationship Id="rId174" Target="mailto:DGeren@indeeco.com" TargetMode="External" Type="http://schemas.openxmlformats.org/officeDocument/2006/relationships/hyperlink" /><Relationship Id="rId175" Target="mailto:darlapotter@fluidflow.com" TargetMode="External" Type="http://schemas.openxmlformats.org/officeDocument/2006/relationships/hyperlink" /><Relationship Id="rId176" Target="mailto:lcalderon@sierramonitor.com" TargetMode="External" Type="http://schemas.openxmlformats.org/officeDocument/2006/relationships/hyperlink" /><Relationship Id="rId177" Target="mailto:sales@wardwell.com" TargetMode="External" Type="http://schemas.openxmlformats.org/officeDocument/2006/relationships/hyperlink" /><Relationship Id="rId178" Target="mailto:davem@xenotronix.com" TargetMode="External" Type="http://schemas.openxmlformats.org/officeDocument/2006/relationships/hyperlink" /><Relationship Id="rId179" Target="mailto:sgalla@worldmagnetics.com" TargetMode="External" Type="http://schemas.openxmlformats.org/officeDocument/2006/relationships/hyperlink" /><Relationship Id="rId180" Target="mailto:cheryl@elastomeric.com" TargetMode="External" Type="http://schemas.openxmlformats.org/officeDocument/2006/relationships/hyperlink" /><Relationship Id="rId181" Target="mailto:ajs@edifax.com" TargetMode="External" Type="http://schemas.openxmlformats.org/officeDocument/2006/relationships/hyperlink" /><Relationship Id="rId182" Target="mailto:mcroce@wattswater.com" TargetMode="External" Type="http://schemas.openxmlformats.org/officeDocument/2006/relationships/hyperlink" /><Relationship Id="rId183" Target="mailto:ginal@ambco.net" TargetMode="External" Type="http://schemas.openxmlformats.org/officeDocument/2006/relationships/hyperlink" /><Relationship Id="rId184" Target="mailto:sales@instrumart.com," TargetMode="External" Type="http://schemas.openxmlformats.org/officeDocument/2006/relationships/hyperlink" /><Relationship Id="rId185" Target="mailto:twolff@kmparts.com" TargetMode="External" Type="http://schemas.openxmlformats.org/officeDocument/2006/relationships/hyperlink" /><Relationship Id="rId186" Target="mailto:sales@avon-aef.com" TargetMode="External" Type="http://schemas.openxmlformats.org/officeDocument/2006/relationships/hyperlink" /><Relationship Id="rId187" Target="mailto:dewan.watts@avon-rubber.com" TargetMode="External" Type="http://schemas.openxmlformats.org/officeDocument/2006/relationships/hyperlink" /><Relationship Id="rId188" Target="mailto:jgrainger@filtrationgroup.com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mailto:ali.kalwar@westsiminc.com" TargetMode="External" Type="http://schemas.openxmlformats.org/officeDocument/2006/relationships/hyperlink" /><Relationship Id="rId2" Target="mailto:disa.global.servicedesk.mbx.eb-ticket-requests@mail.mil" TargetMode="External" Type="http://schemas.openxmlformats.org/officeDocument/2006/relationships/hyperlink" /><Relationship Id="rId3" Target="mailto:ali.kalwar@westsiminc.com" TargetMode="External" Type="http://schemas.openxmlformats.org/officeDocument/2006/relationships/hyperlink" /><Relationship Id="rId4" Target="tel:8004633339" TargetMode="External" Type="http://schemas.openxmlformats.org/officeDocument/2006/relationships/hyperlink" /><Relationship Id="rId5" Target="mailto:ali.kalwar@westsiminc.com" TargetMode="External" Type="http://schemas.openxmlformats.org/officeDocument/2006/relationships/hyperlink" /><Relationship Id="rId6" Target="mailto:ali.kalwar@westsiminc.com" TargetMode="External" Type="http://schemas.openxmlformats.org/officeDocument/2006/relationships/hyperlink" /><Relationship Id="rId7" Target="mailto:ali.kalwar@westsiminc.com" TargetMode="External" Type="http://schemas.openxmlformats.org/officeDocument/2006/relationships/hyperlink" /><Relationship Id="rId8" Target="mailto:disa.global.servicedesk.mbx.eb-ticket-requests@mail.mil" TargetMode="External" Type="http://schemas.openxmlformats.org/officeDocument/2006/relationships/hyperlink" /><Relationship Id="rId9" Target="mailto:ali.kalwar@westsiminc.com" TargetMode="External" Type="http://schemas.openxmlformats.org/officeDocument/2006/relationships/hyperlink" /><Relationship Id="rId10" Target="tel:8004633339" TargetMode="External" Type="http://schemas.openxmlformats.org/officeDocument/2006/relationships/hyperlink" /><Relationship Id="rId11" Target="mailto:ali.kalwar@westsiminc.com" TargetMode="External" Type="http://schemas.openxmlformats.org/officeDocument/2006/relationships/hyperlink" /><Relationship Id="rId12" Target="mailto:ali.kalwar@westsiminc.com" TargetMode="External" Type="http://schemas.openxmlformats.org/officeDocument/2006/relationships/hyperlink" /></Relationships>
</file>

<file path=xl/worksheets/_rels/sheet3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4.xml.rels><Relationships xmlns="http://schemas.openxmlformats.org/package/2006/relationships"><Relationship Id="rId1" Target="https://wawf.eb.mil/wawf/xhtml/auth/web/folder/DocumentFolder.xhtml" TargetMode="External" Type="http://schemas.openxmlformats.org/officeDocument/2006/relationships/hyperlink" /><Relationship Id="rId2" Target="https://wawf.eb.mil/wawf/xhtml/auth/web/folder/DocumentFolder.xhtml" TargetMode="External" Type="http://schemas.openxmlformats.org/officeDocument/2006/relationships/hyperlink" /><Relationship Id="rId3" Target="https://wawf.eb.mil/wawf/xhtml/auth/web/folder/DocumentFolder.xhtml" TargetMode="External" Type="http://schemas.openxmlformats.org/officeDocument/2006/relationships/hyperlink" /><Relationship Id="rId4" Target="https://wawf.eb.mil/wawf/xhtml/auth/web/folder/DocumentFolder.xhtml" TargetMode="External" Type="http://schemas.openxmlformats.org/officeDocument/2006/relationships/hyperlink" /></Relationships>
</file>

<file path=xl/worksheets/_rels/sheet8.xml.rels><Relationships xmlns="http://schemas.openxmlformats.org/package/2006/relationships"><Relationship Id="rId1" Target="mailto:mikep@peerlessusa.com" TargetMode="External" Type="http://schemas.openxmlformats.org/officeDocument/2006/relationships/hyperlink" /><Relationship Id="rId2" Target="mailto:mikep@peerlessusa.com" TargetMode="External" Type="http://schemas.openxmlformats.org/officeDocument/2006/relationships/hyperlink" /><Relationship Id="rId3" Target="mailto:paulk@datadelay.com" TargetMode="External" Type="http://schemas.openxmlformats.org/officeDocument/2006/relationships/hyperlink" /><Relationship Id="rId4" Target="mailto:erin@newerasalesteam.com" TargetMode="External" Type="http://schemas.openxmlformats.org/officeDocument/2006/relationships/hyperlink" /><Relationship Id="rId5" Target="https://www.dibbs.bsm.dla.mil/RFQ/RFQNsn.aspx?value=5325014622867&amp;category=nsn&amp;Scope=all" TargetMode="External" Type="http://schemas.openxmlformats.org/officeDocument/2006/relationships/hyperlink" /><Relationship Id="rId6" Target="mailto:la@minicircuits.com" TargetMode="External" Type="http://schemas.openxmlformats.org/officeDocument/2006/relationships/hyperlink" /><Relationship Id="rId7" Target="mailto:darlapotter@fluidflow.com" TargetMode="External" Type="http://schemas.openxmlformats.org/officeDocument/2006/relationships/hyperlink" /><Relationship Id="rId8" Target="mailto:sbutler@eastwestindustries.com" TargetMode="External" Type="http://schemas.openxmlformats.org/officeDocument/2006/relationships/hyperlink" /><Relationship Id="rId9" Target="mailto:Anna.Nichols@slmti.com" TargetMode="External" Type="http://schemas.openxmlformats.org/officeDocument/2006/relationships/hyperlink" /><Relationship Id="rId10" Target="mailto:jennifer.ann1.ludwig@jcifederal.com" TargetMode="External" Type="http://schemas.openxmlformats.org/officeDocument/2006/relationships/hyperlink" /><Relationship Id="rId11" Target="mailto:sales@pasternack.com" TargetMode="External" Type="http://schemas.openxmlformats.org/officeDocument/2006/relationships/hyperlink" /><Relationship Id="rId12" Target="mailto:liz@flamecorp.com" TargetMode="External" Type="http://schemas.openxmlformats.org/officeDocument/2006/relationships/hyperlink" /><Relationship Id="rId13" Target="mailto:nannette@metrexvalve.com" TargetMode="External" Type="http://schemas.openxmlformats.org/officeDocument/2006/relationships/hyperlink" /><Relationship Id="rId14" Target="mailto:nannette@metrexvalve.com" TargetMode="External" Type="http://schemas.openxmlformats.org/officeDocument/2006/relationships/hyperlink" /><Relationship Id="rId15" Target="mailto:malcolm.bounds@sci.com" TargetMode="External" Type="http://schemas.openxmlformats.org/officeDocument/2006/relationships/hyperlink" /><Relationship Id="rId16" Target="mailto:cskipper@us.pepperl-fuchs.com" TargetMode="External" Type="http://schemas.openxmlformats.org/officeDocument/2006/relationships/hyperlink" /><Relationship Id="rId17" Target="mailto:bsheffield@entwistleco.com" TargetMode="External" Type="http://schemas.openxmlformats.org/officeDocument/2006/relationships/hyperlink" /><Relationship Id="rId18" Target="mailto:vlangosh@digitran-es.com" TargetMode="External" Type="http://schemas.openxmlformats.org/officeDocument/2006/relationships/hyperlink" /><Relationship Id="rId19" Target="mailto:quote@ni.com" TargetMode="External" Type="http://schemas.openxmlformats.org/officeDocument/2006/relationships/hyperlink" /><Relationship Id="rId20" Target="mailto:crystal@ametek.com" TargetMode="External" Type="http://schemas.openxmlformats.org/officeDocument/2006/relationships/hyperlink" /><Relationship Id="rId21" Target="mailto:bserenson@airexrubber.com" TargetMode="External" Type="http://schemas.openxmlformats.org/officeDocument/2006/relationships/hyperlink" /><Relationship Id="rId22" Target="mailto:partsairtusa@munters.com" TargetMode="External" Type="http://schemas.openxmlformats.org/officeDocument/2006/relationships/hyperlink" /><Relationship Id="rId23" Target="mailto:taylor.jones@astrodynetdi.com" TargetMode="External" Type="http://schemas.openxmlformats.org/officeDocument/2006/relationships/hyperlink" /><Relationship Id="rId24" Target="mailto:srobinson@connectronicscorp.com" TargetMode="External" Type="http://schemas.openxmlformats.org/officeDocument/2006/relationships/hyperlink" /><Relationship Id="rId25" Target="mailto:dorothy.sablan@newport.com" TargetMode="External" Type="http://schemas.openxmlformats.org/officeDocument/2006/relationships/hyperlink" /><Relationship Id="rId26" Target="mailto:Bonnie.West@us.tdk-lambda.com" TargetMode="External" Type="http://schemas.openxmlformats.org/officeDocument/2006/relationships/hyperlink" /><Relationship Id="rId27" Target="mailto:Kendra.Mitchell@colfaxfluidhandling.com" TargetMode="External" Type="http://schemas.openxmlformats.org/officeDocument/2006/relationships/hyperlink" /><Relationship Id="rId28" Target="mailto:ccpressureusa@ge.com" TargetMode="External" Type="http://schemas.openxmlformats.org/officeDocument/2006/relationships/hyperlink" /><Relationship Id="rId29" Target="mailto:ksoares@atrenne-cs.com" TargetMode="External" Type="http://schemas.openxmlformats.org/officeDocument/2006/relationships/hyperlink" /><Relationship Id="rId30" Target="mailto:rgeisz@essexind.com" TargetMode="External" Type="http://schemas.openxmlformats.org/officeDocument/2006/relationships/hyperlink" /><Relationship Id="rId31" Target="mailto:heather@spartech-south.com" TargetMode="External" Type="http://schemas.openxmlformats.org/officeDocument/2006/relationships/hyperlink" /><Relationship Id="rId32" Target="mailto:Sales@TechnaNDT.com" TargetMode="External" Type="http://schemas.openxmlformats.org/officeDocument/2006/relationships/hyperlink" /><Relationship Id="rId33" Target="mailto:kbriersmith@hydroair.net" TargetMode="External" Type="http://schemas.openxmlformats.org/officeDocument/2006/relationships/hyperlink" /><Relationship Id="rId34" Target="mailto:sales@procureinc.us" TargetMode="External" Type="http://schemas.openxmlformats.org/officeDocument/2006/relationships/hyperlink" /><Relationship Id="rId35" Target="mailto:brenze@pgcontrols.com" TargetMode="External" Type="http://schemas.openxmlformats.org/officeDocument/2006/relationships/hyperlink" /><Relationship Id="rId36" Target="mailto:cnotaro@wems.com" TargetMode="External" Type="http://schemas.openxmlformats.org/officeDocument/2006/relationships/hyperlink" /><Relationship Id="rId37" Target="mailto:cskipper@us.pepperl-fuchs.com" TargetMode="External" Type="http://schemas.openxmlformats.org/officeDocument/2006/relationships/hyperlink" /><Relationship Id="rId38" Target="mailto:Nancy@kerneng.com" TargetMode="External" Type="http://schemas.openxmlformats.org/officeDocument/2006/relationships/hyperlink" /><Relationship Id="rId39" Target="mailto:hdaffin@biscoind.com" TargetMode="External" Type="http://schemas.openxmlformats.org/officeDocument/2006/relationships/hyperlink" /><Relationship Id="rId40" Target="mailto:calvin.duplechin@doverautomation.com" TargetMode="External" Type="http://schemas.openxmlformats.org/officeDocument/2006/relationships/hyperlink" /><Relationship Id="rId41" Target="mailto:cindyt@westone.com" TargetMode="External" Type="http://schemas.openxmlformats.org/officeDocument/2006/relationships/hyperlink" /><Relationship Id="rId42" Target="mailto:sgalla@worldmagnetics.com" TargetMode="External" Type="http://schemas.openxmlformats.org/officeDocument/2006/relationships/hyperlink" /><Relationship Id="rId43" Target="mailto:Nicole.Acevedo@dsi-hums.com" TargetMode="External" Type="http://schemas.openxmlformats.org/officeDocument/2006/relationships/hyperlink" /><Relationship Id="rId44" Target="mailto:parts@KTSDI.com" TargetMode="External" Type="http://schemas.openxmlformats.org/officeDocument/2006/relationships/hyperlink" /><Relationship Id="rId45" Target="mailto:gabrielac@westmarine.com" TargetMode="External" Type="http://schemas.openxmlformats.org/officeDocument/2006/relationships/hyperlink" /><Relationship Id="rId46" Target="mailto:nlandis@amphenol-antennas.com" TargetMode="External" Type="http://schemas.openxmlformats.org/officeDocument/2006/relationships/hyperlink" /><Relationship Id="rId47" Target="mailto:rachelg@millerleaman.com" TargetMode="External" Type="http://schemas.openxmlformats.org/officeDocument/2006/relationships/hyperlink" /><Relationship Id="rId48" Target="mailto:Cyndee@inmarsystems.com" TargetMode="External" Type="http://schemas.openxmlformats.org/officeDocument/2006/relationships/hyperlink" /><Relationship Id="rId49" Target="mailto:Service.RSA@RSA.Rohde-Schwarz.com" TargetMode="External" Type="http://schemas.openxmlformats.org/officeDocument/2006/relationships/hyperlink" /><Relationship Id="rId50" Target="mailto:elainerobles@moldeddevices.com" TargetMode="External" Type="http://schemas.openxmlformats.org/officeDocument/2006/relationships/hyperlink" /><Relationship Id="rId51" Target="mailto:DBardsley2@cameron.slb.com" TargetMode="External" Type="http://schemas.openxmlformats.org/officeDocument/2006/relationships/hyperlink" /><Relationship Id="rId52" Target="mailto:bsparadeo@leddynamics.com" TargetMode="External" Type="http://schemas.openxmlformats.org/officeDocument/2006/relationships/hyperlink" /><Relationship Id="rId53" Target="mailto:US.QUOTES@US.SPIRAXSARCO.COM" TargetMode="External" Type="http://schemas.openxmlformats.org/officeDocument/2006/relationships/hyperlink" /><Relationship Id="rId54" Target="mailto:lcerulli@brandel-stephens.com" TargetMode="External" Type="http://schemas.openxmlformats.org/officeDocument/2006/relationships/hyperlink" /><Relationship Id="rId55" Target="mailto:Mbrown@nmc-wollard.com" TargetMode="External" Type="http://schemas.openxmlformats.org/officeDocument/2006/relationships/hyperlink" /><Relationship Id="rId56" Target="mailto:mcalvo@acumentrics.com" TargetMode="External" Type="http://schemas.openxmlformats.org/officeDocument/2006/relationships/hyperlink" /><Relationship Id="rId57" Target="mailto:info@inmarsystems.com" TargetMode="External" Type="http://schemas.openxmlformats.org/officeDocument/2006/relationships/hyperlink" /><Relationship Id="rId58" Target="mailto:sales@preeceinc.com" TargetMode="External" Type="http://schemas.openxmlformats.org/officeDocument/2006/relationships/hyperlink" /><Relationship Id="rId59" Target="mailto:lcerulli@brandel-stephens.com" TargetMode="External" Type="http://schemas.openxmlformats.org/officeDocument/2006/relationships/hyperlink" /><Relationship Id="rId60" Target="mailto:arojas@aerofit.com" TargetMode="External" Type="http://schemas.openxmlformats.org/officeDocument/2006/relationships/hyperlink" /><Relationship Id="rId61" Target="mailto:kmartin@tencarva.com" TargetMode="External" Type="http://schemas.openxmlformats.org/officeDocument/2006/relationships/hyperlink" /><Relationship Id="rId62" Target="mailto:deanna.howell@wesconcontrols.com" TargetMode="External" Type="http://schemas.openxmlformats.org/officeDocument/2006/relationships/hyperlink" /><Relationship Id="rId63" Target="mailto:terie.briones@kulite.com" TargetMode="External" Type="http://schemas.openxmlformats.org/officeDocument/2006/relationships/hyperlink" /><Relationship Id="rId64" Target="mailto:info@armelelectronics.com" TargetMode="External" Type="http://schemas.openxmlformats.org/officeDocument/2006/relationships/hyperlink" /><Relationship Id="rId65" Target="mailto:tim.smith@timesmicro.com" TargetMode="External" Type="http://schemas.openxmlformats.org/officeDocument/2006/relationships/hyperlink" /><Relationship Id="rId66" Target="mailto:Service.RSA@RSA.Rohde-Schwarz.com" TargetMode="External" Type="http://schemas.openxmlformats.org/officeDocument/2006/relationships/hyperlink" /><Relationship Id="rId67" Target="mailto:cnotaro@wems.com" TargetMode="External" Type="http://schemas.openxmlformats.org/officeDocument/2006/relationships/hyperlink" /><Relationship Id="rId68" Target="mailto:mikep@peerlessusa.com" TargetMode="External" Type="http://schemas.openxmlformats.org/officeDocument/2006/relationships/hyperlink" /><Relationship Id="rId69" Target="mailto:mikep@peerlessusa.com" TargetMode="External" Type="http://schemas.openxmlformats.org/officeDocument/2006/relationships/hyperlink" /><Relationship Id="rId70" Target="mailto:paulk@datadelay.com" TargetMode="External" Type="http://schemas.openxmlformats.org/officeDocument/2006/relationships/hyperlink" /><Relationship Id="rId71" Target="mailto:erin@newerasalesteam.com" TargetMode="External" Type="http://schemas.openxmlformats.org/officeDocument/2006/relationships/hyperlink" /><Relationship Id="rId72" Target="https://www.dibbs.bsm.dla.mil/RFQ/RFQNsn.aspx?value=5325014622867&amp;category=nsn&amp;Scope=all" TargetMode="External" Type="http://schemas.openxmlformats.org/officeDocument/2006/relationships/hyperlink" /><Relationship Id="rId73" Target="mailto:la@minicircuits.com" TargetMode="External" Type="http://schemas.openxmlformats.org/officeDocument/2006/relationships/hyperlink" /><Relationship Id="rId74" Target="mailto:darlapotter@fluidflow.com" TargetMode="External" Type="http://schemas.openxmlformats.org/officeDocument/2006/relationships/hyperlink" /><Relationship Id="rId75" Target="mailto:sbutler@eastwestindustries.com" TargetMode="External" Type="http://schemas.openxmlformats.org/officeDocument/2006/relationships/hyperlink" /><Relationship Id="rId76" Target="mailto:Anna.Nichols@slmti.com" TargetMode="External" Type="http://schemas.openxmlformats.org/officeDocument/2006/relationships/hyperlink" /><Relationship Id="rId77" Target="mailto:jennifer.ann1.ludwig@jcifederal.com" TargetMode="External" Type="http://schemas.openxmlformats.org/officeDocument/2006/relationships/hyperlink" /><Relationship Id="rId78" Target="mailto:sales@pasternack.com" TargetMode="External" Type="http://schemas.openxmlformats.org/officeDocument/2006/relationships/hyperlink" /><Relationship Id="rId79" Target="mailto:liz@flamecorp.com" TargetMode="External" Type="http://schemas.openxmlformats.org/officeDocument/2006/relationships/hyperlink" /><Relationship Id="rId80" Target="mailto:nannette@metrexvalve.com" TargetMode="External" Type="http://schemas.openxmlformats.org/officeDocument/2006/relationships/hyperlink" /><Relationship Id="rId81" Target="mailto:nannette@metrexvalve.com" TargetMode="External" Type="http://schemas.openxmlformats.org/officeDocument/2006/relationships/hyperlink" /><Relationship Id="rId82" Target="mailto:malcolm.bounds@sci.com" TargetMode="External" Type="http://schemas.openxmlformats.org/officeDocument/2006/relationships/hyperlink" /><Relationship Id="rId83" Target="mailto:cskipper@us.pepperl-fuchs.com" TargetMode="External" Type="http://schemas.openxmlformats.org/officeDocument/2006/relationships/hyperlink" /><Relationship Id="rId84" Target="mailto:bsheffield@entwistleco.com" TargetMode="External" Type="http://schemas.openxmlformats.org/officeDocument/2006/relationships/hyperlink" /><Relationship Id="rId85" Target="mailto:vlangosh@digitran-es.com" TargetMode="External" Type="http://schemas.openxmlformats.org/officeDocument/2006/relationships/hyperlink" /><Relationship Id="rId86" Target="mailto:quote@ni.com" TargetMode="External" Type="http://schemas.openxmlformats.org/officeDocument/2006/relationships/hyperlink" /><Relationship Id="rId87" Target="mailto:crystal@ametek.com" TargetMode="External" Type="http://schemas.openxmlformats.org/officeDocument/2006/relationships/hyperlink" /><Relationship Id="rId88" Target="mailto:bserenson@airexrubber.com" TargetMode="External" Type="http://schemas.openxmlformats.org/officeDocument/2006/relationships/hyperlink" /><Relationship Id="rId89" Target="mailto:partsairtusa@munters.com" TargetMode="External" Type="http://schemas.openxmlformats.org/officeDocument/2006/relationships/hyperlink" /><Relationship Id="rId90" Target="mailto:taylor.jones@astrodynetdi.com" TargetMode="External" Type="http://schemas.openxmlformats.org/officeDocument/2006/relationships/hyperlink" /><Relationship Id="rId91" Target="mailto:srobinson@connectronicscorp.com" TargetMode="External" Type="http://schemas.openxmlformats.org/officeDocument/2006/relationships/hyperlink" /><Relationship Id="rId92" Target="mailto:dorothy.sablan@newport.com" TargetMode="External" Type="http://schemas.openxmlformats.org/officeDocument/2006/relationships/hyperlink" /><Relationship Id="rId93" Target="mailto:Bonnie.West@us.tdk-lambda.com" TargetMode="External" Type="http://schemas.openxmlformats.org/officeDocument/2006/relationships/hyperlink" /><Relationship Id="rId94" Target="mailto:Kendra.Mitchell@colfaxfluidhandling.com" TargetMode="External" Type="http://schemas.openxmlformats.org/officeDocument/2006/relationships/hyperlink" /><Relationship Id="rId95" Target="mailto:ccpressureusa@ge.com" TargetMode="External" Type="http://schemas.openxmlformats.org/officeDocument/2006/relationships/hyperlink" /><Relationship Id="rId96" Target="mailto:ksoares@atrenne-cs.com" TargetMode="External" Type="http://schemas.openxmlformats.org/officeDocument/2006/relationships/hyperlink" /><Relationship Id="rId97" Target="mailto:rgeisz@essexind.com" TargetMode="External" Type="http://schemas.openxmlformats.org/officeDocument/2006/relationships/hyperlink" /><Relationship Id="rId98" Target="mailto:heather@spartech-south.com" TargetMode="External" Type="http://schemas.openxmlformats.org/officeDocument/2006/relationships/hyperlink" /><Relationship Id="rId99" Target="mailto:Sales@TechnaNDT.com" TargetMode="External" Type="http://schemas.openxmlformats.org/officeDocument/2006/relationships/hyperlink" /><Relationship Id="rId100" Target="mailto:kbriersmith@hydroair.net" TargetMode="External" Type="http://schemas.openxmlformats.org/officeDocument/2006/relationships/hyperlink" /><Relationship Id="rId101" Target="mailto:sales@procureinc.us" TargetMode="External" Type="http://schemas.openxmlformats.org/officeDocument/2006/relationships/hyperlink" /><Relationship Id="rId102" Target="mailto:brenze@pgcontrols.com" TargetMode="External" Type="http://schemas.openxmlformats.org/officeDocument/2006/relationships/hyperlink" /><Relationship Id="rId103" Target="mailto:cnotaro@wems.com" TargetMode="External" Type="http://schemas.openxmlformats.org/officeDocument/2006/relationships/hyperlink" /><Relationship Id="rId104" Target="mailto:cskipper@us.pepperl-fuchs.com" TargetMode="External" Type="http://schemas.openxmlformats.org/officeDocument/2006/relationships/hyperlink" /><Relationship Id="rId105" Target="mailto:Nancy@kerneng.com" TargetMode="External" Type="http://schemas.openxmlformats.org/officeDocument/2006/relationships/hyperlink" /><Relationship Id="rId106" Target="mailto:hdaffin@biscoind.com" TargetMode="External" Type="http://schemas.openxmlformats.org/officeDocument/2006/relationships/hyperlink" /><Relationship Id="rId107" Target="mailto:calvin.duplechin@doverautomation.com" TargetMode="External" Type="http://schemas.openxmlformats.org/officeDocument/2006/relationships/hyperlink" /><Relationship Id="rId108" Target="mailto:cindyt@westone.com" TargetMode="External" Type="http://schemas.openxmlformats.org/officeDocument/2006/relationships/hyperlink" /><Relationship Id="rId109" Target="mailto:sgalla@worldmagnetics.com" TargetMode="External" Type="http://schemas.openxmlformats.org/officeDocument/2006/relationships/hyperlink" /><Relationship Id="rId110" Target="mailto:Nicole.Acevedo@dsi-hums.com" TargetMode="External" Type="http://schemas.openxmlformats.org/officeDocument/2006/relationships/hyperlink" /><Relationship Id="rId111" Target="mailto:parts@KTSDI.com" TargetMode="External" Type="http://schemas.openxmlformats.org/officeDocument/2006/relationships/hyperlink" /><Relationship Id="rId112" Target="mailto:gabrielac@westmarine.com" TargetMode="External" Type="http://schemas.openxmlformats.org/officeDocument/2006/relationships/hyperlink" /><Relationship Id="rId113" Target="mailto:nlandis@amphenol-antennas.com" TargetMode="External" Type="http://schemas.openxmlformats.org/officeDocument/2006/relationships/hyperlink" /><Relationship Id="rId114" Target="mailto:rachelg@millerleaman.com" TargetMode="External" Type="http://schemas.openxmlformats.org/officeDocument/2006/relationships/hyperlink" /><Relationship Id="rId115" Target="mailto:Cyndee@inmarsystems.com" TargetMode="External" Type="http://schemas.openxmlformats.org/officeDocument/2006/relationships/hyperlink" /><Relationship Id="rId116" Target="mailto:Service.RSA@RSA.Rohde-Schwarz.com" TargetMode="External" Type="http://schemas.openxmlformats.org/officeDocument/2006/relationships/hyperlink" /><Relationship Id="rId117" Target="mailto:elainerobles@moldeddevices.com" TargetMode="External" Type="http://schemas.openxmlformats.org/officeDocument/2006/relationships/hyperlink" /><Relationship Id="rId118" Target="mailto:DBardsley2@cameron.slb.com" TargetMode="External" Type="http://schemas.openxmlformats.org/officeDocument/2006/relationships/hyperlink" /><Relationship Id="rId119" Target="mailto:bsparadeo@leddynamics.com" TargetMode="External" Type="http://schemas.openxmlformats.org/officeDocument/2006/relationships/hyperlink" /><Relationship Id="rId120" Target="mailto:US.QUOTES@US.SPIRAXSARCO.COM" TargetMode="External" Type="http://schemas.openxmlformats.org/officeDocument/2006/relationships/hyperlink" /><Relationship Id="rId121" Target="mailto:lcerulli@brandel-stephens.com" TargetMode="External" Type="http://schemas.openxmlformats.org/officeDocument/2006/relationships/hyperlink" /><Relationship Id="rId122" Target="mailto:Mbrown@nmc-wollard.com" TargetMode="External" Type="http://schemas.openxmlformats.org/officeDocument/2006/relationships/hyperlink" /><Relationship Id="rId123" Target="mailto:mcalvo@acumentrics.com" TargetMode="External" Type="http://schemas.openxmlformats.org/officeDocument/2006/relationships/hyperlink" /><Relationship Id="rId124" Target="mailto:info@inmarsystems.com" TargetMode="External" Type="http://schemas.openxmlformats.org/officeDocument/2006/relationships/hyperlink" /><Relationship Id="rId125" Target="mailto:sales@preeceinc.com" TargetMode="External" Type="http://schemas.openxmlformats.org/officeDocument/2006/relationships/hyperlink" /><Relationship Id="rId126" Target="mailto:lcerulli@brandel-stephens.com" TargetMode="External" Type="http://schemas.openxmlformats.org/officeDocument/2006/relationships/hyperlink" /><Relationship Id="rId127" Target="mailto:arojas@aerofit.com" TargetMode="External" Type="http://schemas.openxmlformats.org/officeDocument/2006/relationships/hyperlink" /><Relationship Id="rId128" Target="mailto:kmartin@tencarva.com" TargetMode="External" Type="http://schemas.openxmlformats.org/officeDocument/2006/relationships/hyperlink" /><Relationship Id="rId129" Target="mailto:deanna.howell@wesconcontrols.com" TargetMode="External" Type="http://schemas.openxmlformats.org/officeDocument/2006/relationships/hyperlink" /><Relationship Id="rId130" Target="mailto:terie.briones@kulite.com" TargetMode="External" Type="http://schemas.openxmlformats.org/officeDocument/2006/relationships/hyperlink" /><Relationship Id="rId131" Target="mailto:info@armelelectronics.com" TargetMode="External" Type="http://schemas.openxmlformats.org/officeDocument/2006/relationships/hyperlink" /><Relationship Id="rId132" Target="mailto:tim.smith@timesmicro.com" TargetMode="External" Type="http://schemas.openxmlformats.org/officeDocument/2006/relationships/hyperlink" /><Relationship Id="rId133" Target="mailto:Service.RSA@RSA.Rohde-Schwarz.com" TargetMode="External" Type="http://schemas.openxmlformats.org/officeDocument/2006/relationships/hyperlink" /><Relationship Id="rId134" Target="mailto:cnotaro@wems.com" TargetMode="External" Type="http://schemas.openxmlformats.org/officeDocument/2006/relationships/hyperlink" /></Relationships>
</file>

<file path=xl/worksheets/_rels/sheet9.xml.rels><Relationships xmlns="http://schemas.openxmlformats.org/package/2006/relationships"><Relationship Id="rId1" Target="mailto:mikep@peerlessusa.com" TargetMode="External" Type="http://schemas.openxmlformats.org/officeDocument/2006/relationships/hyperlink" /><Relationship Id="rId2" Target="mailto:mikep@peerlessusa.com" TargetMode="External" Type="http://schemas.openxmlformats.org/officeDocument/2006/relationships/hyperlink" /><Relationship Id="rId3" Target="mailto:paulk@datadelay.com" TargetMode="External" Type="http://schemas.openxmlformats.org/officeDocument/2006/relationships/hyperlink" /><Relationship Id="rId4" Target="mailto:erin@newerasalesteam.com" TargetMode="External" Type="http://schemas.openxmlformats.org/officeDocument/2006/relationships/hyperlink" /><Relationship Id="rId5" Target="mailto:la@minicircuits.com" TargetMode="External" Type="http://schemas.openxmlformats.org/officeDocument/2006/relationships/hyperlink" /><Relationship Id="rId6" Target="mailto:darlapotter@fluidflow.com" TargetMode="External" Type="http://schemas.openxmlformats.org/officeDocument/2006/relationships/hyperlink" /><Relationship Id="rId7" Target="mailto:sbutler@eastwestindustries.com" TargetMode="External" Type="http://schemas.openxmlformats.org/officeDocument/2006/relationships/hyperlink" /><Relationship Id="rId8" Target="mailto:Anna.Nichols@slmti.com" TargetMode="External" Type="http://schemas.openxmlformats.org/officeDocument/2006/relationships/hyperlink" /><Relationship Id="rId9" Target="mailto:jennifer.ann1.ludwig@jcifederal.com" TargetMode="External" Type="http://schemas.openxmlformats.org/officeDocument/2006/relationships/hyperlink" /><Relationship Id="rId10" Target="mailto:sales@pasternack.com" TargetMode="External" Type="http://schemas.openxmlformats.org/officeDocument/2006/relationships/hyperlink" /><Relationship Id="rId11" Target="mailto:mikep@peerlessusa.com" TargetMode="External" Type="http://schemas.openxmlformats.org/officeDocument/2006/relationships/hyperlink" /><Relationship Id="rId12" Target="mailto:mikep@peerlessusa.com" TargetMode="External" Type="http://schemas.openxmlformats.org/officeDocument/2006/relationships/hyperlink" /><Relationship Id="rId13" Target="mailto:paulk@datadelay.com" TargetMode="External" Type="http://schemas.openxmlformats.org/officeDocument/2006/relationships/hyperlink" /><Relationship Id="rId14" Target="mailto:erin@newerasalesteam.com" TargetMode="External" Type="http://schemas.openxmlformats.org/officeDocument/2006/relationships/hyperlink" /><Relationship Id="rId15" Target="mailto:la@minicircuits.com" TargetMode="External" Type="http://schemas.openxmlformats.org/officeDocument/2006/relationships/hyperlink" /><Relationship Id="rId16" Target="mailto:darlapotter@fluidflow.com" TargetMode="External" Type="http://schemas.openxmlformats.org/officeDocument/2006/relationships/hyperlink" /><Relationship Id="rId17" Target="mailto:sbutler@eastwestindustries.com" TargetMode="External" Type="http://schemas.openxmlformats.org/officeDocument/2006/relationships/hyperlink" /><Relationship Id="rId18" Target="mailto:Anna.Nichols@slmti.com" TargetMode="External" Type="http://schemas.openxmlformats.org/officeDocument/2006/relationships/hyperlink" /><Relationship Id="rId19" Target="mailto:jennifer.ann1.ludwig@jcifederal.com" TargetMode="External" Type="http://schemas.openxmlformats.org/officeDocument/2006/relationships/hyperlink" /><Relationship Id="rId20" Target="mailto:sales@pasternack.com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92"/>
  <sheetViews>
    <sheetView workbookViewId="0">
      <selection activeCell="A1" sqref="A1"/>
    </sheetView>
  </sheetViews>
  <sheetFormatPr baseColWidth="8" defaultRowHeight="15" outlineLevelCol="0"/>
  <cols>
    <col bestFit="1" customWidth="1" max="2" min="2" width="14.7109375"/>
    <col customWidth="1" max="3" min="3" width="22.7109375"/>
    <col customWidth="1" max="4" min="4" width="18.7109375"/>
    <col customWidth="1" max="5" min="5" width="16.28515625"/>
    <col customWidth="1" max="6" min="6" width="13.7109375"/>
    <col customWidth="1" max="7" min="7" width="17.28515625"/>
    <col customWidth="1" max="8" min="8" width="14"/>
    <col customWidth="1" max="9" min="9" width="13.140625"/>
    <col customWidth="1" max="10" min="10" width="12.5703125"/>
  </cols>
  <sheetData>
    <row r="1">
      <c r="B1" s="5" t="inlineStr">
        <is>
          <t>2018 Goal</t>
        </is>
      </c>
    </row>
    <row r="2">
      <c r="B2" s="228" t="n">
        <v>2000000</v>
      </c>
      <c r="C2" s="49" t="n">
        <v>0.032</v>
      </c>
      <c r="D2" s="229">
        <f>+B2*C2</f>
        <v/>
      </c>
      <c r="E2" s="228">
        <f>+B2+D2</f>
        <v/>
      </c>
      <c r="F2" s="49" t="n">
        <v>1</v>
      </c>
      <c r="G2" s="228">
        <f>+E2*F2</f>
        <v/>
      </c>
      <c r="H2" s="228">
        <f>+B2*F2</f>
        <v/>
      </c>
      <c r="I2" s="228">
        <f>+G2-H2</f>
        <v/>
      </c>
    </row>
    <row r="3">
      <c r="C3" t="n">
        <v>4428</v>
      </c>
      <c r="D3" t="n">
        <v>0.18</v>
      </c>
      <c r="E3">
        <f>+C3*D3</f>
        <v/>
      </c>
      <c r="F3">
        <f>+C3+E3</f>
        <v/>
      </c>
      <c r="G3" t="n">
        <v>2</v>
      </c>
      <c r="H3">
        <f>+F3*G3</f>
        <v/>
      </c>
      <c r="I3">
        <f>+C3*G3</f>
        <v/>
      </c>
      <c r="J3">
        <f>+H3-I3</f>
        <v/>
      </c>
    </row>
    <row r="4">
      <c r="F4" t="n">
        <v>4617</v>
      </c>
      <c r="K4" t="n">
        <v>167.11</v>
      </c>
      <c r="L4" t="n">
        <v>72</v>
      </c>
      <c r="M4">
        <f>+K4*L4</f>
        <v/>
      </c>
    </row>
    <row r="5">
      <c r="B5" t="n">
        <v>13</v>
      </c>
      <c r="D5" s="230" t="n">
        <v>21549132</v>
      </c>
      <c r="E5" s="230" t="n">
        <v>20827461</v>
      </c>
      <c r="F5" s="230">
        <f>D5-E5</f>
        <v/>
      </c>
      <c r="G5" s="19">
        <f>(D5/E5)-1</f>
        <v/>
      </c>
      <c r="M5" t="n">
        <v>18780</v>
      </c>
    </row>
    <row r="6">
      <c r="B6" t="n">
        <v>15</v>
      </c>
      <c r="D6" s="230" t="n">
        <v>18819490</v>
      </c>
      <c r="E6" s="230" t="n">
        <v>18116278</v>
      </c>
      <c r="F6" s="230">
        <f>D6-E6</f>
        <v/>
      </c>
      <c r="G6" s="19">
        <f>(D6/E6)-1</f>
        <v/>
      </c>
      <c r="M6">
        <f>SUM(M4:M5)</f>
        <v/>
      </c>
    </row>
    <row r="7">
      <c r="A7" t="n">
        <v>4481.35</v>
      </c>
      <c r="B7" t="n">
        <v>14</v>
      </c>
      <c r="D7" s="230" t="n">
        <v>17683712</v>
      </c>
      <c r="E7" s="230" t="n">
        <v>17006805</v>
      </c>
      <c r="F7" s="230">
        <f>D7-E7</f>
        <v/>
      </c>
      <c r="G7" s="19">
        <f>(D7/E7)-1</f>
        <v/>
      </c>
      <c r="K7" t="n">
        <v>2293.12</v>
      </c>
      <c r="M7" t="n">
        <v>40372</v>
      </c>
      <c r="N7" t="n">
        <v>3</v>
      </c>
    </row>
    <row r="8">
      <c r="K8" t="n">
        <v>45</v>
      </c>
      <c r="M8">
        <f>+M7-M6</f>
        <v/>
      </c>
      <c r="N8">
        <f>+M7/N7</f>
        <v/>
      </c>
    </row>
    <row r="9">
      <c r="G9" t="n">
        <v>4002</v>
      </c>
      <c r="K9">
        <f>SUM(K7:K8)</f>
        <v/>
      </c>
    </row>
    <row r="10">
      <c r="G10">
        <f>SUM(G6:G9)</f>
        <v/>
      </c>
    </row>
    <row r="11">
      <c r="B11" s="3" t="n">
        <v>2007</v>
      </c>
      <c r="C11" s="231" t="n">
        <v>7681247</v>
      </c>
      <c r="D11" s="3" t="n">
        <v>0.02</v>
      </c>
      <c r="E11" s="3">
        <f>+C11*D11</f>
        <v/>
      </c>
      <c r="F11" s="3">
        <f>+C11+E11</f>
        <v/>
      </c>
      <c r="G11" s="3" t="n">
        <v>1</v>
      </c>
      <c r="H11" s="3">
        <f>+F11*G11</f>
        <v/>
      </c>
      <c r="I11" s="3">
        <f>+C11*G11</f>
        <v/>
      </c>
      <c r="J11" s="231">
        <f>+H11-I11</f>
        <v/>
      </c>
      <c r="K11" s="3" t="n"/>
      <c r="L11" t="n">
        <v>39014</v>
      </c>
    </row>
    <row r="12">
      <c r="B12" s="3" t="n">
        <v>2008</v>
      </c>
      <c r="C12" s="231" t="n">
        <v>10926526</v>
      </c>
      <c r="D12" s="3" t="n">
        <v>0.053</v>
      </c>
      <c r="E12" s="3">
        <f>+C12*D12</f>
        <v/>
      </c>
      <c r="F12" s="3">
        <f>+C12+E12</f>
        <v/>
      </c>
      <c r="G12" s="3" t="n">
        <v>1</v>
      </c>
      <c r="H12" s="3">
        <f>+F12*G12</f>
        <v/>
      </c>
      <c r="I12" s="3">
        <f>+C12*G12</f>
        <v/>
      </c>
      <c r="J12" s="231">
        <f>+H12-I12</f>
        <v/>
      </c>
      <c r="K12" s="3" t="n"/>
      <c r="L12" t="n">
        <v>16051</v>
      </c>
    </row>
    <row r="13">
      <c r="B13" s="3" t="n"/>
      <c r="C13" s="231" t="n"/>
      <c r="D13" s="3" t="n"/>
      <c r="E13" s="3" t="n"/>
      <c r="F13" s="3" t="n"/>
      <c r="G13" s="3" t="n"/>
      <c r="H13" s="3" t="n"/>
      <c r="I13" s="3" t="n"/>
      <c r="J13" s="231" t="n"/>
      <c r="K13" s="3" t="n"/>
      <c r="L13" t="n">
        <v>6200</v>
      </c>
    </row>
    <row r="14">
      <c r="B14" s="3" t="n">
        <v>2009</v>
      </c>
      <c r="C14" s="231" t="n">
        <v>12558811</v>
      </c>
      <c r="D14" s="3" t="n">
        <v>0.056</v>
      </c>
      <c r="E14" s="3">
        <f>+C14*D14</f>
        <v/>
      </c>
      <c r="F14" s="3">
        <f>+C14+E14</f>
        <v/>
      </c>
      <c r="G14" s="3" t="n">
        <v>1</v>
      </c>
      <c r="H14" s="3">
        <f>+F14*G14</f>
        <v/>
      </c>
      <c r="I14" s="3">
        <f>+C14*G14</f>
        <v/>
      </c>
      <c r="J14" s="231">
        <f>+H14-I14</f>
        <v/>
      </c>
      <c r="K14" s="3" t="n"/>
      <c r="L14" t="n">
        <v>7987</v>
      </c>
    </row>
    <row r="15">
      <c r="B15" s="3" t="n"/>
      <c r="C15" s="231" t="n"/>
      <c r="D15" s="3" t="n"/>
      <c r="E15" s="3" t="n"/>
      <c r="F15" s="3" t="n"/>
      <c r="G15" s="3" t="n"/>
      <c r="H15" s="3" t="n"/>
      <c r="I15" s="3" t="n"/>
      <c r="J15" s="231" t="n"/>
      <c r="K15" s="3" t="n"/>
      <c r="L15" t="n">
        <v>1756</v>
      </c>
    </row>
    <row r="16">
      <c r="B16" s="3" t="n">
        <v>2011</v>
      </c>
      <c r="C16" s="231" t="n">
        <v>13699908</v>
      </c>
      <c r="D16" s="3" t="n">
        <v>0.052</v>
      </c>
      <c r="E16" s="3">
        <f>+C16*D16</f>
        <v/>
      </c>
      <c r="F16" s="3">
        <f>+C16+E16</f>
        <v/>
      </c>
      <c r="G16" s="3" t="n">
        <v>1</v>
      </c>
      <c r="H16" s="3">
        <f>+F16*G16</f>
        <v/>
      </c>
      <c r="I16" s="3">
        <f>+C16*G16</f>
        <v/>
      </c>
      <c r="J16" s="231">
        <f>+H16-I16</f>
        <v/>
      </c>
      <c r="K16" s="3" t="n"/>
      <c r="L16" t="n">
        <v>106</v>
      </c>
    </row>
    <row r="17">
      <c r="B17" s="3" t="n"/>
      <c r="C17" s="231" t="n"/>
      <c r="D17" s="3" t="n"/>
      <c r="E17" s="3" t="n"/>
      <c r="F17" s="3" t="n"/>
      <c r="G17" s="3" t="n"/>
      <c r="H17" s="3" t="n"/>
      <c r="I17" s="3" t="n"/>
      <c r="J17" s="231" t="n"/>
      <c r="K17" s="3" t="n"/>
      <c r="L17">
        <f>SUM(L11:L16)</f>
        <v/>
      </c>
    </row>
    <row r="18">
      <c r="B18" s="3" t="n">
        <v>2012</v>
      </c>
      <c r="C18" s="231" t="n">
        <v>12958581</v>
      </c>
      <c r="D18" s="3" t="n">
        <v>0.044</v>
      </c>
      <c r="E18" s="3">
        <f>+C18*D18</f>
        <v/>
      </c>
      <c r="F18" s="3">
        <f>+C18+E18</f>
        <v/>
      </c>
      <c r="G18" s="3" t="n">
        <v>1</v>
      </c>
      <c r="H18" s="3">
        <f>+F18*G18</f>
        <v/>
      </c>
      <c r="I18" s="3">
        <f>+C18*G18</f>
        <v/>
      </c>
      <c r="J18" s="231">
        <f>+H18-I18</f>
        <v/>
      </c>
      <c r="K18" s="3" t="n"/>
    </row>
    <row r="19">
      <c r="B19" s="3" t="n"/>
      <c r="C19" s="231" t="n"/>
      <c r="D19" s="3" t="n"/>
      <c r="E19" s="3" t="n"/>
      <c r="F19" s="3" t="n"/>
      <c r="G19" s="3" t="n"/>
      <c r="H19" s="3" t="n"/>
      <c r="I19" s="3" t="n"/>
      <c r="J19" s="231" t="n"/>
      <c r="K19" s="3" t="n"/>
    </row>
    <row r="20">
      <c r="B20" s="3" t="n">
        <v>2013</v>
      </c>
      <c r="C20" s="231" t="n">
        <v>21549132</v>
      </c>
      <c r="D20" s="3" t="n">
        <v>0.0334</v>
      </c>
      <c r="E20" s="3">
        <f>+C20*D20</f>
        <v/>
      </c>
      <c r="F20" s="3">
        <f>+C20+E20</f>
        <v/>
      </c>
      <c r="G20" s="3" t="n">
        <v>1</v>
      </c>
      <c r="H20" s="3">
        <f>+F20*G20</f>
        <v/>
      </c>
      <c r="I20" s="3">
        <f>+C20*G20</f>
        <v/>
      </c>
      <c r="J20" s="231">
        <f>+H20-I20</f>
        <v/>
      </c>
      <c r="K20" s="3" t="n"/>
    </row>
    <row r="21"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</row>
    <row r="22">
      <c r="B22" t="n">
        <v>2014</v>
      </c>
      <c r="C22" s="230" t="n">
        <v>17683712</v>
      </c>
      <c r="D22" t="n">
        <v>0.0382</v>
      </c>
      <c r="E22" s="231">
        <f>+C22*D22</f>
        <v/>
      </c>
    </row>
    <row r="23">
      <c r="B23" s="3" t="n">
        <v>2015</v>
      </c>
      <c r="C23" s="231" t="n">
        <v>3000000</v>
      </c>
      <c r="D23" t="n">
        <v>0.024</v>
      </c>
      <c r="E23" s="231">
        <f>+C23*D23</f>
        <v/>
      </c>
    </row>
    <row r="24">
      <c r="C24">
        <f>+C23/12</f>
        <v/>
      </c>
      <c r="D24" t="n">
        <v>20</v>
      </c>
      <c r="E24" t="n">
        <v>200</v>
      </c>
      <c r="F24">
        <f>+D24*E24</f>
        <v/>
      </c>
    </row>
    <row r="25">
      <c r="C25">
        <f>+C24/21</f>
        <v/>
      </c>
    </row>
    <row r="26">
      <c r="B26" t="n">
        <v>2013</v>
      </c>
      <c r="C26" t="n">
        <v>21549.132</v>
      </c>
    </row>
    <row r="27">
      <c r="D27" t="n">
        <v>1515</v>
      </c>
      <c r="E27" t="n">
        <v>10</v>
      </c>
      <c r="F27">
        <f>+D27*E27</f>
        <v/>
      </c>
      <c r="G27" t="n">
        <v>5</v>
      </c>
      <c r="H27">
        <f>+F27/G27</f>
        <v/>
      </c>
      <c r="I27" t="n">
        <v>10</v>
      </c>
      <c r="J27" t="n">
        <v>1515</v>
      </c>
      <c r="K27" t="n">
        <v>6</v>
      </c>
      <c r="L27">
        <f>+I27*J27*K27</f>
        <v/>
      </c>
    </row>
    <row r="29">
      <c r="D29" t="n">
        <v>4861</v>
      </c>
      <c r="E29" t="n">
        <v>54</v>
      </c>
      <c r="F29">
        <f>+D29/E29</f>
        <v/>
      </c>
    </row>
    <row customHeight="1" ht="17.25" r="31">
      <c r="C31" s="6" t="n">
        <v>5930013182809</v>
      </c>
    </row>
    <row customHeight="1" ht="17.25" r="32">
      <c r="C32" s="1" t="inlineStr">
        <is>
          <t>5930-01-123-9387</t>
        </is>
      </c>
    </row>
    <row r="34">
      <c r="D34" t="n">
        <v>210</v>
      </c>
      <c r="E34" t="n">
        <v>30</v>
      </c>
      <c r="F34">
        <f>+D34/E34</f>
        <v/>
      </c>
      <c r="I34" t="n">
        <v>8.4</v>
      </c>
      <c r="J34" t="n">
        <v>22</v>
      </c>
      <c r="K34">
        <f>+I34*J34</f>
        <v/>
      </c>
    </row>
    <row r="37">
      <c r="D37" t="n">
        <v>1791</v>
      </c>
      <c r="E37" t="n">
        <v>10</v>
      </c>
      <c r="F37">
        <f>+D37*E37</f>
        <v/>
      </c>
    </row>
    <row r="38">
      <c r="D38" t="n">
        <v>1021</v>
      </c>
      <c r="E38" t="n">
        <v>22</v>
      </c>
      <c r="F38">
        <f>+D38*E38</f>
        <v/>
      </c>
      <c r="I38" t="n">
        <v>178.2</v>
      </c>
      <c r="J38" t="n">
        <v>71</v>
      </c>
      <c r="K38">
        <f>+I38*J38</f>
        <v/>
      </c>
    </row>
    <row r="39">
      <c r="F39">
        <f>SUM(F37:F38)</f>
        <v/>
      </c>
    </row>
    <row r="41">
      <c r="D41" t="n">
        <v>1878</v>
      </c>
      <c r="E41" t="n">
        <v>10</v>
      </c>
      <c r="F41">
        <f>+D41*E41</f>
        <v/>
      </c>
    </row>
    <row r="42">
      <c r="D42" t="n">
        <v>1089</v>
      </c>
      <c r="E42" t="n">
        <v>22</v>
      </c>
      <c r="F42">
        <f>+D42*E42</f>
        <v/>
      </c>
      <c r="I42" t="n">
        <v>54</v>
      </c>
      <c r="J42" t="n">
        <v>21</v>
      </c>
      <c r="K42">
        <f>+I42*J42</f>
        <v/>
      </c>
    </row>
    <row r="43">
      <c r="F43">
        <f>SUM(F41:F42)</f>
        <v/>
      </c>
      <c r="G43">
        <f>+F43-F39</f>
        <v/>
      </c>
    </row>
    <row r="46">
      <c r="D46" t="n">
        <v>1132</v>
      </c>
      <c r="E46" t="n">
        <v>10</v>
      </c>
      <c r="F46">
        <f>D46*E46</f>
        <v/>
      </c>
      <c r="G46" t="n">
        <v>7</v>
      </c>
      <c r="H46">
        <f>F46/7</f>
        <v/>
      </c>
    </row>
    <row r="49">
      <c r="E49" t="n">
        <v>760</v>
      </c>
      <c r="F49" t="n">
        <v>5000</v>
      </c>
      <c r="G49" s="230">
        <f>+E49*F49</f>
        <v/>
      </c>
    </row>
    <row r="54">
      <c r="B54" t="n">
        <v>178.2</v>
      </c>
      <c r="C54" t="n">
        <v>6</v>
      </c>
      <c r="D54">
        <f>+B54*C54</f>
        <v/>
      </c>
      <c r="E54" t="n">
        <v>2148.77</v>
      </c>
      <c r="F54" t="n">
        <v>4</v>
      </c>
      <c r="G54">
        <f>+E54*F54</f>
        <v/>
      </c>
    </row>
    <row r="55">
      <c r="B55" t="n">
        <v>178.2</v>
      </c>
      <c r="C55" t="n">
        <v>65</v>
      </c>
      <c r="D55">
        <f>+B55*C55</f>
        <v/>
      </c>
      <c r="G55" s="232" t="n">
        <v>8595.08</v>
      </c>
    </row>
    <row r="56">
      <c r="D56">
        <f>SUM(D54:D55)</f>
        <v/>
      </c>
    </row>
    <row r="58">
      <c r="C58" t="n">
        <v>5</v>
      </c>
      <c r="D58" t="n">
        <v>40</v>
      </c>
      <c r="E58">
        <f>+C58*D58</f>
        <v/>
      </c>
      <c r="F58">
        <f>+E58/60</f>
        <v/>
      </c>
    </row>
    <row r="61">
      <c r="D61" t="n">
        <v>472</v>
      </c>
      <c r="J61" t="n">
        <v>200</v>
      </c>
      <c r="K61" t="n">
        <v>30</v>
      </c>
      <c r="L61">
        <f>+J61/K61</f>
        <v/>
      </c>
    </row>
    <row r="62">
      <c r="D62" t="n">
        <v>634</v>
      </c>
    </row>
    <row r="63">
      <c r="D63" t="n">
        <v>442.7</v>
      </c>
    </row>
    <row r="64">
      <c r="D64" t="n">
        <v>424</v>
      </c>
    </row>
    <row r="65">
      <c r="D65">
        <f>SUM(D61:D64)</f>
        <v/>
      </c>
    </row>
    <row r="69">
      <c r="D69" s="2" t="inlineStr">
        <is>
          <t>541330, 541511, 541512, 541513, 541519, 611430</t>
        </is>
      </c>
    </row>
    <row r="70">
      <c r="D70" s="2" t="inlineStr">
        <is>
          <t>Our Government customers include the Departments of Defense</t>
        </is>
      </c>
    </row>
    <row r="74">
      <c r="C74" t="inlineStr">
        <is>
          <t>NECO</t>
        </is>
      </c>
    </row>
    <row r="75">
      <c r="C75" s="7" t="inlineStr">
        <is>
          <t>SPMYM2-17-Q-0260    </t>
        </is>
      </c>
    </row>
    <row r="80">
      <c r="D80" t="n">
        <v>11</v>
      </c>
      <c r="E80" t="n">
        <v>14</v>
      </c>
      <c r="F80" t="n">
        <v>7</v>
      </c>
      <c r="G80">
        <f>+D80*E80*F80</f>
        <v/>
      </c>
    </row>
    <row r="82">
      <c r="D82" t="n">
        <v>33287</v>
      </c>
      <c r="E82" t="n">
        <v>8</v>
      </c>
      <c r="F82">
        <f>+D82/E82</f>
        <v/>
      </c>
    </row>
    <row r="85">
      <c r="A85" t="n">
        <v>1597.5</v>
      </c>
      <c r="B85" t="n">
        <v>3</v>
      </c>
      <c r="C85">
        <f>+A85/B85</f>
        <v/>
      </c>
    </row>
    <row r="86">
      <c r="A86" t="n">
        <v>500</v>
      </c>
      <c r="B86" t="n">
        <v>0.065</v>
      </c>
      <c r="C86">
        <f>+A86*B86</f>
        <v/>
      </c>
    </row>
    <row r="92">
      <c r="B92" t="n">
        <v>2013</v>
      </c>
      <c r="C92" t="n">
        <v>21549132</v>
      </c>
      <c r="D92" t="n">
        <v>20827461</v>
      </c>
    </row>
  </sheetData>
  <hyperlinks>
    <hyperlink display="https://www.neco.navy.mil/secure/register/login.aspx?soln=SPMYM217Q0260" ref="C75" r:id="rId2"/>
    <hyperlink display="https://www.neco.navy.mil/secure/register/login.aspx?soln=SPMYM217Q0260" ref="C75" r:id="rId2"/>
  </hyperlinks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I50"/>
  <sheetViews>
    <sheetView workbookViewId="0">
      <selection activeCell="A1" sqref="A1"/>
    </sheetView>
  </sheetViews>
  <sheetFormatPr baseColWidth="8" defaultRowHeight="15" outlineLevelCol="0"/>
  <cols>
    <col customWidth="1" max="2" min="2" width="10.7109375"/>
    <col customWidth="1" max="3" min="3" width="11"/>
    <col customWidth="1" max="4" min="4" width="11.5703125"/>
    <col customWidth="1" max="5" min="5" width="10.42578125"/>
    <col customWidth="1" max="6" min="6" width="10.85546875"/>
    <col customWidth="1" max="8" min="7" width="10.42578125"/>
    <col customWidth="1" max="9" min="9" width="9.5703125"/>
  </cols>
  <sheetData>
    <row r="3">
      <c r="B3" t="inlineStr">
        <is>
          <t>Engineering Services for BOLO3</t>
        </is>
      </c>
    </row>
    <row r="5">
      <c r="B5" t="inlineStr">
        <is>
          <t>SAT</t>
        </is>
      </c>
      <c r="C5" t="inlineStr">
        <is>
          <t>SUN</t>
        </is>
      </c>
      <c r="D5" t="inlineStr">
        <is>
          <t>MON</t>
        </is>
      </c>
      <c r="E5" t="inlineStr">
        <is>
          <t>T</t>
        </is>
      </c>
      <c r="F5" t="inlineStr">
        <is>
          <t>W</t>
        </is>
      </c>
      <c r="G5" t="inlineStr">
        <is>
          <t>TH</t>
        </is>
      </c>
      <c r="H5" t="inlineStr">
        <is>
          <t>FR</t>
        </is>
      </c>
      <c r="I5" t="inlineStr">
        <is>
          <t>Total</t>
        </is>
      </c>
    </row>
    <row r="6">
      <c r="B6" s="4" t="n">
        <v>42826</v>
      </c>
      <c r="C6" s="4" t="n">
        <v>42827</v>
      </c>
      <c r="D6" s="4" t="n">
        <v>42828</v>
      </c>
      <c r="E6" s="4" t="n">
        <v>42829</v>
      </c>
      <c r="F6" s="4" t="n">
        <v>42830</v>
      </c>
      <c r="G6" s="4" t="n">
        <v>42831</v>
      </c>
      <c r="H6" s="4" t="n">
        <v>42832</v>
      </c>
    </row>
    <row r="7">
      <c r="C7" t="n">
        <v>1</v>
      </c>
      <c r="D7" t="n">
        <v>4</v>
      </c>
      <c r="E7" t="n">
        <v>4</v>
      </c>
      <c r="F7" t="n">
        <v>12</v>
      </c>
      <c r="G7" t="n">
        <v>12</v>
      </c>
      <c r="H7" t="n">
        <v>12</v>
      </c>
      <c r="I7">
        <f>SUM(C7:H7)</f>
        <v/>
      </c>
    </row>
    <row r="9">
      <c r="B9" s="4" t="n">
        <v>42833</v>
      </c>
      <c r="C9" s="4" t="n">
        <v>42834</v>
      </c>
      <c r="D9" s="4" t="n">
        <v>42835</v>
      </c>
      <c r="E9" s="4" t="n">
        <v>42836</v>
      </c>
      <c r="F9" s="4" t="n">
        <v>42837</v>
      </c>
      <c r="G9" s="4" t="n">
        <v>42838</v>
      </c>
      <c r="H9" s="4" t="n">
        <v>42839</v>
      </c>
    </row>
    <row r="10">
      <c r="C10" t="n">
        <v>2</v>
      </c>
      <c r="D10" t="n">
        <v>10</v>
      </c>
      <c r="E10" t="n">
        <v>7</v>
      </c>
      <c r="F10" t="n">
        <v>11</v>
      </c>
      <c r="G10" t="n">
        <v>10</v>
      </c>
      <c r="H10" t="n">
        <v>3</v>
      </c>
      <c r="I10">
        <f>SUM(C10:H10)</f>
        <v/>
      </c>
    </row>
    <row r="12">
      <c r="B12" s="4" t="n">
        <v>42840</v>
      </c>
      <c r="C12" s="4" t="n">
        <v>42841</v>
      </c>
      <c r="D12" s="4" t="n">
        <v>42835</v>
      </c>
      <c r="E12" s="4" t="n">
        <v>42836</v>
      </c>
      <c r="F12" s="4" t="n">
        <v>42837</v>
      </c>
      <c r="G12" s="4" t="n">
        <v>42838</v>
      </c>
      <c r="H12" s="4" t="n">
        <v>42839</v>
      </c>
    </row>
    <row r="13">
      <c r="B13" t="n">
        <v>7</v>
      </c>
      <c r="C13" t="n">
        <v>3</v>
      </c>
      <c r="I13">
        <f>SUM(B13:H13)</f>
        <v/>
      </c>
    </row>
    <row r="14">
      <c r="B14" s="81" t="inlineStr">
        <is>
          <t>Engineering Services for A. Harold and Associates, LLC</t>
        </is>
      </c>
      <c r="C14" s="81" t="n"/>
      <c r="D14" s="81" t="n"/>
      <c r="E14" s="80" t="n"/>
      <c r="F14" s="80" t="n"/>
    </row>
    <row r="15">
      <c r="A15" s="80" t="n"/>
      <c r="G15" s="80" t="n"/>
      <c r="H15" s="80" t="n"/>
      <c r="I15" s="80" t="n"/>
    </row>
    <row r="16">
      <c r="A16" s="80" t="inlineStr">
        <is>
          <t>Day</t>
        </is>
      </c>
      <c r="B16" s="80" t="inlineStr">
        <is>
          <t>SAT</t>
        </is>
      </c>
      <c r="C16" s="80" t="inlineStr">
        <is>
          <t>SUN</t>
        </is>
      </c>
      <c r="D16" s="80" t="inlineStr">
        <is>
          <t>MON</t>
        </is>
      </c>
      <c r="E16" s="80" t="inlineStr">
        <is>
          <t>T</t>
        </is>
      </c>
      <c r="F16" s="80" t="inlineStr">
        <is>
          <t>W</t>
        </is>
      </c>
      <c r="G16" s="80" t="inlineStr">
        <is>
          <t>TH</t>
        </is>
      </c>
      <c r="H16" s="80" t="inlineStr">
        <is>
          <t>FR</t>
        </is>
      </c>
      <c r="I16" s="80" t="inlineStr">
        <is>
          <t>Total</t>
        </is>
      </c>
    </row>
    <row r="17">
      <c r="A17" s="80" t="inlineStr">
        <is>
          <t>Date</t>
        </is>
      </c>
      <c r="B17" s="82" t="n">
        <v>42980</v>
      </c>
      <c r="C17" s="82" t="n">
        <v>42981</v>
      </c>
      <c r="D17" s="82" t="n">
        <v>42982</v>
      </c>
      <c r="E17" s="82" t="n">
        <v>42983</v>
      </c>
      <c r="F17" s="82" t="n">
        <v>42984</v>
      </c>
      <c r="G17" s="82" t="n">
        <v>42985</v>
      </c>
      <c r="H17" s="82" t="n">
        <v>42986</v>
      </c>
      <c r="I17" s="80" t="n"/>
    </row>
    <row r="18">
      <c r="A18" s="80" t="inlineStr">
        <is>
          <t>HRS</t>
        </is>
      </c>
      <c r="B18" s="80" t="n">
        <v>2</v>
      </c>
      <c r="C18" s="80" t="n">
        <v>1</v>
      </c>
      <c r="D18" s="80" t="n"/>
      <c r="E18" s="80" t="n">
        <v>8</v>
      </c>
      <c r="F18" s="80" t="n">
        <v>1</v>
      </c>
      <c r="G18" s="80" t="n">
        <v>1</v>
      </c>
      <c r="H18" s="80" t="n"/>
      <c r="I18" s="80">
        <f>SUM(C18:H18)</f>
        <v/>
      </c>
    </row>
    <row r="19">
      <c r="A19" s="80" t="n"/>
      <c r="B19" s="80" t="n"/>
      <c r="C19" s="80" t="n"/>
      <c r="D19" s="80" t="n"/>
      <c r="E19" s="80" t="n"/>
      <c r="F19" s="80" t="n"/>
      <c r="G19" s="80" t="n"/>
      <c r="H19" s="80" t="n"/>
      <c r="I19" s="80" t="n"/>
    </row>
    <row r="20">
      <c r="A20" s="80" t="inlineStr">
        <is>
          <t>Day</t>
        </is>
      </c>
      <c r="B20" s="80" t="inlineStr">
        <is>
          <t>SAT</t>
        </is>
      </c>
      <c r="C20" s="80" t="inlineStr">
        <is>
          <t>SUN</t>
        </is>
      </c>
      <c r="D20" s="80" t="inlineStr">
        <is>
          <t>MON</t>
        </is>
      </c>
      <c r="E20" s="80" t="inlineStr">
        <is>
          <t>T</t>
        </is>
      </c>
      <c r="F20" s="80" t="inlineStr">
        <is>
          <t>W</t>
        </is>
      </c>
      <c r="G20" s="80" t="inlineStr">
        <is>
          <t>TH</t>
        </is>
      </c>
      <c r="H20" s="80" t="inlineStr">
        <is>
          <t>FR</t>
        </is>
      </c>
      <c r="I20" s="80" t="inlineStr">
        <is>
          <t>Total</t>
        </is>
      </c>
    </row>
    <row r="21">
      <c r="A21" s="80" t="inlineStr">
        <is>
          <t>Date</t>
        </is>
      </c>
      <c r="B21" s="82" t="n">
        <v>42987</v>
      </c>
      <c r="C21" s="82" t="n">
        <v>42988</v>
      </c>
      <c r="D21" s="82" t="n">
        <v>42989</v>
      </c>
      <c r="E21" s="82" t="n">
        <v>42990</v>
      </c>
      <c r="F21" s="82" t="n">
        <v>42991</v>
      </c>
      <c r="G21" s="82" t="n">
        <v>42992</v>
      </c>
      <c r="H21" s="82" t="n">
        <v>42993</v>
      </c>
      <c r="I21" s="80" t="n"/>
    </row>
    <row r="22">
      <c r="A22" s="80" t="inlineStr">
        <is>
          <t>HRS</t>
        </is>
      </c>
      <c r="B22" s="80" t="n"/>
      <c r="C22" s="80" t="n">
        <v>1</v>
      </c>
      <c r="D22" s="80" t="n">
        <v>1</v>
      </c>
      <c r="E22" s="80" t="n"/>
      <c r="F22" s="80" t="n">
        <v>3</v>
      </c>
      <c r="G22" s="80" t="n">
        <v>2</v>
      </c>
      <c r="H22" s="80" t="n">
        <v>1</v>
      </c>
      <c r="I22" s="80">
        <f>SUM(C22:H22)</f>
        <v/>
      </c>
    </row>
    <row r="23">
      <c r="A23" s="80" t="n"/>
      <c r="B23" s="80" t="n"/>
      <c r="C23" s="80" t="n"/>
      <c r="D23" s="80" t="n"/>
      <c r="E23" s="80" t="n"/>
      <c r="F23" s="80" t="n"/>
      <c r="G23" s="80" t="n"/>
      <c r="H23" s="80" t="n"/>
      <c r="I23" s="80" t="n"/>
    </row>
    <row r="24">
      <c r="A24" s="80" t="inlineStr">
        <is>
          <t>Day</t>
        </is>
      </c>
      <c r="B24" s="80" t="inlineStr">
        <is>
          <t>SAT</t>
        </is>
      </c>
      <c r="C24" s="80" t="inlineStr">
        <is>
          <t>SUN</t>
        </is>
      </c>
      <c r="D24" s="80" t="inlineStr">
        <is>
          <t>MON</t>
        </is>
      </c>
      <c r="E24" s="80" t="inlineStr">
        <is>
          <t>T</t>
        </is>
      </c>
      <c r="F24" s="80" t="inlineStr">
        <is>
          <t>W</t>
        </is>
      </c>
      <c r="G24" s="80" t="inlineStr">
        <is>
          <t>TH</t>
        </is>
      </c>
      <c r="H24" s="80" t="inlineStr">
        <is>
          <t>FR</t>
        </is>
      </c>
      <c r="I24" s="80" t="n"/>
    </row>
    <row r="25">
      <c r="A25" s="80" t="inlineStr">
        <is>
          <t>Date</t>
        </is>
      </c>
      <c r="B25" s="82" t="n">
        <v>42994</v>
      </c>
      <c r="C25" s="82" t="n">
        <v>42995</v>
      </c>
      <c r="D25" s="82" t="n">
        <v>42996</v>
      </c>
      <c r="E25" s="82" t="n">
        <v>42997</v>
      </c>
      <c r="F25" s="82" t="n">
        <v>42998</v>
      </c>
      <c r="G25" s="82" t="n">
        <v>42999</v>
      </c>
      <c r="H25" s="82" t="n">
        <v>43000</v>
      </c>
      <c r="I25" s="80" t="n"/>
    </row>
    <row r="26">
      <c r="A26" s="80" t="inlineStr">
        <is>
          <t>HRS</t>
        </is>
      </c>
      <c r="B26" s="80" t="n"/>
      <c r="C26" s="80" t="n"/>
      <c r="D26" s="80" t="n">
        <v>1</v>
      </c>
      <c r="E26" s="80" t="n">
        <v>2</v>
      </c>
      <c r="F26" s="80" t="n">
        <v>2</v>
      </c>
      <c r="G26" s="80" t="n">
        <v>4</v>
      </c>
      <c r="H26" s="80" t="n">
        <v>2</v>
      </c>
      <c r="I26" s="80">
        <f>SUM(C26:H26)</f>
        <v/>
      </c>
    </row>
    <row r="27">
      <c r="A27" s="80" t="n"/>
      <c r="B27" s="80" t="n"/>
      <c r="C27" s="80" t="n"/>
      <c r="D27" s="80" t="n"/>
      <c r="E27" s="80" t="n"/>
      <c r="F27" s="80" t="n"/>
      <c r="G27" s="80" t="n"/>
      <c r="H27" s="80" t="n"/>
      <c r="I27" s="80" t="n"/>
    </row>
    <row r="28">
      <c r="A28" s="80" t="inlineStr">
        <is>
          <t>Day</t>
        </is>
      </c>
      <c r="B28" s="80" t="inlineStr">
        <is>
          <t>SAT</t>
        </is>
      </c>
      <c r="C28" s="80" t="inlineStr">
        <is>
          <t>SUN</t>
        </is>
      </c>
      <c r="D28" s="80" t="inlineStr">
        <is>
          <t>MON</t>
        </is>
      </c>
      <c r="E28" s="80" t="inlineStr">
        <is>
          <t>T</t>
        </is>
      </c>
      <c r="F28" s="80" t="inlineStr">
        <is>
          <t>W</t>
        </is>
      </c>
      <c r="G28" s="80" t="inlineStr">
        <is>
          <t>TH</t>
        </is>
      </c>
      <c r="H28" s="80" t="inlineStr">
        <is>
          <t>FR</t>
        </is>
      </c>
      <c r="I28" s="80" t="n"/>
    </row>
    <row r="29">
      <c r="A29" s="80" t="inlineStr">
        <is>
          <t>Date</t>
        </is>
      </c>
      <c r="B29" s="82" t="n">
        <v>43001</v>
      </c>
      <c r="C29" s="82" t="n">
        <v>43002</v>
      </c>
      <c r="D29" s="82" t="n">
        <v>43003</v>
      </c>
      <c r="E29" s="82" t="n">
        <v>43004</v>
      </c>
      <c r="F29" s="82" t="n">
        <v>43005</v>
      </c>
      <c r="G29" s="82" t="n">
        <v>43006</v>
      </c>
      <c r="H29" s="82" t="n">
        <v>43007</v>
      </c>
      <c r="I29" s="80" t="n"/>
    </row>
    <row r="30">
      <c r="A30" s="80" t="inlineStr">
        <is>
          <t>HRS</t>
        </is>
      </c>
      <c r="B30" s="80" t="n"/>
      <c r="C30" s="80" t="n"/>
      <c r="D30" s="80" t="n">
        <v>1</v>
      </c>
      <c r="E30" s="80" t="n">
        <v>1</v>
      </c>
      <c r="F30" s="80" t="n">
        <v>2</v>
      </c>
      <c r="G30" s="80" t="n">
        <v>1</v>
      </c>
      <c r="H30" s="80" t="n"/>
      <c r="I30" s="80">
        <f>SUM(C30:H30)</f>
        <v/>
      </c>
    </row>
    <row r="31">
      <c r="I31">
        <f>SUM(I18:I30)</f>
        <v/>
      </c>
    </row>
    <row r="33">
      <c r="B33" s="81" t="inlineStr">
        <is>
          <t>Engineering Services for A. Harold and Associates, LLC</t>
        </is>
      </c>
      <c r="C33" s="81" t="n"/>
      <c r="D33" s="81" t="n"/>
      <c r="E33" s="80" t="n"/>
      <c r="F33" s="80" t="n"/>
    </row>
    <row r="34">
      <c r="A34" s="80" t="n"/>
      <c r="G34" s="80" t="n"/>
      <c r="H34" s="80" t="n"/>
      <c r="I34" s="80" t="n"/>
    </row>
    <row r="35">
      <c r="A35" s="80" t="inlineStr">
        <is>
          <t>Day</t>
        </is>
      </c>
      <c r="B35" s="80" t="inlineStr">
        <is>
          <t>SAT</t>
        </is>
      </c>
      <c r="C35" s="80" t="inlineStr">
        <is>
          <t>SUN</t>
        </is>
      </c>
      <c r="D35" s="80" t="inlineStr">
        <is>
          <t>MON</t>
        </is>
      </c>
      <c r="E35" s="80" t="inlineStr">
        <is>
          <t>T</t>
        </is>
      </c>
      <c r="F35" s="80" t="inlineStr">
        <is>
          <t>W</t>
        </is>
      </c>
      <c r="G35" s="80" t="inlineStr">
        <is>
          <t>TH</t>
        </is>
      </c>
      <c r="H35" s="80" t="inlineStr">
        <is>
          <t>FR</t>
        </is>
      </c>
      <c r="I35" s="80" t="inlineStr">
        <is>
          <t>Total</t>
        </is>
      </c>
    </row>
    <row r="36">
      <c r="A36" s="80" t="inlineStr">
        <is>
          <t>Date</t>
        </is>
      </c>
      <c r="B36" s="82" t="n">
        <v>43008</v>
      </c>
      <c r="C36" s="82" t="n">
        <v>43009</v>
      </c>
      <c r="D36" s="82" t="n">
        <v>43010</v>
      </c>
      <c r="E36" s="82" t="n">
        <v>43011</v>
      </c>
      <c r="F36" s="82" t="n">
        <v>43012</v>
      </c>
      <c r="G36" s="82" t="n">
        <v>43013</v>
      </c>
      <c r="H36" s="82" t="n">
        <v>43014</v>
      </c>
      <c r="I36" s="80" t="n"/>
    </row>
    <row r="37">
      <c r="A37" s="80" t="inlineStr">
        <is>
          <t>HRS</t>
        </is>
      </c>
      <c r="B37" s="80" t="n"/>
      <c r="C37" s="80" t="n"/>
      <c r="D37" s="80" t="n">
        <v>1</v>
      </c>
      <c r="E37" s="80" t="n">
        <v>7</v>
      </c>
      <c r="F37" s="80" t="n">
        <v>3</v>
      </c>
      <c r="G37" s="80" t="n">
        <v>3</v>
      </c>
      <c r="H37" s="80" t="n">
        <v>7</v>
      </c>
      <c r="I37" s="80">
        <f>SUM(C37:H37)</f>
        <v/>
      </c>
    </row>
    <row r="38">
      <c r="A38" s="80" t="n"/>
      <c r="B38" s="80" t="n"/>
      <c r="C38" s="80" t="n"/>
      <c r="D38" s="80" t="n"/>
      <c r="E38" s="80" t="n"/>
      <c r="F38" s="80" t="n"/>
      <c r="G38" s="80" t="n"/>
      <c r="H38" s="80" t="n"/>
      <c r="I38" s="80" t="n"/>
    </row>
    <row r="39">
      <c r="A39" s="80" t="inlineStr">
        <is>
          <t>Day</t>
        </is>
      </c>
      <c r="B39" s="80" t="inlineStr">
        <is>
          <t>SAT</t>
        </is>
      </c>
      <c r="C39" s="80" t="inlineStr">
        <is>
          <t>SUN</t>
        </is>
      </c>
      <c r="D39" s="80" t="inlineStr">
        <is>
          <t>MON</t>
        </is>
      </c>
      <c r="E39" s="80" t="inlineStr">
        <is>
          <t>T</t>
        </is>
      </c>
      <c r="F39" s="80" t="inlineStr">
        <is>
          <t>W</t>
        </is>
      </c>
      <c r="G39" s="80" t="inlineStr">
        <is>
          <t>TH</t>
        </is>
      </c>
      <c r="H39" s="80" t="inlineStr">
        <is>
          <t>FR</t>
        </is>
      </c>
      <c r="I39" s="80" t="n"/>
    </row>
    <row r="40">
      <c r="A40" s="80" t="inlineStr">
        <is>
          <t>Date</t>
        </is>
      </c>
      <c r="B40" s="82" t="n">
        <v>43015</v>
      </c>
      <c r="C40" s="82" t="n">
        <v>43016</v>
      </c>
      <c r="D40" s="82" t="n">
        <v>43017</v>
      </c>
      <c r="E40" s="82" t="n">
        <v>43018</v>
      </c>
      <c r="F40" s="82" t="n">
        <v>43019</v>
      </c>
      <c r="G40" s="82" t="n">
        <v>43020</v>
      </c>
      <c r="H40" s="82" t="n">
        <v>43021</v>
      </c>
      <c r="I40" s="80" t="n"/>
    </row>
    <row r="41">
      <c r="A41" s="80" t="inlineStr">
        <is>
          <t>HRS</t>
        </is>
      </c>
      <c r="B41" s="80" t="n"/>
      <c r="C41" s="80" t="n"/>
      <c r="D41" s="80" t="n">
        <v>4</v>
      </c>
      <c r="E41" s="80" t="n">
        <v>3</v>
      </c>
      <c r="F41" s="80" t="n">
        <v>1</v>
      </c>
      <c r="G41" s="80" t="n"/>
      <c r="H41" s="80" t="n"/>
      <c r="I41" s="80">
        <f>SUM(C41:H41)</f>
        <v/>
      </c>
    </row>
    <row r="42">
      <c r="A42" s="80" t="n"/>
      <c r="B42" s="80" t="n"/>
      <c r="C42" s="80" t="n"/>
      <c r="D42" s="80" t="n"/>
      <c r="E42" s="80" t="n"/>
      <c r="F42" s="80" t="n"/>
      <c r="G42" s="80" t="n"/>
      <c r="H42" s="80" t="n"/>
      <c r="I42" s="80" t="n"/>
    </row>
    <row r="43">
      <c r="A43" s="80" t="inlineStr">
        <is>
          <t>Day</t>
        </is>
      </c>
      <c r="B43" s="80" t="inlineStr">
        <is>
          <t>SAT</t>
        </is>
      </c>
      <c r="C43" s="80" t="inlineStr">
        <is>
          <t>SUN</t>
        </is>
      </c>
      <c r="D43" s="80" t="inlineStr">
        <is>
          <t>MON</t>
        </is>
      </c>
      <c r="E43" s="80" t="inlineStr">
        <is>
          <t>T</t>
        </is>
      </c>
      <c r="F43" s="80" t="inlineStr">
        <is>
          <t>W</t>
        </is>
      </c>
      <c r="G43" s="80" t="inlineStr">
        <is>
          <t>TH</t>
        </is>
      </c>
      <c r="H43" s="80" t="inlineStr">
        <is>
          <t>FR</t>
        </is>
      </c>
      <c r="I43" s="80" t="n"/>
    </row>
    <row r="44">
      <c r="A44" s="80" t="inlineStr">
        <is>
          <t>Date</t>
        </is>
      </c>
      <c r="B44" s="82" t="n">
        <v>43022</v>
      </c>
      <c r="C44" s="82" t="n">
        <v>43023</v>
      </c>
      <c r="D44" s="82" t="n">
        <v>43024</v>
      </c>
      <c r="E44" s="82" t="n">
        <v>43025</v>
      </c>
      <c r="F44" s="82" t="n">
        <v>43026</v>
      </c>
      <c r="G44" s="82" t="n">
        <v>43027</v>
      </c>
      <c r="H44" s="82" t="n">
        <v>43028</v>
      </c>
      <c r="I44" s="80" t="n"/>
    </row>
    <row r="45">
      <c r="A45" s="80" t="inlineStr">
        <is>
          <t>HRS</t>
        </is>
      </c>
      <c r="B45" s="80" t="n"/>
      <c r="C45" s="80" t="n"/>
      <c r="D45" s="80" t="n"/>
      <c r="E45" s="80" t="n">
        <v>2</v>
      </c>
      <c r="F45" s="80" t="n">
        <v>3</v>
      </c>
      <c r="G45" s="80" t="n">
        <v>3</v>
      </c>
      <c r="H45" s="80" t="n">
        <v>1</v>
      </c>
      <c r="I45" s="80">
        <f>SUM(C45:H45)</f>
        <v/>
      </c>
    </row>
    <row r="46">
      <c r="A46" s="80" t="n"/>
      <c r="B46" s="80" t="n"/>
      <c r="C46" s="80" t="n"/>
      <c r="D46" s="80" t="n"/>
      <c r="E46" s="80" t="n"/>
      <c r="F46" s="80" t="n"/>
      <c r="G46" s="80" t="n"/>
      <c r="H46" s="80" t="n"/>
      <c r="I46" s="80" t="n"/>
    </row>
    <row r="47">
      <c r="A47" s="80" t="inlineStr">
        <is>
          <t>Day</t>
        </is>
      </c>
      <c r="B47" s="80" t="inlineStr">
        <is>
          <t>SAT</t>
        </is>
      </c>
      <c r="C47" s="80" t="inlineStr">
        <is>
          <t>SUN</t>
        </is>
      </c>
      <c r="D47" s="80" t="inlineStr">
        <is>
          <t>MON</t>
        </is>
      </c>
      <c r="E47" s="80" t="inlineStr">
        <is>
          <t>T</t>
        </is>
      </c>
      <c r="F47" s="80" t="inlineStr">
        <is>
          <t>W</t>
        </is>
      </c>
      <c r="G47" s="80" t="inlineStr">
        <is>
          <t>TH</t>
        </is>
      </c>
      <c r="H47" s="80" t="inlineStr">
        <is>
          <t>FR</t>
        </is>
      </c>
      <c r="I47" s="80" t="n"/>
    </row>
    <row r="48">
      <c r="A48" s="80" t="inlineStr">
        <is>
          <t>Date</t>
        </is>
      </c>
      <c r="B48" s="82" t="n">
        <v>43001</v>
      </c>
      <c r="C48" s="82" t="n">
        <v>43002</v>
      </c>
      <c r="D48" s="82" t="n">
        <v>43003</v>
      </c>
      <c r="E48" s="82" t="n">
        <v>43004</v>
      </c>
      <c r="F48" s="82" t="n">
        <v>43005</v>
      </c>
      <c r="G48" s="82" t="n">
        <v>43006</v>
      </c>
      <c r="H48" s="82" t="n">
        <v>43007</v>
      </c>
      <c r="I48" s="80" t="n"/>
    </row>
    <row r="49">
      <c r="A49" s="80" t="inlineStr">
        <is>
          <t>HRS</t>
        </is>
      </c>
      <c r="B49" s="80" t="n"/>
      <c r="C49" s="80" t="n"/>
      <c r="D49" s="80" t="n">
        <v>1</v>
      </c>
      <c r="E49" s="80" t="n"/>
      <c r="F49" s="80" t="n"/>
      <c r="G49" s="80" t="n"/>
      <c r="H49" s="80" t="n"/>
      <c r="I49" s="80">
        <f>SUM(C49:H49)</f>
        <v/>
      </c>
    </row>
    <row r="50">
      <c r="A50" s="91" t="inlineStr">
        <is>
          <t>Total Hrs</t>
        </is>
      </c>
      <c r="I50" s="5">
        <f>SUM(I37:I49)</f>
        <v/>
      </c>
    </row>
  </sheetData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 outlineLevelCol="0"/>
  <cols>
    <col customWidth="1" max="1" min="1" width="19.28515625"/>
    <col customWidth="1" max="2" min="2" width="11.85546875"/>
    <col customWidth="1" max="3" min="3" width="11.7109375"/>
    <col customWidth="1" max="4" min="4" width="9.28515625"/>
    <col customWidth="1" max="5" min="5" width="15.140625"/>
    <col customWidth="1" max="6" min="6" width="13.7109375"/>
    <col customWidth="1" max="7" min="7" width="11.7109375"/>
    <col customWidth="1" max="8" min="8" width="10.28515625"/>
    <col customWidth="1" max="9" min="9" width="10"/>
    <col customWidth="1" max="10" min="10" width="13.28515625"/>
    <col customWidth="1" max="11" min="11" width="11.5703125"/>
  </cols>
  <sheetData>
    <row r="1">
      <c r="B1" s="5" t="inlineStr">
        <is>
          <t>WESTSIM ENGINEERING, INC Monthly Expanses 2016</t>
        </is>
      </c>
      <c r="C1" s="5" t="n"/>
      <c r="D1" s="5" t="n"/>
    </row>
    <row r="2">
      <c r="B2" s="5" t="inlineStr">
        <is>
          <t>April</t>
        </is>
      </c>
      <c r="C2" s="5" t="inlineStr">
        <is>
          <t>May</t>
        </is>
      </c>
      <c r="D2" s="5" t="inlineStr">
        <is>
          <t>June</t>
        </is>
      </c>
      <c r="E2" s="5" t="inlineStr">
        <is>
          <t>July</t>
        </is>
      </c>
      <c r="F2" s="5" t="inlineStr">
        <is>
          <t>Aug</t>
        </is>
      </c>
      <c r="G2" s="5" t="inlineStr">
        <is>
          <t>Sept</t>
        </is>
      </c>
      <c r="H2" s="5" t="inlineStr">
        <is>
          <t>Oct</t>
        </is>
      </c>
      <c r="I2" s="5" t="inlineStr">
        <is>
          <t>Nov</t>
        </is>
      </c>
      <c r="J2" s="5" t="inlineStr">
        <is>
          <t>Dec</t>
        </is>
      </c>
    </row>
    <row r="3">
      <c r="A3" s="28" t="inlineStr">
        <is>
          <t>Officers Compensation</t>
        </is>
      </c>
      <c r="B3" s="28" t="n"/>
      <c r="C3" s="270" t="n"/>
      <c r="D3" s="270" t="n"/>
      <c r="E3" s="270" t="n"/>
      <c r="F3" s="270" t="n"/>
      <c r="G3" s="270" t="n"/>
      <c r="H3" s="270" t="n"/>
      <c r="I3" s="270" t="n"/>
      <c r="J3" s="270" t="n"/>
      <c r="K3" s="28" t="n"/>
      <c r="L3" t="inlineStr">
        <is>
          <t>Monthly</t>
        </is>
      </c>
    </row>
    <row r="4">
      <c r="A4" s="28" t="inlineStr">
        <is>
          <t>Rents</t>
        </is>
      </c>
      <c r="B4" s="270" t="n"/>
      <c r="C4" s="270" t="n"/>
      <c r="D4" s="270" t="n"/>
      <c r="E4" s="270" t="n"/>
      <c r="F4" s="270" t="n"/>
      <c r="G4" s="270" t="n"/>
      <c r="H4" s="270" t="n"/>
      <c r="I4" s="270" t="n">
        <v>532.5</v>
      </c>
      <c r="J4" s="270" t="n">
        <v>532.5</v>
      </c>
      <c r="K4" s="28" t="inlineStr">
        <is>
          <t>rent</t>
        </is>
      </c>
      <c r="L4" t="n">
        <v>532.5</v>
      </c>
    </row>
    <row r="5">
      <c r="A5" s="28" t="inlineStr">
        <is>
          <t>Business Ins</t>
        </is>
      </c>
      <c r="B5" s="270" t="n"/>
      <c r="C5" s="270" t="n"/>
      <c r="D5" s="270" t="n"/>
      <c r="E5" s="270" t="n"/>
      <c r="F5" s="270" t="n"/>
      <c r="G5" s="270" t="n"/>
      <c r="H5" s="270" t="n"/>
      <c r="I5" s="270" t="n">
        <v>428.61</v>
      </c>
      <c r="J5" s="270" t="n"/>
      <c r="K5" s="28" t="inlineStr">
        <is>
          <t>ins</t>
        </is>
      </c>
      <c r="L5" t="n">
        <v>60</v>
      </c>
    </row>
    <row r="6">
      <c r="A6" s="28" t="inlineStr">
        <is>
          <t>Corp Fees</t>
        </is>
      </c>
      <c r="B6" s="270" t="n">
        <v>180</v>
      </c>
      <c r="C6" s="270" t="n"/>
      <c r="D6" s="270" t="n"/>
      <c r="E6" s="270" t="n"/>
      <c r="F6" s="270" t="n"/>
      <c r="G6" s="270" t="n"/>
      <c r="H6" s="270" t="n"/>
      <c r="I6" s="270" t="n"/>
      <c r="J6" s="270" t="n">
        <v>50</v>
      </c>
      <c r="K6" s="28" t="inlineStr">
        <is>
          <t>cable</t>
        </is>
      </c>
      <c r="L6" t="n">
        <v>100</v>
      </c>
    </row>
    <row r="7">
      <c r="A7" s="28" t="inlineStr">
        <is>
          <t>Licenses</t>
        </is>
      </c>
      <c r="B7" s="270" t="n"/>
      <c r="C7" s="270" t="n"/>
      <c r="D7" s="270" t="n"/>
      <c r="E7" s="270" t="n"/>
      <c r="F7" s="270" t="n"/>
      <c r="G7" s="270" t="n">
        <v>12</v>
      </c>
      <c r="H7" s="270" t="n"/>
      <c r="I7" s="270" t="n"/>
      <c r="J7" s="270">
        <f>40+15</f>
        <v/>
      </c>
      <c r="K7" s="28" t="inlineStr">
        <is>
          <t>empl</t>
        </is>
      </c>
      <c r="L7" t="n">
        <v>200</v>
      </c>
    </row>
    <row r="8">
      <c r="A8" s="28" t="inlineStr">
        <is>
          <t>Training</t>
        </is>
      </c>
      <c r="B8" s="270">
        <f>169+450</f>
        <v/>
      </c>
      <c r="C8" s="270" t="n"/>
      <c r="D8" s="270" t="n">
        <v>64</v>
      </c>
      <c r="E8" s="270" t="n"/>
      <c r="F8" s="270" t="n"/>
      <c r="G8" s="270" t="n"/>
      <c r="H8" s="270" t="n"/>
      <c r="I8" s="270" t="n"/>
      <c r="J8" s="270" t="n"/>
      <c r="K8" s="28" t="inlineStr">
        <is>
          <t>misc</t>
        </is>
      </c>
      <c r="L8" t="n">
        <v>100</v>
      </c>
    </row>
    <row r="9">
      <c r="A9" s="28" t="inlineStr">
        <is>
          <t>Conferences</t>
        </is>
      </c>
      <c r="B9" s="270" t="n"/>
      <c r="C9" s="270" t="n">
        <v>45</v>
      </c>
      <c r="D9" s="270" t="n">
        <v>90</v>
      </c>
      <c r="E9" s="270" t="n"/>
      <c r="F9" s="270" t="n"/>
      <c r="G9" s="270" t="n"/>
      <c r="H9" s="270" t="n"/>
      <c r="I9" s="270">
        <f>75+25</f>
        <v/>
      </c>
      <c r="J9" s="270" t="n"/>
      <c r="K9" s="28" t="inlineStr">
        <is>
          <t>alicorp</t>
        </is>
      </c>
      <c r="L9" t="n">
        <v>200</v>
      </c>
    </row>
    <row r="10">
      <c r="A10" s="28" t="inlineStr">
        <is>
          <t>Travel</t>
        </is>
      </c>
      <c r="B10" s="270" t="n"/>
      <c r="C10" s="270" t="n"/>
      <c r="D10" s="270" t="n"/>
      <c r="E10" s="270">
        <f>190.96+120</f>
        <v/>
      </c>
      <c r="F10" s="270" t="n"/>
      <c r="G10" s="270" t="n"/>
      <c r="H10" s="270" t="n"/>
      <c r="I10" s="270" t="n"/>
      <c r="J10" s="270" t="n"/>
      <c r="K10" s="28" t="inlineStr">
        <is>
          <t>shi</t>
        </is>
      </c>
      <c r="L10" t="n">
        <v>400</v>
      </c>
    </row>
    <row r="11">
      <c r="A11" s="28" t="inlineStr">
        <is>
          <t>Shipping</t>
        </is>
      </c>
      <c r="B11" s="270" t="n"/>
      <c r="C11" s="270" t="n"/>
      <c r="D11" s="270" t="n"/>
      <c r="E11" s="270" t="n"/>
      <c r="F11" s="270" t="n">
        <v>13.17</v>
      </c>
      <c r="G11" s="270" t="n">
        <v>3.77</v>
      </c>
      <c r="H11" s="270">
        <f>12.71+124.29</f>
        <v/>
      </c>
      <c r="I11" s="270">
        <f>10.45+29.82</f>
        <v/>
      </c>
      <c r="J11" s="270">
        <f>45.98+13.58+152.8</f>
        <v/>
      </c>
      <c r="K11" s="28" t="n"/>
      <c r="L11">
        <f>SUM(L4:L10)</f>
        <v/>
      </c>
    </row>
    <row r="12">
      <c r="A12" s="28" t="inlineStr">
        <is>
          <t>Shipping Supplies</t>
        </is>
      </c>
      <c r="B12" s="270" t="n"/>
      <c r="C12" s="270" t="n"/>
      <c r="D12" s="270" t="n"/>
      <c r="E12" s="270" t="n"/>
      <c r="F12" s="270" t="n"/>
      <c r="G12" s="270" t="n"/>
      <c r="H12" s="270" t="n">
        <v>254.33</v>
      </c>
      <c r="I12" s="270" t="n"/>
      <c r="J12" s="270" t="n">
        <v>147.42</v>
      </c>
      <c r="K12" s="28" t="n"/>
    </row>
    <row r="13">
      <c r="A13" s="28" t="inlineStr">
        <is>
          <t>Office equipment</t>
        </is>
      </c>
      <c r="B13" s="270" t="n"/>
      <c r="C13" s="270">
        <f>591.06+130</f>
        <v/>
      </c>
      <c r="D13" s="270" t="n">
        <v>192.76</v>
      </c>
      <c r="E13" s="270" t="n">
        <v>127.79</v>
      </c>
      <c r="F13" s="270" t="n">
        <v>225</v>
      </c>
      <c r="G13" s="270" t="n">
        <v>48.33</v>
      </c>
      <c r="H13" s="270" t="n">
        <v>70.14</v>
      </c>
      <c r="I13" s="270" t="n"/>
      <c r="J13" s="270">
        <f>457.13+106.38</f>
        <v/>
      </c>
      <c r="K13" s="28" t="n"/>
    </row>
    <row r="14">
      <c r="A14" s="28" t="inlineStr">
        <is>
          <t>Office Supplies</t>
        </is>
      </c>
      <c r="B14" s="270" t="n"/>
      <c r="C14" s="270" t="n"/>
      <c r="D14" s="270" t="n">
        <v>6.39</v>
      </c>
      <c r="E14" s="270" t="n">
        <v>19.16</v>
      </c>
      <c r="F14" s="270" t="n">
        <v>26.94</v>
      </c>
      <c r="G14" s="270">
        <f>6.39+260</f>
        <v/>
      </c>
      <c r="H14" s="270">
        <f>5.93+42.92</f>
        <v/>
      </c>
      <c r="I14" s="270">
        <f>20.21+4.67</f>
        <v/>
      </c>
      <c r="J14" s="270" t="n">
        <v>160</v>
      </c>
      <c r="K14" s="28" t="n"/>
    </row>
    <row r="15">
      <c r="A15" s="28" t="inlineStr">
        <is>
          <t>Credit Card Fees</t>
        </is>
      </c>
      <c r="B15" s="270" t="n"/>
      <c r="C15" s="270" t="n"/>
      <c r="D15" s="270" t="n"/>
      <c r="E15" s="270" t="n">
        <v>95</v>
      </c>
      <c r="F15" s="270" t="n"/>
      <c r="G15" s="270" t="n"/>
      <c r="H15" s="270" t="n">
        <v>38</v>
      </c>
      <c r="I15" s="270" t="n"/>
      <c r="J15" s="270" t="n"/>
      <c r="K15" s="28" t="n"/>
    </row>
    <row r="16">
      <c r="A16" s="28" t="inlineStr">
        <is>
          <t>Telephone</t>
        </is>
      </c>
      <c r="B16" s="270" t="n">
        <v>75</v>
      </c>
      <c r="C16" s="270" t="n">
        <v>75</v>
      </c>
      <c r="D16" s="270" t="n">
        <v>75</v>
      </c>
      <c r="E16" s="270" t="n">
        <v>75</v>
      </c>
      <c r="F16" s="270" t="n">
        <v>75</v>
      </c>
      <c r="G16" s="270" t="n">
        <v>75</v>
      </c>
      <c r="H16" s="270" t="n">
        <v>75</v>
      </c>
      <c r="I16" s="270" t="n">
        <v>75</v>
      </c>
      <c r="J16" s="270" t="n">
        <v>75</v>
      </c>
      <c r="K16" s="28" t="n"/>
    </row>
    <row r="17">
      <c r="A17" s="28" t="inlineStr">
        <is>
          <t>Business meals</t>
        </is>
      </c>
      <c r="B17" s="270" t="n"/>
      <c r="C17" s="270" t="n">
        <v>30</v>
      </c>
      <c r="D17" s="270" t="n">
        <v>30</v>
      </c>
      <c r="E17" s="270" t="n">
        <v>26.14</v>
      </c>
      <c r="F17" s="270" t="n">
        <v>28</v>
      </c>
      <c r="G17" s="270" t="n">
        <v>30.85</v>
      </c>
      <c r="H17" s="270" t="n">
        <v>47.38</v>
      </c>
      <c r="I17" s="270">
        <f>23.04+26.81</f>
        <v/>
      </c>
      <c r="J17" s="270" t="n">
        <v>49.66</v>
      </c>
      <c r="K17" s="28" t="n"/>
    </row>
    <row r="18">
      <c r="A18" s="28" t="inlineStr">
        <is>
          <t>Website</t>
        </is>
      </c>
      <c r="B18" s="270" t="n"/>
      <c r="C18" s="270" t="n"/>
      <c r="D18" s="270">
        <f>62.1+41.22</f>
        <v/>
      </c>
      <c r="E18" s="270" t="n"/>
      <c r="F18" s="270" t="n"/>
      <c r="G18" s="270" t="n"/>
      <c r="H18" s="270" t="n">
        <v>100.1</v>
      </c>
      <c r="I18" s="270" t="n">
        <v>80</v>
      </c>
      <c r="J18" s="270" t="n"/>
      <c r="K18" s="28" t="n"/>
    </row>
    <row r="19">
      <c r="A19" s="28" t="inlineStr">
        <is>
          <t>Internet</t>
        </is>
      </c>
      <c r="B19" s="270" t="n">
        <v>75</v>
      </c>
      <c r="C19" s="270" t="n">
        <v>75</v>
      </c>
      <c r="D19" s="270" t="n">
        <v>75</v>
      </c>
      <c r="E19" s="270" t="n">
        <v>75</v>
      </c>
      <c r="F19" s="270" t="n">
        <v>75</v>
      </c>
      <c r="G19" s="270" t="n">
        <v>75</v>
      </c>
      <c r="H19" s="270" t="n">
        <v>75</v>
      </c>
      <c r="I19" s="270" t="n">
        <v>75</v>
      </c>
      <c r="J19" s="270" t="n">
        <v>75</v>
      </c>
      <c r="K19" s="28" t="n"/>
    </row>
    <row r="20">
      <c r="A20" s="28" t="inlineStr">
        <is>
          <t>Interest/charges</t>
        </is>
      </c>
      <c r="B20" s="270" t="n"/>
      <c r="C20" s="270" t="n"/>
      <c r="D20" s="270" t="n"/>
      <c r="E20" s="270" t="n"/>
      <c r="F20" s="270" t="n">
        <v>40</v>
      </c>
      <c r="G20" s="270" t="n">
        <v>60</v>
      </c>
      <c r="H20" s="270" t="n">
        <v>60</v>
      </c>
      <c r="I20" s="270" t="n">
        <v>60</v>
      </c>
      <c r="J20" s="270" t="n"/>
      <c r="K20" s="28" t="n"/>
    </row>
    <row r="21">
      <c r="A21" s="28" t="inlineStr">
        <is>
          <t>Legal/acct</t>
        </is>
      </c>
      <c r="B21" s="270" t="n"/>
      <c r="C21" s="270" t="n"/>
      <c r="D21" s="270" t="n"/>
      <c r="E21" s="270" t="n"/>
      <c r="F21" s="270" t="n"/>
      <c r="G21" s="270" t="n"/>
      <c r="H21" s="270" t="n"/>
      <c r="I21" s="270" t="n"/>
      <c r="J21" s="270" t="n"/>
      <c r="K21" s="28" t="n"/>
    </row>
    <row r="22">
      <c r="A22" s="28" t="inlineStr">
        <is>
          <t>Auto</t>
        </is>
      </c>
      <c r="B22" s="270" t="n"/>
      <c r="C22" s="270" t="n"/>
      <c r="D22" s="270" t="n"/>
      <c r="E22" s="270" t="n"/>
      <c r="F22" s="270" t="n"/>
      <c r="G22" s="270" t="n"/>
      <c r="H22" s="270" t="n"/>
      <c r="I22" s="270" t="n"/>
      <c r="J22" s="270" t="n"/>
      <c r="K22" s="28" t="n"/>
    </row>
    <row r="23">
      <c r="A23" s="28" t="inlineStr">
        <is>
          <t>Total</t>
        </is>
      </c>
      <c r="B23" s="270">
        <f>SUM(B3:B22)</f>
        <v/>
      </c>
      <c r="C23" s="270">
        <f>SUM(C3:C22)</f>
        <v/>
      </c>
      <c r="D23" s="270">
        <f>SUM(D3:D22)</f>
        <v/>
      </c>
      <c r="E23" s="270">
        <f>SUM(E3:E22)</f>
        <v/>
      </c>
      <c r="F23" s="270">
        <f>SUM(F3:F22)</f>
        <v/>
      </c>
      <c r="G23" s="270">
        <f>SUM(G3:G22)</f>
        <v/>
      </c>
      <c r="H23" s="270">
        <f>SUM(H3:H22)</f>
        <v/>
      </c>
      <c r="I23" s="270">
        <f>SUM(I3:I22)</f>
        <v/>
      </c>
      <c r="J23" s="270">
        <f>SUM(J3:J22)</f>
        <v/>
      </c>
      <c r="K23" s="271">
        <f>SUM(B23:J23)</f>
        <v/>
      </c>
    </row>
    <row r="24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</row>
    <row r="25">
      <c r="A25" s="38" t="inlineStr">
        <is>
          <t>Total Expanse</t>
        </is>
      </c>
      <c r="B25" s="272" t="n">
        <v>8607.389999999999</v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</row>
    <row r="26">
      <c r="A26" s="28" t="n"/>
      <c r="B26" s="28" t="n"/>
      <c r="C26" s="29" t="inlineStr">
        <is>
          <t>Capital Equipment</t>
        </is>
      </c>
      <c r="D26" s="29" t="n"/>
      <c r="E26" s="28" t="n"/>
      <c r="F26" s="28" t="n"/>
      <c r="G26" s="28" t="n"/>
      <c r="H26" s="28" t="n"/>
      <c r="I26" s="28" t="n"/>
      <c r="J26" s="28" t="n"/>
      <c r="K26" s="28" t="n"/>
    </row>
    <row r="27">
      <c r="A27" s="30" t="inlineStr">
        <is>
          <t>Loan to Corp:</t>
        </is>
      </c>
      <c r="B27" s="273" t="n">
        <v>32000</v>
      </c>
      <c r="C27" s="30" t="inlineStr">
        <is>
          <t>Computer</t>
        </is>
      </c>
      <c r="D27" s="31" t="n">
        <v>42491</v>
      </c>
      <c r="E27" s="273" t="n">
        <v>721.0599999999999</v>
      </c>
      <c r="F27" s="28" t="n"/>
      <c r="G27" s="28" t="n"/>
      <c r="H27" s="28" t="n"/>
      <c r="I27" s="28" t="n"/>
      <c r="J27" s="28" t="n"/>
      <c r="K27" s="28" t="n"/>
    </row>
    <row r="28">
      <c r="A28" s="32" t="inlineStr">
        <is>
          <t>Home office</t>
        </is>
      </c>
      <c r="B28" s="33" t="n"/>
      <c r="C28" s="32" t="inlineStr">
        <is>
          <t>Printer</t>
        </is>
      </c>
      <c r="D28" s="34" t="n">
        <v>42491</v>
      </c>
      <c r="E28" s="274" t="n">
        <v>192.76</v>
      </c>
      <c r="F28" s="28" t="n"/>
      <c r="G28" s="28" t="n"/>
      <c r="H28" s="28" t="n"/>
      <c r="I28" s="28" t="n"/>
      <c r="J28" s="28" t="n"/>
      <c r="K28" s="28" t="n"/>
    </row>
    <row r="29">
      <c r="A29" s="32" t="inlineStr">
        <is>
          <t>Use of Auto</t>
        </is>
      </c>
      <c r="B29" s="33" t="n"/>
      <c r="C29" s="35" t="inlineStr">
        <is>
          <t>Printer</t>
        </is>
      </c>
      <c r="D29" s="36" t="n">
        <v>42583</v>
      </c>
      <c r="E29" s="275" t="n">
        <v>225</v>
      </c>
      <c r="F29" s="28" t="n"/>
      <c r="G29" s="28" t="n"/>
      <c r="H29" s="28" t="n"/>
      <c r="I29" s="28" t="n"/>
      <c r="J29" s="28" t="n"/>
      <c r="K29" s="28" t="n"/>
    </row>
    <row r="30">
      <c r="A30" s="32" t="inlineStr">
        <is>
          <t>Rent deposit</t>
        </is>
      </c>
      <c r="B30" s="274" t="n">
        <v>1600</v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</row>
    <row r="31">
      <c r="A31" s="35" t="inlineStr">
        <is>
          <t>Differed compensation?</t>
        </is>
      </c>
      <c r="B31" s="37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</row>
    <row r="32">
      <c r="A32" s="39" t="inlineStr">
        <is>
          <t>Gross Sales</t>
        </is>
      </c>
      <c r="B32" s="40" t="inlineStr">
        <is>
          <t>Cost of goods</t>
        </is>
      </c>
      <c r="C32" s="41" t="inlineStr">
        <is>
          <t>Gross profit</t>
        </is>
      </c>
      <c r="D32" s="28" t="n"/>
      <c r="E32" s="28" t="n"/>
      <c r="F32" s="28" t="n"/>
      <c r="G32" s="28" t="n"/>
      <c r="H32" s="28" t="n"/>
      <c r="I32" s="28" t="n"/>
      <c r="J32" s="28" t="n"/>
      <c r="K32" s="28" t="n"/>
    </row>
    <row r="33">
      <c r="A33" s="276" t="n">
        <v>225420.46</v>
      </c>
      <c r="B33" s="277" t="n">
        <v>219269.94</v>
      </c>
      <c r="C33" s="275">
        <f>A33-B33</f>
        <v/>
      </c>
      <c r="D33" s="28" t="n"/>
      <c r="E33" s="28" t="n"/>
      <c r="F33" s="28" t="n"/>
      <c r="G33" s="28" t="n"/>
      <c r="H33" s="28" t="n"/>
      <c r="I33" s="28" t="n"/>
      <c r="J33" s="28" t="n"/>
      <c r="K33" s="28" t="n"/>
    </row>
    <row r="34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</row>
    <row r="37">
      <c r="C37" t="inlineStr">
        <is>
          <t>aug</t>
        </is>
      </c>
      <c r="D37" t="n">
        <v>24</v>
      </c>
      <c r="E37" s="243" t="n">
        <v>60890.89000000001</v>
      </c>
      <c r="F37" s="233" t="n">
        <v>59698.7</v>
      </c>
      <c r="G37" s="240" t="n">
        <v>1224.19</v>
      </c>
      <c r="H37" s="19">
        <f>(E37/F37)-1</f>
        <v/>
      </c>
    </row>
    <row r="38">
      <c r="C38" t="inlineStr">
        <is>
          <t>sep</t>
        </is>
      </c>
      <c r="D38" t="n">
        <v>23</v>
      </c>
      <c r="E38" s="243" t="n">
        <v>133470.9</v>
      </c>
      <c r="F38" s="233" t="n">
        <v>131184.77</v>
      </c>
      <c r="G38" s="240" t="n">
        <v>2286.130000000003</v>
      </c>
      <c r="H38" s="19">
        <f>(E38/F38)-1</f>
        <v/>
      </c>
    </row>
    <row r="39">
      <c r="C39" t="inlineStr">
        <is>
          <t>oct</t>
        </is>
      </c>
      <c r="D39" t="n">
        <v>36</v>
      </c>
      <c r="E39" s="230" t="n">
        <v>126433.14</v>
      </c>
      <c r="F39" s="230" t="n">
        <v>123384.05</v>
      </c>
      <c r="G39" s="230" t="n">
        <v>3049.090000000002</v>
      </c>
      <c r="H39" s="19">
        <f>(E39/F39)-1</f>
        <v/>
      </c>
    </row>
    <row r="40">
      <c r="C40" t="inlineStr">
        <is>
          <t>nov</t>
        </is>
      </c>
      <c r="D40" t="n">
        <v>42</v>
      </c>
      <c r="E40" s="230" t="n">
        <v>169565.76</v>
      </c>
      <c r="F40" s="230" t="n">
        <v>165469.08</v>
      </c>
      <c r="G40" s="230" t="n">
        <v>4096.679999999997</v>
      </c>
      <c r="H40" s="19">
        <f>(E40/F40)-1</f>
        <v/>
      </c>
    </row>
    <row r="41">
      <c r="C41" t="inlineStr">
        <is>
          <t>dec</t>
        </is>
      </c>
      <c r="D41" t="n">
        <v>36</v>
      </c>
      <c r="E41" s="230" t="n">
        <v>140324.59</v>
      </c>
      <c r="F41" s="230" t="n">
        <v>136455.68</v>
      </c>
      <c r="G41" s="230" t="n">
        <v>3868.910000000003</v>
      </c>
      <c r="H41" s="19">
        <f>(E41/F41)-1</f>
        <v/>
      </c>
    </row>
    <row r="42">
      <c r="E42" s="233">
        <f>SUM(E39:E41)</f>
        <v/>
      </c>
      <c r="F42" s="233">
        <f>SUM(F39:F41)</f>
        <v/>
      </c>
      <c r="G42" s="233">
        <f>SUM(G39:G41)</f>
        <v/>
      </c>
      <c r="H42" s="19">
        <f>(E42/F42)-1</f>
        <v/>
      </c>
    </row>
    <row r="46">
      <c r="L46" t="inlineStr">
        <is>
          <t>k</t>
        </is>
      </c>
    </row>
    <row r="47">
      <c r="C47" s="20" t="inlineStr">
        <is>
          <t>oct</t>
        </is>
      </c>
      <c r="D47" s="20" t="n">
        <v>36</v>
      </c>
      <c r="E47" s="236" t="n">
        <v>126433.14</v>
      </c>
      <c r="F47" s="236" t="n">
        <v>123384.05</v>
      </c>
      <c r="G47" s="236" t="n">
        <v>3049.090000000002</v>
      </c>
      <c r="H47" s="107">
        <f>(E47/F47)-1</f>
        <v/>
      </c>
      <c r="I47" s="236" t="n">
        <v>1700</v>
      </c>
    </row>
    <row r="48">
      <c r="C48" s="20" t="inlineStr">
        <is>
          <t>nov</t>
        </is>
      </c>
      <c r="D48" s="20" t="n">
        <v>42</v>
      </c>
      <c r="E48" s="236" t="n">
        <v>169565.76</v>
      </c>
      <c r="F48" s="236" t="n">
        <v>165469.08</v>
      </c>
      <c r="G48" s="236" t="n">
        <v>4096.679999999997</v>
      </c>
      <c r="H48" s="107">
        <f>(E48/F48)-1</f>
        <v/>
      </c>
      <c r="I48" s="236" t="n">
        <v>1700</v>
      </c>
    </row>
    <row r="49">
      <c r="C49" s="20" t="inlineStr">
        <is>
          <t>dec</t>
        </is>
      </c>
      <c r="D49" s="20" t="n">
        <v>36</v>
      </c>
      <c r="E49" s="236" t="n">
        <v>140324.59</v>
      </c>
      <c r="F49" s="236" t="n">
        <v>136455.68</v>
      </c>
      <c r="G49" s="236" t="n">
        <v>3868.910000000003</v>
      </c>
      <c r="H49" s="107">
        <f>(E49/F49)-1</f>
        <v/>
      </c>
      <c r="I49" s="236" t="n">
        <v>1700</v>
      </c>
    </row>
    <row r="50">
      <c r="C50" s="20" t="n"/>
      <c r="D50" s="20" t="n"/>
      <c r="E50" s="238">
        <f>SUM(E47:E49)</f>
        <v/>
      </c>
      <c r="F50" s="238">
        <f>SUM(F47:F49)</f>
        <v/>
      </c>
      <c r="G50" s="238">
        <f>SUM(G47:G49)</f>
        <v/>
      </c>
      <c r="H50" s="107">
        <f>(E50/F50)-1</f>
        <v/>
      </c>
      <c r="I50" s="238">
        <f>SUM(I47:I49)</f>
        <v/>
      </c>
      <c r="J50" s="233">
        <f>+G50-I50</f>
        <v/>
      </c>
    </row>
    <row r="51">
      <c r="C51" s="20" t="n"/>
      <c r="D51" s="20" t="n"/>
      <c r="E51" s="20" t="n"/>
      <c r="F51" s="20" t="n"/>
      <c r="G51" s="20" t="n"/>
      <c r="H51" s="20" t="n"/>
      <c r="I51" s="20" t="n"/>
    </row>
    <row r="52">
      <c r="E52" s="230" t="n"/>
      <c r="F52" s="233" t="n"/>
      <c r="G52" s="233" t="n"/>
    </row>
    <row r="53">
      <c r="G53" s="230" t="n"/>
      <c r="J53" s="233" t="n"/>
      <c r="K53" t="n">
        <v>3600</v>
      </c>
    </row>
    <row r="54">
      <c r="K54" t="n">
        <v>2500</v>
      </c>
    </row>
    <row r="55">
      <c r="K55">
        <f>SUM(K53:K54)</f>
        <v/>
      </c>
      <c r="L55" t="n">
        <v>6700</v>
      </c>
    </row>
    <row r="56">
      <c r="K56" t="n">
        <v>600</v>
      </c>
    </row>
    <row r="57">
      <c r="K57">
        <f>SUM(K56)</f>
        <v/>
      </c>
    </row>
  </sheetData>
  <printOptions headings="1"/>
  <pageMargins bottom="0.75" footer="0.3" header="0.3" left="0.7" right="0.7" top="0.75"/>
  <pageSetup orientation="landscape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K7"/>
  <sheetViews>
    <sheetView workbookViewId="0">
      <selection activeCell="A1" sqref="A1"/>
    </sheetView>
  </sheetViews>
  <sheetFormatPr baseColWidth="8" defaultRowHeight="15" outlineLevelCol="0"/>
  <cols>
    <col customWidth="1" max="1" min="1" width="15.28515625"/>
    <col bestFit="1" customWidth="1" max="4" min="4" width="10.140625"/>
    <col bestFit="1" customWidth="1" max="5" min="5" width="9"/>
    <col bestFit="1" customWidth="1" max="6" min="6" width="11.140625"/>
    <col bestFit="1" customWidth="1" max="7" min="7" width="9"/>
    <col bestFit="1" customWidth="1" max="8" min="8" width="10.140625"/>
    <col bestFit="1" customWidth="1" max="11" min="11" width="11.140625"/>
  </cols>
  <sheetData>
    <row r="2">
      <c r="B2" s="5" t="inlineStr">
        <is>
          <t>WESTSIM ENGINEERING, INC 2016</t>
        </is>
      </c>
      <c r="C2" s="5" t="n"/>
      <c r="D2" s="5" t="n"/>
    </row>
    <row r="4">
      <c r="B4" s="5" t="inlineStr">
        <is>
          <t>April</t>
        </is>
      </c>
      <c r="C4" s="5" t="inlineStr">
        <is>
          <t>May</t>
        </is>
      </c>
      <c r="D4" s="5" t="inlineStr">
        <is>
          <t>June</t>
        </is>
      </c>
      <c r="E4" s="5" t="inlineStr">
        <is>
          <t>July</t>
        </is>
      </c>
      <c r="F4" s="5" t="inlineStr">
        <is>
          <t>Aug</t>
        </is>
      </c>
      <c r="G4" s="5" t="inlineStr">
        <is>
          <t>Sept</t>
        </is>
      </c>
      <c r="H4" s="5" t="inlineStr">
        <is>
          <t>Oct</t>
        </is>
      </c>
      <c r="I4" s="5" t="inlineStr">
        <is>
          <t>Nov</t>
        </is>
      </c>
      <c r="J4" s="5" t="inlineStr">
        <is>
          <t>Dec</t>
        </is>
      </c>
    </row>
    <row r="5">
      <c r="A5" t="inlineStr">
        <is>
          <t>Loan to Corp</t>
        </is>
      </c>
      <c r="D5" s="230" t="n">
        <v>1000</v>
      </c>
      <c r="E5" s="230" t="n"/>
      <c r="F5" s="230" t="n">
        <v>31000</v>
      </c>
      <c r="G5" s="230" t="n"/>
      <c r="H5" s="230" t="n"/>
      <c r="I5" s="230" t="n"/>
      <c r="J5" s="230" t="n"/>
      <c r="K5" s="230">
        <f>SUM(B5:F5)</f>
        <v/>
      </c>
    </row>
    <row r="6">
      <c r="A6" t="inlineStr">
        <is>
          <t>Borrowed</t>
        </is>
      </c>
      <c r="D6" s="230" t="n"/>
      <c r="E6" s="230" t="n">
        <v>600</v>
      </c>
      <c r="F6" s="230" t="n"/>
      <c r="G6" s="230" t="n">
        <v>700</v>
      </c>
      <c r="H6" s="230" t="n">
        <v>3000</v>
      </c>
      <c r="I6" s="230" t="n"/>
      <c r="J6" s="230" t="n"/>
      <c r="K6" s="230">
        <f>SUM(B6:J6)</f>
        <v/>
      </c>
    </row>
    <row r="7">
      <c r="K7" s="233">
        <f>K5-K6</f>
        <v/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H37"/>
  <sheetViews>
    <sheetView workbookViewId="0">
      <selection activeCell="A1" sqref="A1"/>
    </sheetView>
  </sheetViews>
  <sheetFormatPr baseColWidth="8" defaultRowHeight="15" outlineLevelCol="0"/>
  <cols>
    <col customWidth="1" max="4" min="4" width="12.7109375"/>
    <col customWidth="1" max="6" min="6" width="9"/>
    <col customWidth="1" max="7" min="7" width="14.140625"/>
    <col customWidth="1" max="8" min="8" width="7.7109375"/>
  </cols>
  <sheetData>
    <row r="2">
      <c r="A2" s="23" t="inlineStr">
        <is>
          <t>Descrip</t>
        </is>
      </c>
      <c r="B2" s="23" t="inlineStr">
        <is>
          <t>Qty</t>
        </is>
      </c>
      <c r="C2" s="23" t="inlineStr">
        <is>
          <t>Vendor</t>
        </is>
      </c>
      <c r="D2" s="23" t="inlineStr">
        <is>
          <t>Award</t>
        </is>
      </c>
      <c r="E2" s="23" t="inlineStr">
        <is>
          <t>Delivery</t>
        </is>
      </c>
      <c r="F2" s="23" t="inlineStr">
        <is>
          <t>Amount</t>
        </is>
      </c>
      <c r="G2" s="23" t="inlineStr">
        <is>
          <t>PO Amount</t>
        </is>
      </c>
      <c r="H2" s="23" t="inlineStr">
        <is>
          <t>Gross</t>
        </is>
      </c>
    </row>
    <row r="3">
      <c r="A3" s="18" t="inlineStr">
        <is>
          <t>ANTENNA</t>
        </is>
      </c>
      <c r="B3" s="18" t="n">
        <v>7</v>
      </c>
      <c r="C3" s="24" t="inlineStr">
        <is>
          <t>TSE</t>
        </is>
      </c>
      <c r="D3" s="25" t="n">
        <v>42585</v>
      </c>
      <c r="E3" s="25" t="n"/>
      <c r="F3" s="278" t="n">
        <v>29253.21</v>
      </c>
      <c r="G3" s="278" t="n">
        <v>29225</v>
      </c>
      <c r="H3" s="278">
        <f>F3-G3</f>
        <v/>
      </c>
    </row>
    <row r="4">
      <c r="A4" s="18" t="inlineStr">
        <is>
          <t>Restricter</t>
        </is>
      </c>
      <c r="B4" s="18" t="n">
        <v>19</v>
      </c>
      <c r="C4" s="24" t="inlineStr">
        <is>
          <t>The LEE</t>
        </is>
      </c>
      <c r="D4" s="25" t="n">
        <v>42619</v>
      </c>
      <c r="E4" s="25" t="n"/>
      <c r="F4" s="279" t="n">
        <v>59722.89</v>
      </c>
      <c r="G4" s="280" t="n">
        <v>59299.87</v>
      </c>
      <c r="H4" s="278">
        <f>F4-G4</f>
        <v/>
      </c>
    </row>
    <row r="5">
      <c r="A5" s="18" t="inlineStr">
        <is>
          <t>ANTENNA</t>
        </is>
      </c>
      <c r="B5" s="18" t="n">
        <v>4</v>
      </c>
      <c r="C5" s="24" t="inlineStr">
        <is>
          <t>TSE</t>
        </is>
      </c>
      <c r="D5" s="25" t="n">
        <v>42646</v>
      </c>
      <c r="E5" s="25" t="n"/>
      <c r="F5" s="278" t="n">
        <v>16952</v>
      </c>
      <c r="G5" s="278" t="n">
        <v>16700</v>
      </c>
      <c r="H5" s="278">
        <f>F5-G5</f>
        <v/>
      </c>
    </row>
    <row r="6">
      <c r="A6" s="18" t="inlineStr">
        <is>
          <t>Delay</t>
        </is>
      </c>
      <c r="B6" s="18" t="n">
        <v>25</v>
      </c>
      <c r="C6" s="24" t="inlineStr">
        <is>
          <t>DataDelay</t>
        </is>
      </c>
      <c r="D6" s="25" t="n">
        <v>42656</v>
      </c>
      <c r="E6" s="25" t="n"/>
      <c r="F6" s="279" t="n">
        <v>4019.25</v>
      </c>
      <c r="G6" s="278" t="n">
        <v>3950</v>
      </c>
      <c r="H6" s="278">
        <f>F6-G6</f>
        <v/>
      </c>
    </row>
    <row r="7">
      <c r="A7" s="18" t="inlineStr">
        <is>
          <t>Switches</t>
        </is>
      </c>
      <c r="B7" s="18" t="n">
        <v>41</v>
      </c>
      <c r="C7" s="24" t="inlineStr">
        <is>
          <t>CPI</t>
        </is>
      </c>
      <c r="D7" s="25" t="n">
        <v>42654</v>
      </c>
      <c r="E7" s="25" t="n"/>
      <c r="F7" s="279" t="n">
        <v>15748.51</v>
      </c>
      <c r="G7" s="278" t="n">
        <v>15251.52</v>
      </c>
      <c r="H7" s="278">
        <f>F7-G7</f>
        <v/>
      </c>
    </row>
    <row r="8">
      <c r="A8" s="18" t="inlineStr">
        <is>
          <t>DIAL</t>
        </is>
      </c>
      <c r="B8" s="18" t="n"/>
      <c r="C8" s="24" t="inlineStr">
        <is>
          <t>Ahler</t>
        </is>
      </c>
      <c r="D8" s="25" t="n">
        <v>42664</v>
      </c>
      <c r="E8" s="25" t="n"/>
      <c r="F8" s="279" t="n">
        <v>4547.36</v>
      </c>
      <c r="G8" s="278" t="n">
        <v>4479.2</v>
      </c>
      <c r="H8" s="278">
        <f>F8-G8</f>
        <v/>
      </c>
    </row>
    <row r="9">
      <c r="A9" s="18" t="inlineStr">
        <is>
          <t>Switches</t>
        </is>
      </c>
      <c r="B9" s="18" t="n">
        <v>4</v>
      </c>
      <c r="C9" s="24" t="inlineStr">
        <is>
          <t>Keysight</t>
        </is>
      </c>
      <c r="D9" s="25" t="n">
        <v>42684</v>
      </c>
      <c r="E9" s="25" t="n"/>
      <c r="F9" s="279" t="n">
        <v>8595.08</v>
      </c>
      <c r="G9" s="278" t="n">
        <v>8144</v>
      </c>
      <c r="H9" s="278">
        <f>F9-G9</f>
        <v/>
      </c>
    </row>
    <row r="10">
      <c r="A10" s="18" t="inlineStr">
        <is>
          <t>Lamps</t>
        </is>
      </c>
      <c r="B10" s="18" t="n">
        <v>100</v>
      </c>
      <c r="C10" s="24" t="inlineStr">
        <is>
          <t>Lum</t>
        </is>
      </c>
      <c r="D10" s="25" t="n">
        <v>42704</v>
      </c>
      <c r="E10" s="25" t="n"/>
      <c r="F10" s="279" t="n">
        <v>4337</v>
      </c>
      <c r="G10" s="278" t="n">
        <v>4239</v>
      </c>
      <c r="H10" s="278">
        <f>F10-G10</f>
        <v/>
      </c>
    </row>
    <row r="11">
      <c r="A11" s="18" t="inlineStr">
        <is>
          <t>Backshell</t>
        </is>
      </c>
      <c r="B11" s="18" t="n">
        <v>388</v>
      </c>
      <c r="C11" s="24" t="inlineStr">
        <is>
          <t>DIT-MCO</t>
        </is>
      </c>
      <c r="D11" s="25" t="n">
        <v>42711</v>
      </c>
      <c r="E11" s="25" t="n"/>
      <c r="F11" s="279" t="n">
        <v>5505.72</v>
      </c>
      <c r="G11" s="278" t="n">
        <v>5432</v>
      </c>
      <c r="H11" s="278">
        <f>F11-G11</f>
        <v/>
      </c>
    </row>
    <row r="12">
      <c r="A12" s="18" t="inlineStr">
        <is>
          <t>Valves</t>
        </is>
      </c>
      <c r="B12" s="18" t="n">
        <v>13</v>
      </c>
      <c r="C12" s="24" t="inlineStr">
        <is>
          <t>The LEE</t>
        </is>
      </c>
      <c r="D12" s="25" t="n">
        <v>42720</v>
      </c>
      <c r="E12" s="25" t="n"/>
      <c r="F12" s="279" t="n">
        <v>0</v>
      </c>
      <c r="G12" s="281" t="n">
        <v>0</v>
      </c>
      <c r="H12" s="278" t="n">
        <v>0</v>
      </c>
    </row>
    <row r="13">
      <c r="A13" s="18" t="inlineStr">
        <is>
          <t>Switches</t>
        </is>
      </c>
      <c r="B13" s="18" t="n">
        <v>100</v>
      </c>
      <c r="C13" s="24" t="inlineStr">
        <is>
          <t>CTC</t>
        </is>
      </c>
      <c r="D13" s="25" t="n">
        <v>42727</v>
      </c>
      <c r="E13" s="25" t="inlineStr">
        <is>
          <t>90 days</t>
        </is>
      </c>
      <c r="F13" s="281" t="n">
        <v>2117</v>
      </c>
      <c r="G13" s="281" t="n">
        <v>2021.8</v>
      </c>
      <c r="H13" s="278">
        <f>F13-G13</f>
        <v/>
      </c>
    </row>
    <row r="14">
      <c r="A14" s="18" t="inlineStr">
        <is>
          <t>Switch Flow</t>
        </is>
      </c>
      <c r="B14" s="18" t="n">
        <v>6</v>
      </c>
      <c r="C14" s="24" t="inlineStr">
        <is>
          <t>GEMS</t>
        </is>
      </c>
      <c r="D14" s="25" t="n">
        <v>42734</v>
      </c>
      <c r="E14" s="18" t="inlineStr">
        <is>
          <t>120 Days</t>
        </is>
      </c>
      <c r="F14" s="279" t="n">
        <v>5532.66</v>
      </c>
      <c r="G14" s="281" t="n">
        <v>5445.26</v>
      </c>
      <c r="H14" s="278">
        <f>F14-G14</f>
        <v/>
      </c>
    </row>
    <row r="15">
      <c r="A15" s="18" t="inlineStr">
        <is>
          <t>Cover Kit</t>
        </is>
      </c>
      <c r="B15" s="18" t="n">
        <v>26</v>
      </c>
      <c r="C15" s="24" t="inlineStr">
        <is>
          <t>DOUGLAS AUTOTECH</t>
        </is>
      </c>
      <c r="D15" s="25" t="n">
        <v>42734</v>
      </c>
      <c r="E15" s="18" t="inlineStr">
        <is>
          <t>60days</t>
        </is>
      </c>
      <c r="F15" s="279" t="n">
        <v>1270.62</v>
      </c>
      <c r="G15" s="281" t="n">
        <v>1225.9</v>
      </c>
      <c r="H15" s="278">
        <f>F15-G15</f>
        <v/>
      </c>
    </row>
    <row r="16">
      <c r="A16" s="23" t="inlineStr">
        <is>
          <t>2016 Total</t>
        </is>
      </c>
      <c r="B16" s="18" t="n"/>
      <c r="C16" s="24" t="n"/>
      <c r="D16" s="25" t="n"/>
      <c r="E16" s="18" t="n"/>
      <c r="F16" s="282">
        <f>SUM(F3:F15)</f>
        <v/>
      </c>
      <c r="G16" s="282">
        <f>SUM(G3:G15)</f>
        <v/>
      </c>
      <c r="H16" s="280">
        <f>SUM(H3:H15)</f>
        <v/>
      </c>
    </row>
    <row r="17">
      <c r="A17" s="18" t="inlineStr">
        <is>
          <t>CYLINDER</t>
        </is>
      </c>
      <c r="B17" s="18" t="n">
        <v>2</v>
      </c>
      <c r="C17" s="26" t="inlineStr">
        <is>
          <t>HYSTAT SYSTEMS</t>
        </is>
      </c>
      <c r="D17" s="25" t="n">
        <v>42744</v>
      </c>
      <c r="E17" s="18" t="inlineStr">
        <is>
          <t>100  Days</t>
        </is>
      </c>
      <c r="F17" s="279" t="n">
        <v>7555.12</v>
      </c>
      <c r="G17" s="281" t="n">
        <v>6329.83</v>
      </c>
      <c r="H17" s="278">
        <f>F17-G17</f>
        <v/>
      </c>
    </row>
    <row r="18">
      <c r="A18" s="18" t="inlineStr">
        <is>
          <t>Backshell</t>
        </is>
      </c>
      <c r="B18" s="18" t="n">
        <v>77</v>
      </c>
      <c r="C18" s="24" t="inlineStr">
        <is>
          <t>Glenair</t>
        </is>
      </c>
      <c r="D18" s="25" t="n">
        <v>42760</v>
      </c>
      <c r="E18" s="18" t="n">
        <v>30</v>
      </c>
      <c r="F18" s="279" t="n">
        <v>6678.21</v>
      </c>
      <c r="G18" s="281" t="n">
        <v>6615.07</v>
      </c>
      <c r="H18" s="278">
        <f>F18-G18</f>
        <v/>
      </c>
    </row>
    <row r="19">
      <c r="A19" s="18" t="inlineStr">
        <is>
          <t>Switch Flow</t>
        </is>
      </c>
      <c r="B19" s="18" t="n">
        <v>14</v>
      </c>
      <c r="C19" s="24" t="inlineStr">
        <is>
          <t>GEMS</t>
        </is>
      </c>
      <c r="D19" s="25" t="n">
        <v>42768</v>
      </c>
      <c r="E19" s="18" t="n">
        <v>100</v>
      </c>
      <c r="F19" s="279" t="n">
        <v>12808.18</v>
      </c>
      <c r="G19" s="281" t="n">
        <v>12696.82</v>
      </c>
      <c r="H19" s="278">
        <f>F19-G19</f>
        <v/>
      </c>
    </row>
    <row r="20">
      <c r="A20" s="18" t="inlineStr">
        <is>
          <t>RELAY-SWITCH</t>
        </is>
      </c>
      <c r="B20" s="18" t="n">
        <v>2</v>
      </c>
      <c r="C20" s="24" t="inlineStr">
        <is>
          <t>LEACH</t>
        </is>
      </c>
      <c r="D20" s="25" t="n">
        <v>42778</v>
      </c>
      <c r="E20" s="18" t="n">
        <v>40</v>
      </c>
      <c r="F20" s="278" t="n">
        <v>2286</v>
      </c>
      <c r="G20" s="281" t="n">
        <v>2200</v>
      </c>
      <c r="H20" s="278">
        <f>F20-G20</f>
        <v/>
      </c>
    </row>
    <row r="21">
      <c r="A21" s="18" t="inlineStr">
        <is>
          <t>Valves</t>
        </is>
      </c>
      <c r="B21" s="18" t="n">
        <v>1</v>
      </c>
      <c r="C21" s="18" t="inlineStr">
        <is>
          <t>PBM</t>
        </is>
      </c>
      <c r="D21" s="25" t="n">
        <v>42797</v>
      </c>
      <c r="E21" s="18" t="n">
        <v>100</v>
      </c>
      <c r="F21" s="279" t="n">
        <v>13033.44</v>
      </c>
      <c r="G21" s="281" t="n">
        <v>12668</v>
      </c>
      <c r="H21" s="278">
        <f>F21-G21</f>
        <v/>
      </c>
    </row>
    <row r="22">
      <c r="A22" s="18" t="inlineStr">
        <is>
          <t>Switch Flow</t>
        </is>
      </c>
      <c r="B22" s="18" t="n">
        <v>8</v>
      </c>
      <c r="C22" s="24" t="inlineStr">
        <is>
          <t>GEMS</t>
        </is>
      </c>
      <c r="D22" s="25" t="n">
        <v>42798</v>
      </c>
      <c r="E22" s="18" t="n">
        <v>60</v>
      </c>
      <c r="F22" s="279" t="n">
        <v>2834.32</v>
      </c>
      <c r="G22" s="281" t="n">
        <v>2766</v>
      </c>
      <c r="H22" s="278">
        <f>F22-G22</f>
        <v/>
      </c>
    </row>
    <row r="23">
      <c r="A23" s="18" t="inlineStr">
        <is>
          <t>Cable Assy</t>
        </is>
      </c>
      <c r="B23" s="18" t="n">
        <v>16</v>
      </c>
      <c r="C23" s="18" t="inlineStr">
        <is>
          <t>Connectronics</t>
        </is>
      </c>
      <c r="D23" s="25" t="n">
        <v>42801</v>
      </c>
      <c r="E23" s="18" t="n">
        <v>190</v>
      </c>
      <c r="F23" s="279" t="n">
        <v>17787.68</v>
      </c>
      <c r="G23" s="281" t="n">
        <v>17594</v>
      </c>
      <c r="H23" s="278">
        <f>F23-G23</f>
        <v/>
      </c>
    </row>
    <row r="24">
      <c r="A24" s="18" t="inlineStr">
        <is>
          <t>Switch Flow</t>
        </is>
      </c>
      <c r="B24" s="18" t="n">
        <v>6</v>
      </c>
      <c r="C24" s="18" t="inlineStr">
        <is>
          <t>GEMS</t>
        </is>
      </c>
      <c r="D24" s="25" t="n">
        <v>42801</v>
      </c>
      <c r="E24" s="18" t="n">
        <v>120</v>
      </c>
      <c r="F24" s="279" t="n">
        <v>4300.68</v>
      </c>
      <c r="G24" s="281" t="n">
        <v>4230</v>
      </c>
      <c r="H24" s="278">
        <f>F24-G24</f>
        <v/>
      </c>
    </row>
    <row r="25">
      <c r="A25" s="18" t="inlineStr">
        <is>
          <t>Gear SET</t>
        </is>
      </c>
      <c r="B25" s="18" t="n">
        <v>4</v>
      </c>
      <c r="C25" s="18" t="inlineStr">
        <is>
          <t>Munters</t>
        </is>
      </c>
      <c r="D25" s="25" t="n">
        <v>42803</v>
      </c>
      <c r="E25" s="18" t="n">
        <v>90</v>
      </c>
      <c r="F25" s="278" t="n">
        <v>9393.559999999999</v>
      </c>
      <c r="G25" s="281" t="n">
        <v>9268</v>
      </c>
      <c r="H25" s="278">
        <f>F25-G25</f>
        <v/>
      </c>
    </row>
    <row r="26">
      <c r="A26" s="18" t="inlineStr">
        <is>
          <t>Washer</t>
        </is>
      </c>
      <c r="B26" s="18" t="n">
        <v>3</v>
      </c>
      <c r="C26" s="18" t="inlineStr">
        <is>
          <t>East/West</t>
        </is>
      </c>
      <c r="D26" s="25" t="n">
        <v>42814</v>
      </c>
      <c r="E26" s="18" t="n">
        <v>90</v>
      </c>
      <c r="F26" s="281" t="n">
        <v>813</v>
      </c>
      <c r="G26" s="281" t="n">
        <v>792</v>
      </c>
      <c r="H26" s="281">
        <f>F26-G26</f>
        <v/>
      </c>
    </row>
    <row r="27">
      <c r="A27" s="18" t="inlineStr">
        <is>
          <t>Mod kit</t>
        </is>
      </c>
      <c r="B27" s="18" t="n">
        <v>6</v>
      </c>
      <c r="C27" s="18" t="inlineStr">
        <is>
          <t>DOUGLAS AUTOTECH</t>
        </is>
      </c>
      <c r="D27" s="25" t="n">
        <v>42817</v>
      </c>
      <c r="E27" s="18" t="n">
        <v>60</v>
      </c>
      <c r="F27" s="279" t="n">
        <v>408</v>
      </c>
      <c r="G27" s="281" t="n">
        <v>369.96</v>
      </c>
      <c r="H27" s="281">
        <f>F27-G27</f>
        <v/>
      </c>
    </row>
    <row r="28">
      <c r="A28" s="18" t="inlineStr">
        <is>
          <t>Valves</t>
        </is>
      </c>
      <c r="B28" s="18" t="n">
        <v>6</v>
      </c>
      <c r="C28" s="18" t="inlineStr">
        <is>
          <t>ALLEN</t>
        </is>
      </c>
      <c r="D28" s="25" t="n">
        <v>42824</v>
      </c>
      <c r="E28" s="18" t="n">
        <v>240</v>
      </c>
      <c r="F28" s="279" t="n">
        <v>3192</v>
      </c>
      <c r="G28" s="281" t="n">
        <v>3100</v>
      </c>
      <c r="H28" s="281">
        <f>F28-G28</f>
        <v/>
      </c>
    </row>
    <row r="29">
      <c r="A29" s="18" t="inlineStr">
        <is>
          <t>VALVE,BALL</t>
        </is>
      </c>
      <c r="B29" s="18" t="n">
        <v>6</v>
      </c>
      <c r="C29" s="18" t="inlineStr">
        <is>
          <t>ALLEN</t>
        </is>
      </c>
      <c r="D29" s="25" t="n">
        <v>42829</v>
      </c>
      <c r="E29" s="18" t="n">
        <v>240</v>
      </c>
      <c r="F29" s="279" t="n">
        <v>8053.26</v>
      </c>
      <c r="G29" s="281" t="n">
        <v>7976.16</v>
      </c>
      <c r="H29" s="281">
        <f>F29-G29</f>
        <v/>
      </c>
    </row>
    <row r="30">
      <c r="A30" s="18" t="inlineStr">
        <is>
          <t>Connecting Link</t>
        </is>
      </c>
      <c r="B30" s="18" t="n">
        <v>1</v>
      </c>
      <c r="C30" s="18" t="inlineStr">
        <is>
          <t>East/West</t>
        </is>
      </c>
      <c r="D30" s="25" t="n">
        <v>42832</v>
      </c>
      <c r="E30" s="18" t="n">
        <v>200</v>
      </c>
      <c r="F30" s="279" t="n">
        <v>1111.77</v>
      </c>
      <c r="G30" s="281" t="n">
        <v>1085.5</v>
      </c>
      <c r="H30" s="281">
        <f>F30-G30</f>
        <v/>
      </c>
    </row>
    <row r="31">
      <c r="A31" s="18" t="inlineStr">
        <is>
          <t>VALVE</t>
        </is>
      </c>
      <c r="B31" s="18" t="n">
        <v>1</v>
      </c>
      <c r="C31" s="18" t="inlineStr">
        <is>
          <t>PBM</t>
        </is>
      </c>
      <c r="D31" s="25" t="n">
        <v>42836</v>
      </c>
      <c r="E31" s="18" t="n">
        <v>110</v>
      </c>
      <c r="F31" s="279" t="n">
        <v>3497</v>
      </c>
      <c r="G31" s="281" t="n">
        <v>3448</v>
      </c>
      <c r="H31" s="281">
        <f>F31-G31</f>
        <v/>
      </c>
    </row>
    <row r="32">
      <c r="A32" s="18" t="inlineStr">
        <is>
          <t>Actutor</t>
        </is>
      </c>
      <c r="B32" s="18" t="n">
        <v>1</v>
      </c>
      <c r="C32" s="18" t="inlineStr">
        <is>
          <t>DOUGLAS AUTOTECH</t>
        </is>
      </c>
      <c r="D32" s="25" t="n">
        <v>42836</v>
      </c>
      <c r="E32" s="18" t="n">
        <v>80</v>
      </c>
      <c r="F32" s="279" t="n">
        <v>599.84</v>
      </c>
      <c r="G32" s="281" t="n">
        <v>562.84</v>
      </c>
      <c r="H32" s="281">
        <f>F32-G32</f>
        <v/>
      </c>
    </row>
    <row r="33">
      <c r="A33" s="18" t="inlineStr">
        <is>
          <t>BOSS MOUNTING</t>
        </is>
      </c>
      <c r="B33" s="18" t="n">
        <v>24</v>
      </c>
      <c r="C33" s="27" t="inlineStr">
        <is>
          <t>East/West</t>
        </is>
      </c>
      <c r="D33" s="25" t="n">
        <v>42837</v>
      </c>
      <c r="E33" s="18" t="n">
        <v>210</v>
      </c>
      <c r="F33" s="278" t="n">
        <v>6386.64</v>
      </c>
      <c r="G33" s="281" t="n">
        <v>6286.8</v>
      </c>
      <c r="H33" s="281">
        <f>F33-G33</f>
        <v/>
      </c>
    </row>
    <row r="34">
      <c r="A34" s="18" t="inlineStr">
        <is>
          <t>VALVE</t>
        </is>
      </c>
      <c r="B34" s="18" t="n">
        <v>4</v>
      </c>
      <c r="C34" s="18" t="inlineStr">
        <is>
          <t>PBM</t>
        </is>
      </c>
      <c r="D34" s="25" t="n">
        <v>42842</v>
      </c>
      <c r="E34" s="18" t="n">
        <v>120</v>
      </c>
      <c r="F34" s="279" t="n">
        <v>18328</v>
      </c>
      <c r="G34" s="281" t="n">
        <v>17712</v>
      </c>
      <c r="H34" s="281">
        <f>F34-G34</f>
        <v/>
      </c>
    </row>
    <row r="35">
      <c r="A35" s="18" t="inlineStr">
        <is>
          <t>VALVE</t>
        </is>
      </c>
      <c r="B35" s="18" t="n">
        <v>8</v>
      </c>
      <c r="C35" s="18" t="inlineStr">
        <is>
          <t>PBM</t>
        </is>
      </c>
      <c r="D35" s="25" t="n">
        <v>42843</v>
      </c>
      <c r="E35" s="18" t="n">
        <v>120</v>
      </c>
      <c r="F35" s="279" t="n">
        <v>4686.24</v>
      </c>
      <c r="G35" s="281" t="n">
        <v>4592</v>
      </c>
      <c r="H35" s="281">
        <f>F35-G35</f>
        <v/>
      </c>
    </row>
    <row r="36">
      <c r="A36" s="18" t="inlineStr">
        <is>
          <t>ROD</t>
        </is>
      </c>
      <c r="B36" s="18" t="n">
        <v>3</v>
      </c>
      <c r="C36" s="18" t="inlineStr">
        <is>
          <t>East/West</t>
        </is>
      </c>
      <c r="D36" s="25" t="n">
        <v>42850</v>
      </c>
      <c r="E36" s="18" t="n">
        <v>100</v>
      </c>
      <c r="F36" s="279" t="n">
        <v>1517.31</v>
      </c>
      <c r="G36" s="281" t="n">
        <v>1477.5</v>
      </c>
      <c r="H36" s="281">
        <f>F36-G36</f>
        <v/>
      </c>
    </row>
    <row r="37">
      <c r="A37" s="23" t="inlineStr">
        <is>
          <t>2017 Total</t>
        </is>
      </c>
      <c r="B37" s="18" t="n"/>
      <c r="C37" s="18" t="n"/>
      <c r="D37" s="18" t="n"/>
      <c r="E37" s="18" t="n"/>
      <c r="F37" s="279">
        <f>SUM(F17:F36)</f>
        <v/>
      </c>
      <c r="G37" s="281">
        <f>SUM(G17:G36)</f>
        <v/>
      </c>
      <c r="H37" s="281">
        <f>SUM(H17:H36)</f>
        <v/>
      </c>
    </row>
  </sheetData>
  <printOptions headings="1"/>
  <pageMargins bottom="0.75" footer="0.3" header="0.3" left="0.7" right="0.7" top="0.75"/>
  <pageSetup blackAndWhite="1" horizontalDpi="203" orientation="landscape" verticalDpi="20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2:I10"/>
  <sheetViews>
    <sheetView workbookViewId="0">
      <selection activeCell="A1" sqref="A1"/>
    </sheetView>
  </sheetViews>
  <sheetFormatPr baseColWidth="8" defaultRowHeight="15" outlineLevelCol="0"/>
  <cols>
    <col customWidth="1" max="2" min="2" width="10.85546875"/>
    <col customWidth="1" max="3" min="3" width="3.7109375"/>
    <col customWidth="1" max="5" min="5" width="10.85546875"/>
    <col customWidth="1" max="6" min="6" width="11"/>
    <col customWidth="1" max="7" min="7" width="10.85546875"/>
    <col customWidth="1" max="8" min="8" width="11.7109375"/>
    <col customWidth="1" max="9" min="9" width="12.7109375"/>
  </cols>
  <sheetData>
    <row r="2">
      <c r="B2" s="5" t="inlineStr">
        <is>
          <t>WESTSIM ENGINEERING, INC</t>
        </is>
      </c>
      <c r="C2" s="5" t="n"/>
      <c r="D2" s="5" t="n"/>
    </row>
    <row r="3">
      <c r="A3" s="5" t="inlineStr">
        <is>
          <t>NO</t>
        </is>
      </c>
      <c r="B3" s="5" t="inlineStr">
        <is>
          <t>Descrip</t>
        </is>
      </c>
      <c r="C3" s="5" t="inlineStr">
        <is>
          <t>Qty</t>
        </is>
      </c>
      <c r="D3" s="5" t="inlineStr">
        <is>
          <t>Vendor</t>
        </is>
      </c>
      <c r="E3" s="5" t="inlineStr">
        <is>
          <t>Award</t>
        </is>
      </c>
      <c r="F3" s="5" t="inlineStr">
        <is>
          <t>Delivery</t>
        </is>
      </c>
      <c r="G3" s="5" t="inlineStr">
        <is>
          <t>Amount</t>
        </is>
      </c>
      <c r="H3" s="5" t="inlineStr">
        <is>
          <t>PO Amount</t>
        </is>
      </c>
      <c r="I3" s="5" t="inlineStr">
        <is>
          <t>Gross</t>
        </is>
      </c>
    </row>
    <row r="4">
      <c r="A4" t="n">
        <v>1</v>
      </c>
      <c r="B4" t="inlineStr">
        <is>
          <t>Valves</t>
        </is>
      </c>
      <c r="C4" t="n">
        <v>71</v>
      </c>
      <c r="D4" t="inlineStr">
        <is>
          <t>IR</t>
        </is>
      </c>
      <c r="E4" s="4" t="n">
        <v>42614</v>
      </c>
      <c r="F4" s="4" t="n">
        <v>42667</v>
      </c>
      <c r="G4" s="230" t="n">
        <v>13487.16</v>
      </c>
      <c r="H4" s="230">
        <f>12652.2+M4</f>
        <v/>
      </c>
      <c r="I4" s="230">
        <f>G4-H4</f>
        <v/>
      </c>
    </row>
    <row r="5">
      <c r="A5" t="n">
        <v>2</v>
      </c>
      <c r="B5" t="inlineStr">
        <is>
          <t>Transducer</t>
        </is>
      </c>
      <c r="C5" t="n">
        <v>22</v>
      </c>
      <c r="D5" t="inlineStr">
        <is>
          <t>Seimens</t>
        </is>
      </c>
      <c r="E5" s="4" t="n">
        <v>42641</v>
      </c>
      <c r="F5" s="4" t="n">
        <v>42709</v>
      </c>
      <c r="G5" s="232" t="n">
        <v>42738</v>
      </c>
      <c r="H5" s="230" t="n">
        <v>40372</v>
      </c>
      <c r="I5" s="230">
        <f>G5-H5</f>
        <v/>
      </c>
    </row>
    <row r="6">
      <c r="A6" t="n">
        <v>3</v>
      </c>
      <c r="B6" t="inlineStr">
        <is>
          <t>Flow Meter</t>
        </is>
      </c>
      <c r="C6" t="n">
        <v>2</v>
      </c>
      <c r="D6" t="inlineStr">
        <is>
          <t>Valeport</t>
        </is>
      </c>
      <c r="E6" s="4" t="n">
        <v>42727</v>
      </c>
      <c r="F6" s="4" t="n">
        <v>42759</v>
      </c>
      <c r="G6" s="230" t="n">
        <v>11594</v>
      </c>
      <c r="H6" s="230" t="n">
        <v>10439.56</v>
      </c>
      <c r="I6" s="230">
        <f>G6-H6</f>
        <v/>
      </c>
    </row>
    <row r="7">
      <c r="A7" s="5" t="n"/>
      <c r="B7" s="5" t="inlineStr">
        <is>
          <t>2016 Total</t>
        </is>
      </c>
      <c r="E7" s="4" t="n"/>
      <c r="F7" s="4" t="n"/>
      <c r="G7" s="231">
        <f>SUM(G4:G6)</f>
        <v/>
      </c>
      <c r="H7" s="231">
        <f>SUM(H4:H6)</f>
        <v/>
      </c>
      <c r="I7" s="231">
        <f>SUM(I4:I6)</f>
        <v/>
      </c>
    </row>
    <row r="8">
      <c r="A8" t="n">
        <v>4</v>
      </c>
      <c r="B8" t="inlineStr">
        <is>
          <t>AIS</t>
        </is>
      </c>
      <c r="C8" t="n">
        <v>4</v>
      </c>
      <c r="D8" t="inlineStr">
        <is>
          <t>JapanRadio</t>
        </is>
      </c>
      <c r="E8" s="4" t="n">
        <v>42793</v>
      </c>
      <c r="F8" s="4" t="n">
        <v>42817</v>
      </c>
      <c r="G8" s="230" t="n">
        <v>10620</v>
      </c>
      <c r="H8" s="233" t="n">
        <v>9724</v>
      </c>
      <c r="I8" s="230">
        <f>G8-H8</f>
        <v/>
      </c>
    </row>
    <row r="9">
      <c r="H9" s="233" t="n"/>
      <c r="I9" s="233" t="n"/>
    </row>
    <row r="10">
      <c r="A10" t="n">
        <v>5</v>
      </c>
      <c r="B10" t="inlineStr">
        <is>
          <t>Eng Services</t>
        </is>
      </c>
      <c r="D10" t="inlineStr">
        <is>
          <t>BOLO3</t>
        </is>
      </c>
      <c r="E10" s="4" t="n">
        <v>42812</v>
      </c>
      <c r="F10" s="4" t="n">
        <v>42845</v>
      </c>
      <c r="G10" s="230" t="n">
        <v>15000</v>
      </c>
      <c r="H10" s="230" t="n">
        <v>15000</v>
      </c>
      <c r="I10" s="230" t="n">
        <v>15000</v>
      </c>
    </row>
  </sheetData>
  <printOptions headings="1"/>
  <pageMargins bottom="0.75" footer="0.3" header="0.3" left="0.7" right="0.7" top="0.75"/>
  <pageSetup blackAndWhite="1" orientation="landscape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4:T282"/>
  <sheetViews>
    <sheetView topLeftCell="B266" workbookViewId="0">
      <selection activeCell="C281" sqref="C281"/>
    </sheetView>
  </sheetViews>
  <sheetFormatPr baseColWidth="8" defaultRowHeight="15" outlineLevelCol="0"/>
  <cols>
    <col customWidth="1" max="2" min="2" width="14.42578125"/>
    <col customWidth="1" max="3" min="3" width="13.28515625"/>
    <col customWidth="1" max="4" min="4" width="12.7109375"/>
    <col bestFit="1" customWidth="1" max="5" min="5" width="11.5703125"/>
    <col bestFit="1" customWidth="1" max="6" min="6" width="12.5703125"/>
    <col customWidth="1" max="7" min="7" width="16"/>
    <col bestFit="1" customWidth="1" max="10" min="8" width="11.5703125"/>
    <col customWidth="1" max="11" min="11" width="12.85546875"/>
    <col customWidth="1" max="12" min="12" width="12.7109375"/>
    <col bestFit="1" customWidth="1" max="13" min="13" width="11.5703125"/>
    <col customWidth="1" max="14" min="14" width="11.28515625"/>
    <col customWidth="1" max="15" min="15" width="14"/>
    <col customWidth="1" max="16" min="16" width="13.85546875"/>
    <col customWidth="1" max="18" min="17" width="12.28515625"/>
    <col bestFit="1" customWidth="1" max="19" min="19" width="11.5703125"/>
    <col customWidth="1" max="20" min="20" width="10.5703125"/>
  </cols>
  <sheetData>
    <row r="4">
      <c r="B4" s="4" t="n">
        <v>43136</v>
      </c>
      <c r="C4" s="4" t="n">
        <v>43137</v>
      </c>
      <c r="E4" s="99" t="n">
        <v>43143</v>
      </c>
    </row>
    <row r="5">
      <c r="A5" t="n">
        <v>30</v>
      </c>
      <c r="B5" t="n">
        <v>946.8</v>
      </c>
      <c r="C5" t="n">
        <v>38</v>
      </c>
      <c r="D5" s="230" t="n">
        <v>4424.76</v>
      </c>
      <c r="E5" t="n">
        <v>1</v>
      </c>
      <c r="F5" s="20" t="n">
        <v>4239.2</v>
      </c>
      <c r="G5" t="n">
        <v>2</v>
      </c>
      <c r="H5" t="n">
        <v>2982.48</v>
      </c>
      <c r="L5" t="n">
        <v>3</v>
      </c>
    </row>
    <row r="6">
      <c r="A6" t="n">
        <v>31</v>
      </c>
      <c r="B6" t="n">
        <v>12183</v>
      </c>
      <c r="C6" t="n">
        <v>41</v>
      </c>
      <c r="D6" s="230" t="n">
        <v>0</v>
      </c>
      <c r="G6" t="n">
        <v>4</v>
      </c>
      <c r="H6" t="n">
        <v>2112.59</v>
      </c>
      <c r="I6">
        <f>+H5+H6</f>
        <v/>
      </c>
    </row>
    <row r="7">
      <c r="A7" t="n">
        <v>32</v>
      </c>
      <c r="B7" t="n">
        <v>2265.48</v>
      </c>
      <c r="C7" t="n">
        <v>42</v>
      </c>
      <c r="D7" s="46" t="n">
        <v>1283.22</v>
      </c>
      <c r="H7" s="20">
        <f>SUM(H5:H6)</f>
        <v/>
      </c>
    </row>
    <row r="8">
      <c r="A8" t="n">
        <v>33</v>
      </c>
      <c r="B8" t="n">
        <v>4327.4</v>
      </c>
      <c r="C8" t="n">
        <v>22</v>
      </c>
      <c r="D8" s="232" t="n">
        <v>942</v>
      </c>
      <c r="G8" t="n">
        <v>3</v>
      </c>
      <c r="H8" s="20" t="n">
        <v>2982.48</v>
      </c>
    </row>
    <row r="9">
      <c r="A9" t="n">
        <v>34</v>
      </c>
      <c r="B9" t="n">
        <v>408.16</v>
      </c>
      <c r="D9" s="238">
        <f>SUM(D5:D8)</f>
        <v/>
      </c>
      <c r="G9" t="n">
        <v>8</v>
      </c>
      <c r="H9" s="20" t="n">
        <v>859.41</v>
      </c>
    </row>
    <row r="10">
      <c r="A10" t="n">
        <v>35</v>
      </c>
      <c r="B10" t="n">
        <v>842.4400000000001</v>
      </c>
      <c r="G10" t="inlineStr">
        <is>
          <t>ja021</t>
        </is>
      </c>
      <c r="H10" s="20" t="n">
        <v>593.16</v>
      </c>
    </row>
    <row r="11">
      <c r="A11" t="n">
        <v>36</v>
      </c>
      <c r="B11" t="n">
        <v>2351.58</v>
      </c>
      <c r="H11" s="20">
        <f>SUM(H8:H10)</f>
        <v/>
      </c>
    </row>
    <row r="12">
      <c r="A12" t="n">
        <v>37</v>
      </c>
      <c r="B12" t="n">
        <v>6376.02</v>
      </c>
      <c r="O12" s="129" t="n">
        <v>-891.38</v>
      </c>
      <c r="P12" s="128" t="inlineStr">
        <is>
          <t>WSMRI011</t>
        </is>
      </c>
    </row>
    <row r="13">
      <c r="A13" t="n">
        <v>40</v>
      </c>
      <c r="B13" t="n">
        <v>2688.16</v>
      </c>
      <c r="O13" s="129" t="n">
        <v>-1187.97</v>
      </c>
      <c r="P13" s="128" t="inlineStr">
        <is>
          <t>WSMRI020</t>
        </is>
      </c>
    </row>
    <row r="14">
      <c r="B14" s="20">
        <f>SUM(B5:B13)</f>
        <v/>
      </c>
      <c r="O14" s="129" t="n">
        <v>-4067.84</v>
      </c>
      <c r="P14" s="128" t="inlineStr">
        <is>
          <t>WSMRI018</t>
        </is>
      </c>
    </row>
    <row r="15">
      <c r="S15" s="118" t="inlineStr">
        <is>
          <t>WSMRI012</t>
        </is>
      </c>
      <c r="T15" s="232" t="n">
        <v>1524.4</v>
      </c>
    </row>
    <row r="16">
      <c r="B16" s="116" t="n">
        <v>43151</v>
      </c>
      <c r="D16" s="99" t="n">
        <v>43152</v>
      </c>
      <c r="F16" s="99" t="n">
        <v>43153</v>
      </c>
      <c r="H16" s="4" t="n">
        <v>43164</v>
      </c>
      <c r="J16" s="4" t="n">
        <v>43165</v>
      </c>
      <c r="L16" s="4" t="n">
        <v>43166</v>
      </c>
      <c r="M16" s="4" t="n">
        <v>43180</v>
      </c>
      <c r="P16" s="119" t="n">
        <v>43181</v>
      </c>
      <c r="Q16" s="51" t="n"/>
      <c r="R16" s="51" t="n"/>
      <c r="S16" s="118" t="n"/>
    </row>
    <row r="17">
      <c r="A17" t="n">
        <v>7</v>
      </c>
      <c r="B17" s="230" t="n">
        <v>543.04</v>
      </c>
      <c r="C17" t="n">
        <v>17</v>
      </c>
      <c r="D17" s="236" t="n">
        <v>11058.5</v>
      </c>
      <c r="F17" s="20" t="n">
        <v>3686.63</v>
      </c>
      <c r="G17" t="n">
        <v>21</v>
      </c>
      <c r="H17" t="n">
        <v>116.48</v>
      </c>
      <c r="I17" t="inlineStr">
        <is>
          <t>FEI030</t>
        </is>
      </c>
      <c r="J17" s="20" t="n">
        <v>5275.76</v>
      </c>
      <c r="K17" t="n">
        <v>31</v>
      </c>
      <c r="L17" s="20" t="n">
        <v>12571.79</v>
      </c>
      <c r="M17" t="inlineStr">
        <is>
          <t>fe19</t>
        </is>
      </c>
      <c r="N17" s="20" t="n">
        <v>298.47</v>
      </c>
      <c r="P17" s="66" t="n">
        <v>6147.19</v>
      </c>
      <c r="Q17" s="51" t="n"/>
      <c r="R17" s="51" t="n"/>
    </row>
    <row r="18">
      <c r="A18" t="n">
        <v>9</v>
      </c>
      <c r="B18" s="230" t="n">
        <v>1994.42</v>
      </c>
      <c r="G18" t="n">
        <v>22</v>
      </c>
      <c r="H18" t="n">
        <v>918.4</v>
      </c>
      <c r="M18" t="inlineStr">
        <is>
          <t>mr03</t>
        </is>
      </c>
      <c r="N18" t="n">
        <v>850.29</v>
      </c>
      <c r="O18" t="inlineStr">
        <is>
          <t>WSMRI018</t>
        </is>
      </c>
      <c r="P18" s="51" t="n">
        <v>4322.08</v>
      </c>
      <c r="Q18" s="51" t="n"/>
      <c r="R18" s="51" t="n"/>
    </row>
    <row r="19">
      <c r="A19" t="n">
        <v>10</v>
      </c>
      <c r="B19" s="230" t="n">
        <v>1994.42</v>
      </c>
      <c r="F19" s="4" t="n">
        <v>43157</v>
      </c>
      <c r="G19" t="n">
        <v>23</v>
      </c>
      <c r="H19" t="n">
        <v>918.4</v>
      </c>
      <c r="L19" s="4" t="n">
        <v>43167</v>
      </c>
      <c r="M19" t="inlineStr">
        <is>
          <t>mr06</t>
        </is>
      </c>
      <c r="N19" t="n">
        <v>2850.32</v>
      </c>
      <c r="O19" s="118" t="inlineStr">
        <is>
          <t>WSMRI011</t>
        </is>
      </c>
      <c r="P19" s="51" t="n">
        <v>891.38</v>
      </c>
      <c r="Q19" s="51" t="inlineStr">
        <is>
          <t>WSMRI020</t>
        </is>
      </c>
      <c r="R19" s="51" t="n">
        <v>1187.97</v>
      </c>
    </row>
    <row r="20">
      <c r="A20" t="n">
        <v>11</v>
      </c>
      <c r="B20" s="230" t="n">
        <v>1994.42</v>
      </c>
      <c r="E20" t="inlineStr">
        <is>
          <t>EI018</t>
        </is>
      </c>
      <c r="F20" s="20" t="n">
        <v>619.97</v>
      </c>
      <c r="G20" t="n">
        <v>24</v>
      </c>
      <c r="H20" t="n">
        <v>185.12</v>
      </c>
      <c r="K20" t="inlineStr">
        <is>
          <t>fe32</t>
        </is>
      </c>
      <c r="L20" s="20" t="n">
        <v>5730.66</v>
      </c>
      <c r="M20" t="inlineStr">
        <is>
          <t>mr07</t>
        </is>
      </c>
      <c r="N20" t="n">
        <v>2831.04</v>
      </c>
      <c r="P20" s="51">
        <f>SUM(P18:P19)</f>
        <v/>
      </c>
      <c r="Q20" s="51">
        <f>+P17-P20</f>
        <v/>
      </c>
      <c r="R20" s="51">
        <f>+P18+R19</f>
        <v/>
      </c>
    </row>
    <row r="21">
      <c r="A21" t="n">
        <v>13</v>
      </c>
      <c r="B21" s="230" t="n">
        <v>390.64</v>
      </c>
      <c r="G21" t="n">
        <v>25</v>
      </c>
      <c r="H21" t="n">
        <v>3788.34</v>
      </c>
      <c r="K21" t="inlineStr">
        <is>
          <t>fe33</t>
        </is>
      </c>
      <c r="L21" s="20" t="n">
        <v>6070.98</v>
      </c>
      <c r="M21" t="inlineStr">
        <is>
          <t>mr010</t>
        </is>
      </c>
      <c r="N21" t="n">
        <v>4045.86</v>
      </c>
      <c r="P21" s="4" t="n">
        <v>43185</v>
      </c>
      <c r="Q21" s="51" t="n"/>
      <c r="R21" s="51">
        <f>SUM(R19:R20)</f>
        <v/>
      </c>
      <c r="S21">
        <f>+P20+R19</f>
        <v/>
      </c>
    </row>
    <row r="22">
      <c r="A22" t="n">
        <v>16</v>
      </c>
      <c r="B22" s="230" t="n">
        <v>19158</v>
      </c>
      <c r="G22" t="n">
        <v>26</v>
      </c>
      <c r="H22" t="n">
        <v>6054.9</v>
      </c>
      <c r="L22" s="4" t="n">
        <v>43171</v>
      </c>
      <c r="N22" s="20">
        <f>SUM(N17:N21)</f>
        <v/>
      </c>
      <c r="O22" t="inlineStr">
        <is>
          <t>WSFEI012</t>
        </is>
      </c>
      <c r="P22" s="230" t="n">
        <v>4678.8</v>
      </c>
      <c r="Q22" s="129" t="n">
        <v>-2573.9</v>
      </c>
      <c r="R22" s="128" t="inlineStr">
        <is>
          <t>WSJAI009</t>
        </is>
      </c>
      <c r="S22">
        <f>+P18+R19</f>
        <v/>
      </c>
    </row>
    <row r="23">
      <c r="B23" s="236">
        <f>SUM(B17:B22)</f>
        <v/>
      </c>
      <c r="G23" t="n">
        <v>27</v>
      </c>
      <c r="H23" t="n">
        <v>1393.44</v>
      </c>
      <c r="K23" t="inlineStr">
        <is>
          <t>FE37</t>
        </is>
      </c>
      <c r="L23" t="n">
        <v>2324.54</v>
      </c>
      <c r="N23" s="4" t="n">
        <v>43179</v>
      </c>
      <c r="O23" s="51" t="inlineStr">
        <is>
          <t>WSJAI009</t>
        </is>
      </c>
      <c r="P23" s="230" t="n">
        <v>2573.9</v>
      </c>
      <c r="Q23" s="129" t="n">
        <v>-122.2</v>
      </c>
      <c r="R23" s="128" t="inlineStr">
        <is>
          <t>WSJAI043</t>
        </is>
      </c>
    </row>
    <row r="24">
      <c r="G24" t="n">
        <v>28</v>
      </c>
      <c r="H24" t="n">
        <v>10350.4</v>
      </c>
      <c r="K24" t="inlineStr">
        <is>
          <t>mr38</t>
        </is>
      </c>
      <c r="L24" t="n">
        <v>1626.59</v>
      </c>
      <c r="M24" t="inlineStr">
        <is>
          <t>mr12</t>
        </is>
      </c>
      <c r="N24" t="n">
        <v>1524.4</v>
      </c>
      <c r="O24" t="inlineStr">
        <is>
          <t>WSJAI043</t>
        </is>
      </c>
      <c r="P24" s="230" t="n">
        <v>122.2</v>
      </c>
      <c r="Q24" s="129" t="n">
        <v>-4678.8</v>
      </c>
      <c r="R24" s="128" t="inlineStr">
        <is>
          <t>WSFEI012</t>
        </is>
      </c>
    </row>
    <row r="25">
      <c r="G25" t="n">
        <v>29</v>
      </c>
      <c r="H25" t="n">
        <v>7299.18</v>
      </c>
      <c r="K25" t="inlineStr">
        <is>
          <t>mr39</t>
        </is>
      </c>
      <c r="L25" t="n">
        <v>8313.200000000001</v>
      </c>
      <c r="M25" t="inlineStr">
        <is>
          <t>mr14</t>
        </is>
      </c>
      <c r="N25" t="n">
        <v>3953.67</v>
      </c>
      <c r="P25" s="238">
        <f>SUM(P22:P24)</f>
        <v/>
      </c>
    </row>
    <row r="26">
      <c r="G26" t="inlineStr">
        <is>
          <t>j018</t>
        </is>
      </c>
      <c r="H26" t="n">
        <v>1308.58</v>
      </c>
      <c r="L26" s="20">
        <f>SUM(L23:L25)</f>
        <v/>
      </c>
      <c r="M26" t="inlineStr">
        <is>
          <t>mr16</t>
        </is>
      </c>
      <c r="N26" t="n">
        <v>2376.7</v>
      </c>
    </row>
    <row r="27">
      <c r="H27" s="90">
        <f>SUM(H17:H26)</f>
        <v/>
      </c>
      <c r="N27" s="20">
        <f>SUM(N24:N26)</f>
        <v/>
      </c>
      <c r="P27" s="233" t="n"/>
      <c r="Q27" t="n">
        <v>7393.7</v>
      </c>
      <c r="R27" s="233">
        <f>+P27-Q27</f>
        <v/>
      </c>
    </row>
    <row r="28">
      <c r="L28" s="4" t="n">
        <v>43174</v>
      </c>
    </row>
    <row r="29">
      <c r="B29" s="4" t="n">
        <v>43192</v>
      </c>
      <c r="C29" s="230" t="n">
        <v>12237.71</v>
      </c>
      <c r="D29" s="4" t="n">
        <v>43199</v>
      </c>
      <c r="F29" s="4" t="n">
        <v>43201</v>
      </c>
      <c r="L29" t="n">
        <v>3841.2</v>
      </c>
      <c r="N29" s="4" t="n">
        <v>43180</v>
      </c>
      <c r="O29" t="inlineStr">
        <is>
          <t>WSMRI004</t>
        </is>
      </c>
      <c r="P29" s="232" t="n">
        <v>56.48</v>
      </c>
    </row>
    <row r="30">
      <c r="B30" t="n">
        <v>29</v>
      </c>
      <c r="C30" s="232" t="n">
        <v>5767.3</v>
      </c>
      <c r="D30" t="inlineStr">
        <is>
          <t>AP002</t>
        </is>
      </c>
      <c r="E30" t="n">
        <v>1439.7</v>
      </c>
      <c r="F30" t="inlineStr">
        <is>
          <t>ap01</t>
        </is>
      </c>
      <c r="G30" t="n">
        <v>2683.38</v>
      </c>
      <c r="M30" t="inlineStr">
        <is>
          <t>mr13</t>
        </is>
      </c>
      <c r="N30" t="n">
        <v>4024.39</v>
      </c>
      <c r="O30" t="inlineStr">
        <is>
          <t>WSMRI024</t>
        </is>
      </c>
      <c r="P30" s="230" t="n">
        <v>958.2</v>
      </c>
    </row>
    <row r="31">
      <c r="B31" t="n">
        <v>30</v>
      </c>
      <c r="C31" s="230" t="n">
        <v>4060.99</v>
      </c>
      <c r="D31" t="inlineStr">
        <is>
          <t>MR034</t>
        </is>
      </c>
      <c r="E31" t="n">
        <v>99.92</v>
      </c>
      <c r="F31" t="inlineStr">
        <is>
          <t>ap04</t>
        </is>
      </c>
      <c r="G31" t="n">
        <v>5933.44</v>
      </c>
      <c r="M31" s="99" t="n">
        <v>43176</v>
      </c>
      <c r="N31" t="n">
        <v>4322.08</v>
      </c>
      <c r="P31" s="237">
        <f>SUM(P29:P30)</f>
        <v/>
      </c>
    </row>
    <row r="32">
      <c r="B32" t="n">
        <v>27</v>
      </c>
      <c r="C32" s="232" t="n">
        <v>397.55</v>
      </c>
      <c r="D32" t="inlineStr">
        <is>
          <t>MR38</t>
        </is>
      </c>
      <c r="E32" t="n">
        <v>3133.8</v>
      </c>
      <c r="F32" s="233" t="inlineStr">
        <is>
          <t>ja39</t>
        </is>
      </c>
      <c r="G32" t="n">
        <v>909</v>
      </c>
      <c r="N32" s="20">
        <f>SUM(N30:N31)</f>
        <v/>
      </c>
    </row>
    <row r="33">
      <c r="B33" t="n">
        <v>28</v>
      </c>
      <c r="C33" s="232" t="n">
        <v>823.9</v>
      </c>
      <c r="D33" t="inlineStr">
        <is>
          <t>MR039</t>
        </is>
      </c>
      <c r="E33" s="233" t="n">
        <v>1741.92</v>
      </c>
      <c r="G33" s="20">
        <f>SUM(G30:G32)</f>
        <v/>
      </c>
      <c r="P33" s="4" t="n">
        <v>43187</v>
      </c>
    </row>
    <row r="34">
      <c r="B34" t="inlineStr">
        <is>
          <t>cit</t>
        </is>
      </c>
      <c r="C34" s="232" t="n">
        <v>1187.97</v>
      </c>
      <c r="E34" s="20">
        <f>SUM(E30:E33)</f>
        <v/>
      </c>
      <c r="F34" s="232" t="n"/>
      <c r="O34" t="inlineStr">
        <is>
          <t>mr26</t>
        </is>
      </c>
      <c r="P34" s="232" t="n">
        <v>20317.62</v>
      </c>
    </row>
    <row r="35">
      <c r="C35" s="237">
        <f>SUM(C30:C34)</f>
        <v/>
      </c>
      <c r="F35" s="232" t="n"/>
      <c r="P35" s="232" t="n"/>
    </row>
    <row r="36">
      <c r="C36" s="4" t="n">
        <v>43194</v>
      </c>
      <c r="D36" s="4" t="n">
        <v>43200</v>
      </c>
      <c r="G36" s="4" t="n">
        <v>43207</v>
      </c>
      <c r="O36" t="inlineStr">
        <is>
          <t>mr23</t>
        </is>
      </c>
      <c r="P36" s="230" t="n">
        <v>13493.64</v>
      </c>
    </row>
    <row r="37">
      <c r="B37" t="n">
        <v>32</v>
      </c>
      <c r="C37" s="230" t="n">
        <v>3412.24</v>
      </c>
      <c r="D37" t="inlineStr">
        <is>
          <t>MR036</t>
        </is>
      </c>
      <c r="E37" t="n">
        <v>1932.7</v>
      </c>
      <c r="F37" t="inlineStr">
        <is>
          <t>Ap005</t>
        </is>
      </c>
      <c r="G37" t="n">
        <v>1471.8</v>
      </c>
      <c r="O37" t="inlineStr">
        <is>
          <t>fe38</t>
        </is>
      </c>
      <c r="P37" s="232" t="n">
        <v>937.8</v>
      </c>
    </row>
    <row r="38">
      <c r="B38" t="n">
        <v>37</v>
      </c>
      <c r="C38" s="230" t="n">
        <v>7538.76</v>
      </c>
      <c r="D38" t="inlineStr">
        <is>
          <t>AP003</t>
        </is>
      </c>
      <c r="E38" s="232" t="n">
        <v>4456.06</v>
      </c>
      <c r="F38" t="inlineStr">
        <is>
          <t>Ap006</t>
        </is>
      </c>
      <c r="G38" t="n">
        <v>1471.8</v>
      </c>
      <c r="O38" t="inlineStr">
        <is>
          <t>mr09</t>
        </is>
      </c>
      <c r="P38" s="232" t="n">
        <v>395.2</v>
      </c>
    </row>
    <row r="39">
      <c r="B39" t="n">
        <v>33</v>
      </c>
      <c r="C39" s="230" t="n">
        <v>935.52</v>
      </c>
      <c r="E39" s="20">
        <f>SUM(E37:E38)</f>
        <v/>
      </c>
      <c r="F39" t="inlineStr">
        <is>
          <t>Ap007</t>
        </is>
      </c>
      <c r="G39" t="n">
        <v>1471.8</v>
      </c>
      <c r="P39" s="237">
        <f>SUM(P34:P38)</f>
        <v/>
      </c>
    </row>
    <row r="40">
      <c r="C40" s="238">
        <f>SUM(C37:C39)</f>
        <v/>
      </c>
      <c r="F40" t="inlineStr">
        <is>
          <t>Ap008</t>
        </is>
      </c>
      <c r="G40" t="n">
        <v>1471.8</v>
      </c>
    </row>
    <row r="41">
      <c r="F41" t="inlineStr">
        <is>
          <t>Ap009</t>
        </is>
      </c>
      <c r="G41" t="n">
        <v>1471.8</v>
      </c>
    </row>
    <row r="42">
      <c r="F42" t="inlineStr">
        <is>
          <t>Ap010</t>
        </is>
      </c>
      <c r="G42" t="n">
        <v>1471.8</v>
      </c>
    </row>
    <row r="43">
      <c r="F43" t="inlineStr">
        <is>
          <t>Ap011</t>
        </is>
      </c>
      <c r="G43" t="n">
        <v>413.88</v>
      </c>
    </row>
    <row r="44">
      <c r="F44" t="inlineStr">
        <is>
          <t>Ap012</t>
        </is>
      </c>
      <c r="G44" t="n">
        <v>1532.1</v>
      </c>
    </row>
    <row r="45">
      <c r="G45" s="90">
        <f>SUM(G37:G44)</f>
        <v/>
      </c>
    </row>
    <row r="48">
      <c r="B48" s="4" t="n">
        <v>43208</v>
      </c>
      <c r="D48" s="4" t="n">
        <v>43213</v>
      </c>
      <c r="F48" s="4" t="n">
        <v>43215</v>
      </c>
    </row>
    <row r="49">
      <c r="B49" t="inlineStr">
        <is>
          <t>MR22</t>
        </is>
      </c>
      <c r="C49" s="20" t="n">
        <v>4298.42</v>
      </c>
      <c r="D49" t="inlineStr">
        <is>
          <t>apr014</t>
        </is>
      </c>
      <c r="E49" t="n">
        <v>4588</v>
      </c>
      <c r="F49" s="99" t="n">
        <v>43208</v>
      </c>
      <c r="G49" s="20" t="n">
        <v>1252.89</v>
      </c>
    </row>
    <row r="50">
      <c r="D50" t="inlineStr">
        <is>
          <t>Ap017</t>
        </is>
      </c>
      <c r="E50" t="n">
        <v>3310</v>
      </c>
    </row>
    <row r="51">
      <c r="B51" s="4" t="n">
        <v>43209</v>
      </c>
      <c r="E51" s="20">
        <f>SUM(E49:E50)</f>
        <v/>
      </c>
      <c r="F51" s="4" t="n">
        <v>43216</v>
      </c>
    </row>
    <row r="52">
      <c r="B52" t="inlineStr">
        <is>
          <t>Ap16</t>
        </is>
      </c>
      <c r="C52" t="n">
        <v>3595.96</v>
      </c>
      <c r="D52" s="4" t="n">
        <v>43214</v>
      </c>
      <c r="F52" t="inlineStr">
        <is>
          <t>AP15</t>
        </is>
      </c>
      <c r="G52" s="246" t="n">
        <v>1139.76</v>
      </c>
    </row>
    <row r="53">
      <c r="B53" t="inlineStr">
        <is>
          <t>Ap13</t>
        </is>
      </c>
      <c r="C53" t="n">
        <v>2739.18</v>
      </c>
      <c r="D53" t="inlineStr">
        <is>
          <t>AP019</t>
        </is>
      </c>
      <c r="E53" s="20" t="n">
        <v>3009.16</v>
      </c>
    </row>
    <row r="54">
      <c r="C54" s="20">
        <f>SUM(C52:C53)</f>
        <v/>
      </c>
    </row>
    <row r="56">
      <c r="B56" s="4" t="n">
        <v>43222</v>
      </c>
      <c r="C56" t="n">
        <v>40024.95</v>
      </c>
      <c r="D56" s="4" t="n">
        <v>43223</v>
      </c>
      <c r="E56" s="230" t="n">
        <v>5332.77</v>
      </c>
      <c r="H56" s="4" t="n">
        <v>43228</v>
      </c>
    </row>
    <row r="57">
      <c r="B57" t="inlineStr">
        <is>
          <t>Ap020</t>
        </is>
      </c>
      <c r="C57" s="230" t="n">
        <v>8510.48</v>
      </c>
      <c r="F57" t="inlineStr">
        <is>
          <t>Ap31</t>
        </is>
      </c>
      <c r="G57" s="230" t="n">
        <v>2239.2</v>
      </c>
      <c r="H57" t="inlineStr">
        <is>
          <t>Ap30</t>
        </is>
      </c>
      <c r="I57" t="n">
        <v>762.52</v>
      </c>
    </row>
    <row r="58">
      <c r="B58" t="inlineStr">
        <is>
          <t>Ap021</t>
        </is>
      </c>
      <c r="C58" s="230" t="n">
        <v>9236.620000000001</v>
      </c>
      <c r="D58" t="inlineStr">
        <is>
          <t>Ap43</t>
        </is>
      </c>
      <c r="E58" s="230" t="n">
        <v>2413.76</v>
      </c>
      <c r="F58" t="inlineStr">
        <is>
          <t>Ap32</t>
        </is>
      </c>
      <c r="G58" s="230" t="n">
        <v>5598</v>
      </c>
      <c r="H58" t="inlineStr">
        <is>
          <t>Ap38</t>
        </is>
      </c>
      <c r="I58" s="230" t="n">
        <v>10525.44</v>
      </c>
    </row>
    <row r="59">
      <c r="B59" t="inlineStr">
        <is>
          <t>Ap023</t>
        </is>
      </c>
      <c r="C59" s="230" t="n">
        <v>2234.6</v>
      </c>
      <c r="D59" t="inlineStr">
        <is>
          <t>WSAPI035</t>
        </is>
      </c>
      <c r="E59" s="230" t="n">
        <v>1929</v>
      </c>
      <c r="F59" t="inlineStr">
        <is>
          <t>Ap33</t>
        </is>
      </c>
      <c r="G59" s="230" t="n">
        <v>5598</v>
      </c>
      <c r="H59" t="inlineStr">
        <is>
          <t>Ap40</t>
        </is>
      </c>
      <c r="I59" t="n">
        <v>1186.06</v>
      </c>
    </row>
    <row r="60">
      <c r="B60" t="inlineStr">
        <is>
          <t>Ap025</t>
        </is>
      </c>
      <c r="C60" s="230" t="n">
        <v>2234.6</v>
      </c>
      <c r="D60" t="inlineStr">
        <is>
          <t>WSAPI039</t>
        </is>
      </c>
      <c r="E60" s="230" t="n">
        <v>990.01</v>
      </c>
      <c r="F60" t="inlineStr">
        <is>
          <t>Ap34</t>
        </is>
      </c>
      <c r="G60" s="230" t="n">
        <v>1679.4</v>
      </c>
      <c r="I60" s="20">
        <f>SUM(I57:I59)</f>
        <v/>
      </c>
    </row>
    <row r="61">
      <c r="B61" t="inlineStr">
        <is>
          <t>Ap026</t>
        </is>
      </c>
      <c r="C61" s="230" t="n">
        <v>1117.3</v>
      </c>
      <c r="E61" s="238">
        <f>SUM(E58:E60)</f>
        <v/>
      </c>
      <c r="F61" t="inlineStr">
        <is>
          <t>Ap36</t>
        </is>
      </c>
      <c r="G61" s="230" t="n">
        <v>3786.8</v>
      </c>
    </row>
    <row r="62">
      <c r="B62" t="inlineStr">
        <is>
          <t>AP027</t>
        </is>
      </c>
      <c r="C62" s="230" t="n">
        <v>2234.6</v>
      </c>
      <c r="F62" t="inlineStr">
        <is>
          <t>Ap41</t>
        </is>
      </c>
      <c r="G62" s="230" t="n">
        <v>13639.64</v>
      </c>
    </row>
    <row r="63">
      <c r="B63" t="inlineStr">
        <is>
          <t>MAr021</t>
        </is>
      </c>
      <c r="C63" s="230" t="n">
        <v>619.4</v>
      </c>
      <c r="G63" s="236">
        <f>SUM(G57:G62)</f>
        <v/>
      </c>
    </row>
    <row r="64">
      <c r="B64" t="inlineStr">
        <is>
          <t>WSAPI028</t>
        </is>
      </c>
      <c r="C64" s="230" t="n">
        <v>13837.35</v>
      </c>
    </row>
    <row r="65">
      <c r="C65" s="238">
        <f>SUM(C57:C64)</f>
        <v/>
      </c>
    </row>
    <row r="66">
      <c r="B66" s="4" t="n">
        <v>43229</v>
      </c>
      <c r="D66" s="4" t="n">
        <v>43230</v>
      </c>
      <c r="F66" s="4" t="n">
        <v>43234</v>
      </c>
    </row>
    <row r="67">
      <c r="B67" t="inlineStr">
        <is>
          <t>WSAPI037</t>
        </is>
      </c>
      <c r="C67" s="236" t="n">
        <v>6949.4</v>
      </c>
      <c r="D67" s="51" t="n"/>
    </row>
    <row r="68">
      <c r="C68" s="4" t="n">
        <v>43230</v>
      </c>
      <c r="F68" t="inlineStr">
        <is>
          <t>Ap45</t>
        </is>
      </c>
      <c r="G68" s="230" t="n">
        <v>15848.08</v>
      </c>
      <c r="H68" t="n">
        <v>15906</v>
      </c>
      <c r="I68">
        <f>+H68-G68</f>
        <v/>
      </c>
    </row>
    <row r="69">
      <c r="B69" t="inlineStr">
        <is>
          <t>Ap49</t>
        </is>
      </c>
      <c r="C69" s="230" t="n">
        <v>11940</v>
      </c>
      <c r="D69" t="n">
        <v>15906.56</v>
      </c>
      <c r="F69" t="inlineStr">
        <is>
          <t>Ap48</t>
        </is>
      </c>
      <c r="G69" s="230" t="n">
        <v>1311.66</v>
      </c>
    </row>
    <row r="70">
      <c r="B70" t="inlineStr">
        <is>
          <t>Ap47</t>
        </is>
      </c>
      <c r="C70" s="230" t="n">
        <v>2925</v>
      </c>
      <c r="D70" t="n">
        <v>5225.6</v>
      </c>
      <c r="F70" t="inlineStr">
        <is>
          <t>Ap52</t>
        </is>
      </c>
      <c r="G70" s="230" t="n">
        <v>13652.66</v>
      </c>
    </row>
    <row r="71">
      <c r="B71" t="inlineStr">
        <is>
          <t>Ap44</t>
        </is>
      </c>
      <c r="C71" s="230" t="n">
        <v>122.2</v>
      </c>
      <c r="D71" s="230" t="n"/>
      <c r="F71" t="inlineStr">
        <is>
          <t>Ap54</t>
        </is>
      </c>
      <c r="G71" s="230" t="n">
        <v>537.6799999999999</v>
      </c>
    </row>
    <row r="72">
      <c r="B72" t="inlineStr">
        <is>
          <t>Ap46</t>
        </is>
      </c>
      <c r="C72" s="230" t="n">
        <v>2293.11</v>
      </c>
      <c r="D72" s="230" t="n"/>
      <c r="F72" t="inlineStr">
        <is>
          <t>Ap55</t>
        </is>
      </c>
      <c r="G72" s="230" t="n">
        <v>12524.16</v>
      </c>
    </row>
    <row r="73">
      <c r="B73" t="inlineStr">
        <is>
          <t>Ap53</t>
        </is>
      </c>
      <c r="C73" s="232" t="n">
        <v>5371.38</v>
      </c>
      <c r="D73">
        <f>SUM(D69:D72)</f>
        <v/>
      </c>
      <c r="F73" t="inlineStr">
        <is>
          <t>Ap56</t>
        </is>
      </c>
      <c r="G73" s="230" t="n">
        <v>-5225.6</v>
      </c>
    </row>
    <row r="74">
      <c r="B74" t="inlineStr">
        <is>
          <t>Ap51</t>
        </is>
      </c>
      <c r="C74" s="230" t="n">
        <v>2434.92</v>
      </c>
      <c r="D74">
        <f>+D67-D73</f>
        <v/>
      </c>
      <c r="F74" t="inlineStr">
        <is>
          <t>Ap057</t>
        </is>
      </c>
      <c r="G74" s="230" t="n">
        <v>6084</v>
      </c>
    </row>
    <row r="75">
      <c r="C75" s="238">
        <f>SUM(C69:C74)</f>
        <v/>
      </c>
      <c r="G75" s="236">
        <f>SUM(G68:G74)</f>
        <v/>
      </c>
    </row>
    <row r="76">
      <c r="B76" s="4" t="n">
        <v>43235</v>
      </c>
      <c r="C76" t="inlineStr">
        <is>
          <t>WSAP058Z</t>
        </is>
      </c>
      <c r="D76" s="20" t="n">
        <v>20902.4</v>
      </c>
      <c r="E76">
        <f>+D76/4</f>
        <v/>
      </c>
    </row>
    <row r="77">
      <c r="C77" t="inlineStr">
        <is>
          <t>received pay for 4</t>
        </is>
      </c>
    </row>
    <row r="78">
      <c r="B78" s="4" t="n">
        <v>43243</v>
      </c>
      <c r="C78" t="n">
        <v>49716.84</v>
      </c>
      <c r="F78" s="4" t="n">
        <v>43244</v>
      </c>
      <c r="H78" s="4" t="n">
        <v>43249</v>
      </c>
    </row>
    <row r="79">
      <c r="C79" s="230" t="n">
        <v>1008.98</v>
      </c>
      <c r="D79" s="129" t="n">
        <v>-981.42</v>
      </c>
      <c r="E79" s="128" t="inlineStr">
        <is>
          <t>WSFEI005</t>
        </is>
      </c>
      <c r="F79" t="inlineStr">
        <is>
          <t>WSMYI020</t>
        </is>
      </c>
      <c r="G79" s="236" t="n">
        <v>6863.44</v>
      </c>
    </row>
    <row r="80">
      <c r="C80" s="230" t="n">
        <v>1113.64</v>
      </c>
      <c r="D80" s="129" t="n">
        <v>-3777.5</v>
      </c>
      <c r="E80" s="128" t="inlineStr">
        <is>
          <t>WSMRI031</t>
        </is>
      </c>
      <c r="H80" t="inlineStr">
        <is>
          <t>WSAPI022</t>
        </is>
      </c>
      <c r="I80" t="n">
        <v>1687.8</v>
      </c>
    </row>
    <row r="81">
      <c r="C81" s="230" t="n">
        <v>6742.32</v>
      </c>
      <c r="D81" s="129" t="n">
        <v>-1113.64</v>
      </c>
      <c r="E81" s="128" t="inlineStr">
        <is>
          <t>WSMYI016</t>
        </is>
      </c>
      <c r="H81" t="inlineStr">
        <is>
          <t>WSMYI027</t>
        </is>
      </c>
      <c r="I81" t="n">
        <v>11959.36</v>
      </c>
    </row>
    <row r="82">
      <c r="C82" s="230" t="n">
        <v>8298.24</v>
      </c>
      <c r="D82" s="129" t="n">
        <v>-1008.98</v>
      </c>
      <c r="E82" s="128" t="inlineStr">
        <is>
          <t>WSMYI015</t>
        </is>
      </c>
      <c r="H82" t="inlineStr">
        <is>
          <t>WSMYI028</t>
        </is>
      </c>
      <c r="I82" t="n">
        <v>9657.200000000001</v>
      </c>
    </row>
    <row r="83">
      <c r="C83" s="230" t="n">
        <v>981.42</v>
      </c>
      <c r="D83" s="129" t="n">
        <v>-5941.3</v>
      </c>
      <c r="E83" s="128" t="inlineStr">
        <is>
          <t>WSMYI021</t>
        </is>
      </c>
      <c r="I83" s="20">
        <f>SUM(I80:I82)</f>
        <v/>
      </c>
    </row>
    <row r="84">
      <c r="C84" s="230" t="n">
        <v>6863.44</v>
      </c>
      <c r="D84" s="129" t="n">
        <v>-6863.44</v>
      </c>
      <c r="E84" s="128" t="inlineStr">
        <is>
          <t>WSMYI019</t>
        </is>
      </c>
    </row>
    <row r="85">
      <c r="C85" s="230" t="n">
        <v>5941.3</v>
      </c>
      <c r="D85" s="129" t="n">
        <v>-8298.24</v>
      </c>
      <c r="E85" s="128" t="inlineStr">
        <is>
          <t>WSMYI018</t>
        </is>
      </c>
    </row>
    <row r="86">
      <c r="C86" s="230" t="n">
        <v>12336</v>
      </c>
      <c r="D86" s="129" t="n">
        <v>-6742.32</v>
      </c>
      <c r="E86" s="128" t="inlineStr">
        <is>
          <t>WSMYI017</t>
        </is>
      </c>
    </row>
    <row r="87">
      <c r="C87" s="230" t="n">
        <v>3777.5</v>
      </c>
      <c r="D87" s="129" t="n">
        <v>-12336</v>
      </c>
      <c r="E87" s="128" t="inlineStr">
        <is>
          <t>WSMYI022</t>
        </is>
      </c>
    </row>
    <row r="88">
      <c r="C88" s="230" t="n">
        <v>2654</v>
      </c>
      <c r="D88" s="129" t="n">
        <v>-2654</v>
      </c>
      <c r="E88" s="128" t="inlineStr">
        <is>
          <t>WSMYI024</t>
        </is>
      </c>
    </row>
    <row r="89">
      <c r="C89" s="283">
        <f>SUM(C79:C88)</f>
        <v/>
      </c>
    </row>
    <row r="90">
      <c r="C90" s="230" t="n"/>
    </row>
    <row r="91">
      <c r="C91" s="233" t="n"/>
    </row>
    <row r="92">
      <c r="B92" s="4" t="n">
        <v>43255</v>
      </c>
      <c r="D92" s="4" t="n">
        <v>43256</v>
      </c>
      <c r="F92" s="4" t="n">
        <v>43257</v>
      </c>
      <c r="H92" s="4" t="n">
        <v>43262</v>
      </c>
      <c r="J92" s="4" t="n">
        <v>43263</v>
      </c>
      <c r="L92" s="4" t="n">
        <v>43264</v>
      </c>
    </row>
    <row r="93">
      <c r="A93" t="inlineStr">
        <is>
          <t>API050</t>
        </is>
      </c>
      <c r="B93" s="230" t="n">
        <v>1937</v>
      </c>
      <c r="C93" s="124" t="inlineStr">
        <is>
          <t>MYI033</t>
        </is>
      </c>
      <c r="D93" t="n">
        <v>8421.6</v>
      </c>
      <c r="E93" t="inlineStr">
        <is>
          <t>API029</t>
        </is>
      </c>
      <c r="F93" s="230" t="n">
        <v>1025.48</v>
      </c>
      <c r="G93" t="inlineStr">
        <is>
          <t>WSJUI002</t>
        </is>
      </c>
      <c r="H93" s="230" t="n">
        <v>3252.27</v>
      </c>
      <c r="I93" t="inlineStr">
        <is>
          <t>WSJUI001</t>
        </is>
      </c>
      <c r="J93" t="n">
        <v>4296.84</v>
      </c>
      <c r="K93" t="inlineStr">
        <is>
          <t>WSJUI003</t>
        </is>
      </c>
      <c r="L93" s="230" t="n">
        <v>7811.8</v>
      </c>
    </row>
    <row r="94">
      <c r="A94" t="inlineStr">
        <is>
          <t>SMYI030</t>
        </is>
      </c>
      <c r="B94" s="230" t="n">
        <v>5550.48</v>
      </c>
      <c r="C94" t="inlineStr">
        <is>
          <t>SMYI034</t>
        </is>
      </c>
      <c r="D94" t="n">
        <v>9474.299999999999</v>
      </c>
      <c r="E94" t="inlineStr">
        <is>
          <t>WSMYI039</t>
        </is>
      </c>
      <c r="F94" s="230" t="n">
        <v>5761.35</v>
      </c>
      <c r="G94" t="inlineStr">
        <is>
          <t>WSJUI006</t>
        </is>
      </c>
      <c r="H94" s="230" t="n">
        <v>389.2</v>
      </c>
      <c r="I94" t="inlineStr">
        <is>
          <t>WSJUI004</t>
        </is>
      </c>
      <c r="J94" t="n">
        <v>2018.88</v>
      </c>
      <c r="K94" t="inlineStr">
        <is>
          <t>WSJUI007</t>
        </is>
      </c>
      <c r="L94" s="230" t="n">
        <v>2906.48</v>
      </c>
    </row>
    <row r="95">
      <c r="A95" t="inlineStr">
        <is>
          <t>MYI031</t>
        </is>
      </c>
      <c r="B95" s="230" t="n">
        <v>763.02</v>
      </c>
      <c r="C95" t="inlineStr">
        <is>
          <t>MYI035</t>
        </is>
      </c>
      <c r="D95" t="n">
        <v>1137.56</v>
      </c>
      <c r="E95" t="inlineStr">
        <is>
          <t>WSMYI040</t>
        </is>
      </c>
      <c r="F95" s="230" t="n">
        <v>2344</v>
      </c>
      <c r="G95" t="inlineStr">
        <is>
          <t>WSMYI042</t>
        </is>
      </c>
      <c r="H95" s="230" t="n">
        <v>2650.19</v>
      </c>
      <c r="J95" s="20">
        <f>SUM(J93:J94)</f>
        <v/>
      </c>
      <c r="K95" t="inlineStr">
        <is>
          <t>WSJUI008</t>
        </is>
      </c>
      <c r="L95" s="230" t="n">
        <v>14803.43</v>
      </c>
    </row>
    <row r="96">
      <c r="A96" t="inlineStr">
        <is>
          <t>MYI032</t>
        </is>
      </c>
      <c r="B96" s="230" t="n">
        <v>1843.64</v>
      </c>
      <c r="C96" t="inlineStr">
        <is>
          <t>MYI037</t>
        </is>
      </c>
      <c r="D96" t="n">
        <v>4107.42</v>
      </c>
      <c r="F96" s="238">
        <f>SUM(F93:F95)</f>
        <v/>
      </c>
      <c r="G96" t="inlineStr">
        <is>
          <t>WSMYI043</t>
        </is>
      </c>
      <c r="H96" s="230" t="n">
        <v>19706.4</v>
      </c>
      <c r="L96" s="236">
        <f>SUM(L93:L95)</f>
        <v/>
      </c>
    </row>
    <row r="97">
      <c r="A97" t="inlineStr">
        <is>
          <t>MYI036</t>
        </is>
      </c>
      <c r="B97" s="230" t="n">
        <v>7498.4</v>
      </c>
      <c r="C97" t="inlineStr">
        <is>
          <t>MYI038</t>
        </is>
      </c>
      <c r="D97" t="n">
        <v>6652.73</v>
      </c>
      <c r="H97" s="236">
        <f>SUM(H93:H96)</f>
        <v/>
      </c>
    </row>
    <row r="98">
      <c r="A98" t="inlineStr">
        <is>
          <t>MYI026</t>
        </is>
      </c>
      <c r="B98" s="230" t="n">
        <v>3725.4</v>
      </c>
      <c r="C98" t="inlineStr">
        <is>
          <t>SMYI041</t>
        </is>
      </c>
      <c r="D98" t="n">
        <v>26377.57</v>
      </c>
    </row>
    <row r="99">
      <c r="B99" s="236">
        <f>SUM(B93:B98)</f>
        <v/>
      </c>
      <c r="D99" s="20">
        <f>SUM(D93:D98)</f>
        <v/>
      </c>
    </row>
    <row r="100">
      <c r="B100" s="4" t="n">
        <v>43265</v>
      </c>
      <c r="D100" s="4" t="n">
        <v>43269</v>
      </c>
      <c r="F100" s="4" t="n">
        <v>43270</v>
      </c>
      <c r="H100" s="4" t="n">
        <v>43271</v>
      </c>
    </row>
    <row r="101">
      <c r="A101" t="inlineStr">
        <is>
          <t>WSJUI013</t>
        </is>
      </c>
      <c r="B101" s="230" t="n">
        <v>12110.56</v>
      </c>
      <c r="C101" t="inlineStr">
        <is>
          <t>WSJUI011</t>
        </is>
      </c>
      <c r="D101" t="n">
        <v>2873.2</v>
      </c>
      <c r="E101" t="inlineStr">
        <is>
          <t>WSJUI014</t>
        </is>
      </c>
      <c r="F101" s="230" t="n">
        <v>9342.860000000001</v>
      </c>
      <c r="G101" t="inlineStr">
        <is>
          <t>WSJUI016</t>
        </is>
      </c>
      <c r="H101" s="230" t="n">
        <v>5198.4</v>
      </c>
      <c r="I101" t="inlineStr">
        <is>
          <t>Ju021</t>
        </is>
      </c>
      <c r="J101" s="20" t="n">
        <v>10831.08</v>
      </c>
      <c r="K101" t="inlineStr">
        <is>
          <t>WSJUI009</t>
        </is>
      </c>
      <c r="L101" s="230" t="n">
        <v>484.96</v>
      </c>
    </row>
    <row r="102">
      <c r="A102" t="inlineStr">
        <is>
          <t>WSJUI010</t>
        </is>
      </c>
      <c r="B102" s="230" t="n">
        <v>616.8</v>
      </c>
      <c r="C102" t="inlineStr">
        <is>
          <t>WSJUI012</t>
        </is>
      </c>
      <c r="D102" t="n">
        <v>1258.92</v>
      </c>
      <c r="E102" t="inlineStr">
        <is>
          <t>WSJUI019</t>
        </is>
      </c>
      <c r="F102" s="230" t="n">
        <v>3611</v>
      </c>
      <c r="G102" t="inlineStr">
        <is>
          <t>: WSJUI017</t>
        </is>
      </c>
      <c r="H102" s="230" t="n">
        <v>7495.2</v>
      </c>
      <c r="K102" t="inlineStr">
        <is>
          <t>WSJUI023</t>
        </is>
      </c>
      <c r="L102" s="230" t="n">
        <v>1972.74</v>
      </c>
    </row>
    <row r="103">
      <c r="B103" s="236">
        <f>SUM(B101:B102)</f>
        <v/>
      </c>
      <c r="C103" t="inlineStr">
        <is>
          <t>WSJUI015</t>
        </is>
      </c>
      <c r="D103" t="n">
        <v>8607.959999999999</v>
      </c>
      <c r="F103" s="236">
        <f>SUM(F101:F102)</f>
        <v/>
      </c>
      <c r="H103" s="236">
        <f>SUM(H101:H102)</f>
        <v/>
      </c>
      <c r="K103" t="inlineStr">
        <is>
          <t>WSJUI024</t>
        </is>
      </c>
      <c r="L103" s="230" t="n">
        <v>99.94</v>
      </c>
    </row>
    <row r="104">
      <c r="C104" t="inlineStr">
        <is>
          <t>WSJUI018</t>
        </is>
      </c>
      <c r="D104" t="n">
        <v>2636.82</v>
      </c>
      <c r="K104" t="inlineStr">
        <is>
          <t>WSJUI025</t>
        </is>
      </c>
      <c r="L104" s="230" t="n">
        <v>692.16</v>
      </c>
    </row>
    <row r="105">
      <c r="C105" t="inlineStr">
        <is>
          <t>: WSMYI025</t>
        </is>
      </c>
      <c r="D105" t="n">
        <v>3796.96</v>
      </c>
      <c r="L105" s="20">
        <f>SUM(L101:L104)</f>
        <v/>
      </c>
    </row>
    <row r="106">
      <c r="D106" s="20">
        <f>SUM(D101:D105)</f>
        <v/>
      </c>
    </row>
    <row r="108">
      <c r="A108" t="inlineStr">
        <is>
          <t>WSJUI026</t>
        </is>
      </c>
      <c r="B108" s="230" t="n">
        <v>8375.040000000001</v>
      </c>
      <c r="C108" t="inlineStr">
        <is>
          <t>JU49</t>
        </is>
      </c>
      <c r="D108" s="230" t="n">
        <v>2678.68</v>
      </c>
      <c r="E108" t="inlineStr">
        <is>
          <t>JU52</t>
        </is>
      </c>
      <c r="F108" s="230" t="n">
        <v>8492</v>
      </c>
      <c r="G108" t="inlineStr">
        <is>
          <t>WSMYI023</t>
        </is>
      </c>
      <c r="H108" s="20" t="n">
        <v>6748.81</v>
      </c>
      <c r="J108" s="129" t="n">
        <v>-3237.57</v>
      </c>
    </row>
    <row r="109">
      <c r="A109" t="inlineStr">
        <is>
          <t>WSJUI028</t>
        </is>
      </c>
      <c r="B109" s="230" t="n">
        <v>10473.84</v>
      </c>
      <c r="C109" t="inlineStr">
        <is>
          <t>JU45</t>
        </is>
      </c>
      <c r="D109" s="230" t="n">
        <v>3148.6</v>
      </c>
      <c r="E109" t="inlineStr">
        <is>
          <t>JY04</t>
        </is>
      </c>
      <c r="F109" s="230" t="n">
        <v>1726.2</v>
      </c>
      <c r="J109" s="129" t="n">
        <v>-1768.5</v>
      </c>
    </row>
    <row r="110">
      <c r="A110" t="inlineStr">
        <is>
          <t>WSJUI029</t>
        </is>
      </c>
      <c r="B110" s="230" t="n">
        <v>4310.28</v>
      </c>
      <c r="C110" t="inlineStr">
        <is>
          <t>JU37</t>
        </is>
      </c>
      <c r="D110" s="230" t="n">
        <v>6837.6</v>
      </c>
      <c r="E110" t="inlineStr">
        <is>
          <t>JY05</t>
        </is>
      </c>
      <c r="F110" s="230" t="n">
        <v>757.95</v>
      </c>
      <c r="G110" t="inlineStr">
        <is>
          <t>WSJYI024</t>
        </is>
      </c>
      <c r="H110" s="230" t="n">
        <v>1136.76</v>
      </c>
      <c r="J110" s="129" t="n">
        <v>-868.6</v>
      </c>
    </row>
    <row r="111">
      <c r="A111" t="inlineStr">
        <is>
          <t>WSJUI030</t>
        </is>
      </c>
      <c r="B111" s="230" t="n">
        <v>8554.799999999999</v>
      </c>
      <c r="C111" t="inlineStr">
        <is>
          <t>JY01</t>
        </is>
      </c>
      <c r="D111" s="230" t="n">
        <v>2152.96</v>
      </c>
      <c r="F111" s="230" t="n"/>
      <c r="G111" t="inlineStr">
        <is>
          <t>WSJYI025</t>
        </is>
      </c>
      <c r="H111" s="230" t="n">
        <v>1138</v>
      </c>
      <c r="J111" s="129" t="n">
        <v>-293.4</v>
      </c>
    </row>
    <row r="112">
      <c r="A112" t="inlineStr">
        <is>
          <t>WSJUI031</t>
        </is>
      </c>
      <c r="B112" s="230" t="n">
        <v>7684.32</v>
      </c>
      <c r="C112" t="inlineStr">
        <is>
          <t>JY02</t>
        </is>
      </c>
      <c r="D112" s="230" t="n">
        <v>2152.96</v>
      </c>
      <c r="E112" t="inlineStr">
        <is>
          <t>JY08</t>
        </is>
      </c>
      <c r="F112" s="230" t="n">
        <v>12163.45</v>
      </c>
      <c r="H112" s="238">
        <f>SUM(H110:H111)</f>
        <v/>
      </c>
      <c r="J112" s="129" t="n">
        <v>-866.8200000000001</v>
      </c>
    </row>
    <row r="113">
      <c r="A113" t="inlineStr">
        <is>
          <t>WSJUI033</t>
        </is>
      </c>
      <c r="B113" s="230" t="n">
        <v>3471.84</v>
      </c>
      <c r="C113" t="inlineStr">
        <is>
          <t>JY03</t>
        </is>
      </c>
      <c r="D113" s="230" t="n">
        <v>2941.47</v>
      </c>
      <c r="E113" t="inlineStr">
        <is>
          <t>JY10</t>
        </is>
      </c>
      <c r="F113" s="230" t="n">
        <v>9739.68</v>
      </c>
      <c r="J113" s="129" t="n">
        <v>-299.49</v>
      </c>
    </row>
    <row r="114">
      <c r="A114" t="inlineStr">
        <is>
          <t>WSJUI034</t>
        </is>
      </c>
      <c r="B114" s="230" t="n">
        <v>813.6</v>
      </c>
      <c r="C114" t="inlineStr">
        <is>
          <t>JY06</t>
        </is>
      </c>
      <c r="D114" s="230" t="n">
        <v>689.61</v>
      </c>
      <c r="E114" t="inlineStr">
        <is>
          <t>JY11</t>
        </is>
      </c>
      <c r="F114" s="230" t="n">
        <v>5705.12</v>
      </c>
      <c r="G114" t="inlineStr">
        <is>
          <t>WSJYI021</t>
        </is>
      </c>
      <c r="H114" s="230" t="n">
        <v>1914.36</v>
      </c>
      <c r="J114" s="129" t="n">
        <v>-203.82</v>
      </c>
    </row>
    <row r="115">
      <c r="A115" t="inlineStr">
        <is>
          <t>WSJUI035</t>
        </is>
      </c>
      <c r="B115" s="230" t="n">
        <v>2419.08</v>
      </c>
      <c r="C115" t="inlineStr">
        <is>
          <t>JY07</t>
        </is>
      </c>
      <c r="D115" s="230" t="n">
        <v>447.8</v>
      </c>
      <c r="E115" t="inlineStr">
        <is>
          <t>JY12</t>
        </is>
      </c>
      <c r="F115" s="230" t="n">
        <v>5705.12</v>
      </c>
      <c r="G115" t="inlineStr">
        <is>
          <t>WSJYI022</t>
        </is>
      </c>
      <c r="H115" s="230" t="n">
        <v>1881</v>
      </c>
      <c r="J115" s="129" t="n">
        <v>-1222.92</v>
      </c>
    </row>
    <row r="116">
      <c r="B116" s="236">
        <f>SUM(B108:B115)</f>
        <v/>
      </c>
      <c r="C116" t="inlineStr">
        <is>
          <t>JU50</t>
        </is>
      </c>
      <c r="D116" s="230" t="n">
        <v>2678.68</v>
      </c>
      <c r="E116" t="inlineStr">
        <is>
          <t>JY13</t>
        </is>
      </c>
      <c r="F116" s="230" t="n">
        <v>1425.6</v>
      </c>
      <c r="G116" t="inlineStr">
        <is>
          <t>WSJYI023</t>
        </is>
      </c>
      <c r="H116" s="230" t="n">
        <v>7266</v>
      </c>
      <c r="J116" s="129" t="n">
        <v>-6147.8</v>
      </c>
    </row>
    <row r="117">
      <c r="C117" t="inlineStr">
        <is>
          <t>JU47</t>
        </is>
      </c>
      <c r="D117" s="230" t="n">
        <v>2678.68</v>
      </c>
      <c r="E117" t="inlineStr">
        <is>
          <t>JY14</t>
        </is>
      </c>
      <c r="F117" s="230" t="n">
        <v>26334.72</v>
      </c>
      <c r="H117" s="238">
        <f>SUM(H114:H116)</f>
        <v/>
      </c>
      <c r="J117" s="129" t="n">
        <v>-5986.08</v>
      </c>
    </row>
    <row r="118">
      <c r="C118" t="inlineStr">
        <is>
          <t>JU46</t>
        </is>
      </c>
      <c r="D118" s="230" t="n">
        <v>2678.68</v>
      </c>
      <c r="E118" t="inlineStr">
        <is>
          <t>jy09</t>
        </is>
      </c>
      <c r="F118" s="230" t="n">
        <v>12163.45</v>
      </c>
      <c r="J118" s="129" t="n">
        <v>-3611</v>
      </c>
    </row>
    <row r="119">
      <c r="C119" t="inlineStr">
        <is>
          <t>JU05</t>
        </is>
      </c>
      <c r="D119" s="230" t="n">
        <v>888.4</v>
      </c>
      <c r="E119" t="inlineStr">
        <is>
          <t>jy15</t>
        </is>
      </c>
      <c r="F119" s="233" t="n">
        <v>4947.3</v>
      </c>
      <c r="H119" s="4" t="n">
        <v>43314</v>
      </c>
      <c r="J119" s="129" t="n">
        <v>-10424.16</v>
      </c>
    </row>
    <row r="120">
      <c r="C120" t="inlineStr">
        <is>
          <t>JU41</t>
        </is>
      </c>
      <c r="D120" s="230" t="n">
        <v>12618.72</v>
      </c>
      <c r="E120" t="inlineStr">
        <is>
          <t>jy16</t>
        </is>
      </c>
      <c r="F120" t="n">
        <v>4240.48</v>
      </c>
      <c r="G120" s="3" t="inlineStr">
        <is>
          <t>WSJYI027</t>
        </is>
      </c>
      <c r="H120" s="230" t="n">
        <v>299.49</v>
      </c>
      <c r="J120" s="129" t="n">
        <v>203.82</v>
      </c>
    </row>
    <row r="121">
      <c r="C121" t="inlineStr">
        <is>
          <t>JU51</t>
        </is>
      </c>
      <c r="D121" s="230" t="n">
        <v>2678.68</v>
      </c>
      <c r="E121" t="inlineStr">
        <is>
          <t>jy17</t>
        </is>
      </c>
      <c r="F121" s="233" t="n">
        <v>4069</v>
      </c>
      <c r="G121" s="3" t="inlineStr">
        <is>
          <t>WSJYI026</t>
        </is>
      </c>
      <c r="H121" s="230" t="n">
        <v>866.8200000000001</v>
      </c>
      <c r="J121" s="129" t="n">
        <v>-203.82</v>
      </c>
    </row>
    <row r="122">
      <c r="C122" t="inlineStr">
        <is>
          <t>JU20</t>
        </is>
      </c>
      <c r="D122" s="233" t="n">
        <v>1548</v>
      </c>
      <c r="E122" t="inlineStr">
        <is>
          <t>jy18</t>
        </is>
      </c>
      <c r="F122" t="n">
        <v>1030.68</v>
      </c>
      <c r="G122" s="3" t="inlineStr">
        <is>
          <t>WSJYI028</t>
        </is>
      </c>
      <c r="H122" s="230" t="n">
        <v>6147.8</v>
      </c>
      <c r="J122" s="46">
        <f>SUM(J108:J121)</f>
        <v/>
      </c>
    </row>
    <row r="123">
      <c r="C123" t="inlineStr">
        <is>
          <t>JU48</t>
        </is>
      </c>
      <c r="D123" s="233" t="n">
        <v>21899</v>
      </c>
      <c r="E123" t="inlineStr">
        <is>
          <t>jy19</t>
        </is>
      </c>
      <c r="F123" s="233" t="n">
        <v>858.9</v>
      </c>
      <c r="G123" s="3" t="inlineStr">
        <is>
          <t>WSJYI029</t>
        </is>
      </c>
      <c r="H123" s="230" t="n">
        <v>1222.92</v>
      </c>
    </row>
    <row r="124">
      <c r="C124" t="inlineStr">
        <is>
          <t>JU43</t>
        </is>
      </c>
      <c r="D124" s="233" t="n">
        <v>2259.62</v>
      </c>
      <c r="E124" t="inlineStr">
        <is>
          <t>mr05</t>
        </is>
      </c>
      <c r="F124" t="n">
        <v>3060.16</v>
      </c>
      <c r="G124" s="3" t="inlineStr">
        <is>
          <t>WSJYI030</t>
        </is>
      </c>
      <c r="H124" s="230" t="n">
        <v>203.82</v>
      </c>
      <c r="I124" s="49" t="n"/>
      <c r="J124" s="49" t="n"/>
      <c r="K124" s="127" t="n"/>
    </row>
    <row r="125">
      <c r="D125" s="238">
        <f>SUM(D108:D124)</f>
        <v/>
      </c>
      <c r="F125" s="238">
        <f>SUM(F108:F124)</f>
        <v/>
      </c>
      <c r="G125" s="3" t="inlineStr">
        <is>
          <t>WSJYI033</t>
        </is>
      </c>
      <c r="H125" s="230" t="n">
        <v>5986.08</v>
      </c>
      <c r="K125" s="127" t="n"/>
    </row>
    <row r="126">
      <c r="G126" s="3" t="inlineStr">
        <is>
          <t>WSJYI034</t>
        </is>
      </c>
      <c r="H126" s="230" t="n">
        <v>3611</v>
      </c>
      <c r="K126" t="n">
        <v>1.33</v>
      </c>
      <c r="L126" t="inlineStr">
        <is>
          <t>interest</t>
        </is>
      </c>
    </row>
    <row r="127">
      <c r="G127" s="3" t="inlineStr">
        <is>
          <t>WSJYI035</t>
        </is>
      </c>
      <c r="H127" s="230" t="n">
        <v>10424.16</v>
      </c>
    </row>
    <row r="128">
      <c r="G128" s="3" t="inlineStr">
        <is>
          <t>WSMYI029</t>
        </is>
      </c>
      <c r="H128" s="230" t="n">
        <v>868.6</v>
      </c>
      <c r="I128" s="230" t="n">
        <v>2.66</v>
      </c>
    </row>
    <row r="129">
      <c r="G129" s="3" t="inlineStr">
        <is>
          <t>WSFEI006</t>
        </is>
      </c>
      <c r="H129" s="230" t="n">
        <v>3237.57</v>
      </c>
      <c r="J129" s="4" t="n">
        <v>43318</v>
      </c>
      <c r="L129" s="4" t="n">
        <v>43319</v>
      </c>
    </row>
    <row r="130">
      <c r="G130" s="3" t="inlineStr">
        <is>
          <t>WSJUI022</t>
        </is>
      </c>
      <c r="H130" s="230" t="n">
        <v>293.4</v>
      </c>
      <c r="I130" t="inlineStr">
        <is>
          <t>WSJYI031</t>
        </is>
      </c>
      <c r="J130" s="230" t="n">
        <v>464.03</v>
      </c>
      <c r="K130" s="49" t="inlineStr">
        <is>
          <t>WSJYI037</t>
        </is>
      </c>
      <c r="L130" s="230" t="n">
        <v>1385.64</v>
      </c>
    </row>
    <row r="131">
      <c r="G131" s="3" t="n"/>
      <c r="H131" s="230" t="n">
        <v>0</v>
      </c>
      <c r="I131" t="inlineStr">
        <is>
          <t>WSJYI032</t>
        </is>
      </c>
      <c r="J131" s="230" t="n">
        <v>152.79</v>
      </c>
      <c r="K131" t="inlineStr">
        <is>
          <t>WSJYI038</t>
        </is>
      </c>
      <c r="L131" s="232" t="n">
        <v>6766.76</v>
      </c>
    </row>
    <row r="132">
      <c r="G132" s="130" t="inlineStr">
        <is>
          <t>WSMRI035</t>
        </is>
      </c>
      <c r="H132" s="230" t="n">
        <v>1768.5</v>
      </c>
      <c r="I132" t="inlineStr">
        <is>
          <t>WSJYI036</t>
        </is>
      </c>
      <c r="J132" s="230" t="n">
        <v>10852.56</v>
      </c>
      <c r="K132" t="inlineStr">
        <is>
          <t>WSJYI039</t>
        </is>
      </c>
      <c r="L132" s="230" t="n">
        <v>2592</v>
      </c>
    </row>
    <row r="133">
      <c r="H133" s="236">
        <f>SUM(H120:H132)</f>
        <v/>
      </c>
      <c r="I133" t="inlineStr">
        <is>
          <t>WSJUI042</t>
        </is>
      </c>
      <c r="J133" s="230" t="n">
        <v>2741.21</v>
      </c>
      <c r="K133" t="inlineStr">
        <is>
          <t>WSJYI040</t>
        </is>
      </c>
      <c r="L133" s="262" t="n">
        <v>10673.28</v>
      </c>
    </row>
    <row r="134">
      <c r="H134" s="230">
        <f>+H133+J122</f>
        <v/>
      </c>
      <c r="J134" s="236">
        <f>SUM(J130:J133)</f>
        <v/>
      </c>
      <c r="K134" t="inlineStr">
        <is>
          <t>WSJYI041</t>
        </is>
      </c>
      <c r="L134" s="230" t="n">
        <v>1943.08</v>
      </c>
    </row>
    <row r="135">
      <c r="H135" s="230" t="n"/>
      <c r="L135" s="238">
        <f>SUM(L130:L134)</f>
        <v/>
      </c>
    </row>
    <row r="137">
      <c r="B137" s="4" t="n">
        <v>43320</v>
      </c>
      <c r="E137" s="4" t="n">
        <v>43321</v>
      </c>
      <c r="G137" s="4" t="n">
        <v>43328</v>
      </c>
    </row>
    <row r="138">
      <c r="C138" s="129" t="n">
        <v>-7504.98</v>
      </c>
      <c r="E138" s="129" t="n">
        <v>-7504.98</v>
      </c>
      <c r="F138" s="128" t="inlineStr">
        <is>
          <t>WSJYI044</t>
        </is>
      </c>
      <c r="G138" s="129" t="n">
        <v>-58.48</v>
      </c>
      <c r="H138" s="131" t="inlineStr">
        <is>
          <t>WSAPI045</t>
        </is>
      </c>
    </row>
    <row r="139">
      <c r="B139" s="129" t="n">
        <v>-7061.62</v>
      </c>
      <c r="C139" s="128" t="inlineStr">
        <is>
          <t>WSJY042Z</t>
        </is>
      </c>
      <c r="E139" s="129" t="n">
        <v>-2733.52</v>
      </c>
      <c r="F139" s="128" t="inlineStr">
        <is>
          <t>WSJYI047</t>
        </is>
      </c>
      <c r="G139" s="129" t="n">
        <v>-21178.4</v>
      </c>
      <c r="H139" s="128" t="inlineStr">
        <is>
          <t>WSJUI032</t>
        </is>
      </c>
      <c r="I139" t="n">
        <v>18461.8</v>
      </c>
      <c r="J139" t="inlineStr">
        <is>
          <t>WSAUI011</t>
        </is>
      </c>
      <c r="K139" t="n">
        <v>7729.49</v>
      </c>
      <c r="L139" t="inlineStr">
        <is>
          <t>WSAUI024</t>
        </is>
      </c>
    </row>
    <row r="140">
      <c r="B140" s="129" t="n">
        <v>-7061.62</v>
      </c>
      <c r="C140" s="128" t="inlineStr">
        <is>
          <t>WSJYI043</t>
        </is>
      </c>
      <c r="E140" s="129" t="n">
        <v>-2733.52</v>
      </c>
      <c r="F140" s="128" t="inlineStr">
        <is>
          <t>WSJYI046</t>
        </is>
      </c>
      <c r="G140" s="129" t="n">
        <v>-9737.120000000001</v>
      </c>
      <c r="H140" s="128" t="inlineStr">
        <is>
          <t>WSAUI001</t>
        </is>
      </c>
      <c r="I140" t="n">
        <v>92.40000000000001</v>
      </c>
      <c r="J140" t="inlineStr">
        <is>
          <t>WSAUI017</t>
        </is>
      </c>
      <c r="K140" t="n">
        <v>15458.98</v>
      </c>
      <c r="L140" t="inlineStr">
        <is>
          <t>WSAUI025</t>
        </is>
      </c>
    </row>
    <row r="141">
      <c r="B141" s="20">
        <f>SUM(B138:B140)</f>
        <v/>
      </c>
      <c r="C141" s="129" t="n"/>
      <c r="E141" s="129" t="n">
        <v>-2733.52</v>
      </c>
      <c r="F141" s="128" t="inlineStr">
        <is>
          <t>WSJYI045</t>
        </is>
      </c>
      <c r="G141" s="129" t="n">
        <v>-2031.6</v>
      </c>
      <c r="H141" s="128" t="inlineStr">
        <is>
          <t>WSAUI003</t>
        </is>
      </c>
      <c r="I141" t="n">
        <v>7658.88</v>
      </c>
      <c r="J141" t="inlineStr">
        <is>
          <t>WSAUI018</t>
        </is>
      </c>
      <c r="K141" t="n">
        <v>15458.98</v>
      </c>
      <c r="L141" t="inlineStr">
        <is>
          <t>WSAUI026</t>
        </is>
      </c>
    </row>
    <row r="142">
      <c r="C142" s="129" t="n"/>
      <c r="E142" s="129" t="n">
        <v>-156.52</v>
      </c>
      <c r="F142" s="128" t="inlineStr">
        <is>
          <t>WSAUI004</t>
        </is>
      </c>
      <c r="G142" s="129" t="n">
        <v>-10697.26</v>
      </c>
      <c r="H142" s="128" t="inlineStr">
        <is>
          <t>WSAUI005</t>
        </is>
      </c>
      <c r="I142" t="n">
        <v>13433.6</v>
      </c>
      <c r="J142" t="inlineStr">
        <is>
          <t>WSAUI021</t>
        </is>
      </c>
      <c r="K142" s="20">
        <f>SUM(K139:K141)</f>
        <v/>
      </c>
    </row>
    <row r="143">
      <c r="C143" s="129" t="n"/>
      <c r="E143" s="129" t="n">
        <v>-213.12</v>
      </c>
      <c r="F143" s="128" t="inlineStr">
        <is>
          <t>WSAUI016</t>
        </is>
      </c>
      <c r="G143" s="129" t="n">
        <v>-6362.84</v>
      </c>
      <c r="H143" s="128" t="inlineStr">
        <is>
          <t>WSAUI007</t>
        </is>
      </c>
      <c r="I143" t="n">
        <v>5085.82</v>
      </c>
      <c r="J143" t="inlineStr">
        <is>
          <t>WSJUI027</t>
        </is>
      </c>
    </row>
    <row r="144">
      <c r="C144" s="46" t="n"/>
      <c r="E144" s="85">
        <f>SUM(E138:E143)</f>
        <v/>
      </c>
      <c r="G144" s="129" t="n">
        <v>-8116.4</v>
      </c>
      <c r="H144" s="128" t="inlineStr">
        <is>
          <t>WSAUI009</t>
        </is>
      </c>
      <c r="I144" s="20">
        <f>SUM(I139:I143)</f>
        <v/>
      </c>
      <c r="K144" s="230" t="n">
        <v>6122.25</v>
      </c>
      <c r="L144" t="inlineStr">
        <is>
          <t>WSAUI028</t>
        </is>
      </c>
      <c r="M144" t="n">
        <v>233.4</v>
      </c>
      <c r="N144" t="inlineStr">
        <is>
          <t>WSAUI029</t>
        </is>
      </c>
    </row>
    <row r="145">
      <c r="G145" s="129" t="n">
        <v>-7952.78</v>
      </c>
      <c r="H145" s="128" t="inlineStr">
        <is>
          <t>WSAUI008</t>
        </is>
      </c>
      <c r="K145" s="230" t="n">
        <v>3584</v>
      </c>
      <c r="L145" t="inlineStr">
        <is>
          <t>WSAUI030</t>
        </is>
      </c>
      <c r="M145" t="n">
        <v>189.36</v>
      </c>
      <c r="N145" t="inlineStr">
        <is>
          <t>WSAUI036</t>
        </is>
      </c>
    </row>
    <row r="146">
      <c r="G146" s="129" t="n">
        <v>-16642.44</v>
      </c>
      <c r="H146" s="128" t="inlineStr">
        <is>
          <t>WSAUI010</t>
        </is>
      </c>
      <c r="I146" t="n">
        <v>1225.68</v>
      </c>
      <c r="J146" t="inlineStr">
        <is>
          <t>WSAUI022</t>
        </is>
      </c>
      <c r="K146" s="230" t="n">
        <v>3584</v>
      </c>
      <c r="L146" t="inlineStr">
        <is>
          <t>WSAUI031</t>
        </is>
      </c>
      <c r="M146" t="n">
        <v>4590.96</v>
      </c>
      <c r="N146" t="inlineStr">
        <is>
          <t>WSAUI037</t>
        </is>
      </c>
    </row>
    <row r="147">
      <c r="G147" s="129" t="n">
        <v>-2851.52</v>
      </c>
      <c r="H147" s="128" t="inlineStr">
        <is>
          <t>WSAUI013</t>
        </is>
      </c>
      <c r="I147" t="n">
        <v>2864.6</v>
      </c>
      <c r="J147" t="inlineStr">
        <is>
          <t>WSAUI027</t>
        </is>
      </c>
      <c r="K147" s="230" t="n">
        <v>5304.32</v>
      </c>
      <c r="L147" t="inlineStr">
        <is>
          <t>WSAUI032</t>
        </is>
      </c>
      <c r="M147" t="n">
        <v>7093.66</v>
      </c>
      <c r="N147" t="inlineStr">
        <is>
          <t>WSAUI038</t>
        </is>
      </c>
    </row>
    <row r="148">
      <c r="G148" s="129" t="n">
        <v>-3564.4</v>
      </c>
      <c r="H148" s="128" t="inlineStr">
        <is>
          <t>WSAUI014</t>
        </is>
      </c>
      <c r="I148" s="20">
        <f>SUM(I146:I147)</f>
        <v/>
      </c>
      <c r="K148" s="262" t="n">
        <v>7158.7</v>
      </c>
      <c r="L148" t="inlineStr">
        <is>
          <t>WSAU033</t>
        </is>
      </c>
      <c r="M148" s="20">
        <f>SUM(M144:M147)</f>
        <v/>
      </c>
    </row>
    <row r="149">
      <c r="G149" s="129" t="n">
        <v>-2434.92</v>
      </c>
      <c r="H149" s="128" t="inlineStr">
        <is>
          <t>WSAUI015</t>
        </is>
      </c>
      <c r="K149" s="262" t="n">
        <v>7158.7</v>
      </c>
      <c r="L149" t="inlineStr">
        <is>
          <t>WSAU034Z</t>
        </is>
      </c>
    </row>
    <row r="150">
      <c r="G150" s="129" t="n">
        <v>-2851.52</v>
      </c>
      <c r="H150" s="128" t="inlineStr">
        <is>
          <t>WSAUI012</t>
        </is>
      </c>
      <c r="K150" s="20">
        <f>SUM(K144:K149)</f>
        <v/>
      </c>
    </row>
    <row r="151">
      <c r="G151" s="129" t="n">
        <v>-3194.63</v>
      </c>
      <c r="H151" s="128" t="inlineStr">
        <is>
          <t>WSAUI020</t>
        </is>
      </c>
    </row>
    <row r="152">
      <c r="G152" s="85">
        <f>SUM(G138:G151)</f>
        <v/>
      </c>
    </row>
    <row r="153">
      <c r="D153" t="n">
        <v>2618.1</v>
      </c>
      <c r="E153" t="inlineStr">
        <is>
          <t>WSAUI039</t>
        </is>
      </c>
      <c r="F153" s="262" t="n">
        <v>5694.66</v>
      </c>
      <c r="G153" t="inlineStr">
        <is>
          <t>WSAUI041</t>
        </is>
      </c>
      <c r="H153" s="230" t="n">
        <v>8858.360000000001</v>
      </c>
      <c r="I153" t="inlineStr">
        <is>
          <t>WSAUI050</t>
        </is>
      </c>
      <c r="J153" t="n">
        <v>27507.2</v>
      </c>
      <c r="K153" t="inlineStr">
        <is>
          <t>WSAUI047</t>
        </is>
      </c>
      <c r="L153" s="20" t="n">
        <v>2244.7</v>
      </c>
      <c r="M153" t="inlineStr">
        <is>
          <t>WSSEI003</t>
        </is>
      </c>
    </row>
    <row r="154">
      <c r="D154" t="n">
        <v>1616.02</v>
      </c>
      <c r="E154" t="inlineStr">
        <is>
          <t>WSAUI040</t>
        </is>
      </c>
      <c r="F154" s="262" t="n">
        <v>2800.92</v>
      </c>
      <c r="G154" t="inlineStr">
        <is>
          <t>WSAUI044</t>
        </is>
      </c>
      <c r="H154" s="230" t="n">
        <v>2884</v>
      </c>
      <c r="I154" t="inlineStr">
        <is>
          <t>WSAUI052</t>
        </is>
      </c>
      <c r="J154" t="n">
        <v>3137</v>
      </c>
      <c r="K154" t="inlineStr">
        <is>
          <t>WSAUI048</t>
        </is>
      </c>
    </row>
    <row r="155">
      <c r="D155" t="n">
        <v>1868.22</v>
      </c>
      <c r="E155" t="inlineStr">
        <is>
          <t>WSAUI042</t>
        </is>
      </c>
      <c r="F155" s="238">
        <f>SUM(F153:F154)</f>
        <v/>
      </c>
      <c r="H155" s="230" t="n">
        <v>11617.9</v>
      </c>
      <c r="I155" t="inlineStr">
        <is>
          <t>WSAUI054</t>
        </is>
      </c>
      <c r="J155" t="n">
        <v>10646.3</v>
      </c>
      <c r="K155" t="inlineStr">
        <is>
          <t>WSAUI049</t>
        </is>
      </c>
    </row>
    <row r="156">
      <c r="D156" t="n">
        <v>5383.51</v>
      </c>
      <c r="E156" t="inlineStr">
        <is>
          <t>WSAUI043</t>
        </is>
      </c>
      <c r="H156" s="20">
        <f>SUM(H153:H155)</f>
        <v/>
      </c>
      <c r="J156" t="n">
        <v>3808.8</v>
      </c>
      <c r="K156" t="inlineStr">
        <is>
          <t>WSAUI053</t>
        </is>
      </c>
    </row>
    <row r="157">
      <c r="D157" s="20">
        <f>SUM(D153:D156)</f>
        <v/>
      </c>
      <c r="J157" t="n">
        <v>845.8200000000001</v>
      </c>
      <c r="K157" t="inlineStr">
        <is>
          <t>WSMRI015</t>
        </is>
      </c>
    </row>
    <row r="158">
      <c r="J158" t="n">
        <v>98.45</v>
      </c>
      <c r="K158" t="inlineStr">
        <is>
          <t>WSAUI051</t>
        </is>
      </c>
    </row>
    <row r="159">
      <c r="G159" t="inlineStr">
        <is>
          <t>voice</t>
        </is>
      </c>
      <c r="J159" s="20">
        <f>SUM(J153:J158)</f>
        <v/>
      </c>
    </row>
    <row customHeight="1" ht="18.75" r="162">
      <c r="E162" s="55" t="inlineStr">
        <is>
          <t>Date</t>
        </is>
      </c>
      <c r="F162" s="55" t="inlineStr">
        <is>
          <t>Invoice</t>
        </is>
      </c>
      <c r="G162" s="55" t="inlineStr">
        <is>
          <t>Amount</t>
        </is>
      </c>
    </row>
    <row r="163">
      <c r="E163" s="4" t="n">
        <v>43361</v>
      </c>
      <c r="F163" t="inlineStr">
        <is>
          <t>WSSEI004</t>
        </is>
      </c>
      <c r="G163" s="230" t="n">
        <v>2979.2</v>
      </c>
    </row>
    <row r="164">
      <c r="E164" s="4" t="n">
        <v>43361</v>
      </c>
      <c r="F164" t="inlineStr">
        <is>
          <t>WSSEI005</t>
        </is>
      </c>
      <c r="G164" s="230" t="n">
        <v>4468.8</v>
      </c>
    </row>
    <row r="165">
      <c r="E165" s="4" t="n">
        <v>43361</v>
      </c>
      <c r="F165" t="inlineStr">
        <is>
          <t>WSSEI007</t>
        </is>
      </c>
      <c r="G165" s="230" t="n">
        <v>464.8</v>
      </c>
    </row>
    <row r="166">
      <c r="E166" s="4" t="n">
        <v>43361</v>
      </c>
      <c r="F166" t="inlineStr">
        <is>
          <t>WSSEI008</t>
        </is>
      </c>
      <c r="G166" s="230" t="n">
        <v>221.6</v>
      </c>
    </row>
    <row r="167">
      <c r="G167" s="236">
        <f>SUM(G163:G166)</f>
        <v/>
      </c>
    </row>
    <row r="168">
      <c r="E168" s="4" t="n"/>
      <c r="G168" s="230" t="n"/>
    </row>
    <row r="169">
      <c r="G169" s="230" t="n"/>
    </row>
    <row r="170">
      <c r="G170" s="233">
        <f>SUM(G168:G169)</f>
        <v/>
      </c>
    </row>
    <row r="171">
      <c r="F171" t="inlineStr">
        <is>
          <t>WSSEI001</t>
        </is>
      </c>
      <c r="G171" s="230" t="n">
        <v>4427.04</v>
      </c>
      <c r="J171" t="inlineStr">
        <is>
          <t>WSSEI010</t>
        </is>
      </c>
      <c r="K171" s="230" t="n">
        <v>15594.88</v>
      </c>
      <c r="L171" t="inlineStr">
        <is>
          <t>WSAUI046</t>
        </is>
      </c>
      <c r="M171" s="230" t="n">
        <v>8862.120000000001</v>
      </c>
      <c r="O171" s="230" t="n"/>
      <c r="P171" t="inlineStr">
        <is>
          <t>WSOCI012</t>
        </is>
      </c>
      <c r="Q171" s="230" t="n">
        <v>19693.93</v>
      </c>
      <c r="R171" t="inlineStr">
        <is>
          <t>WSSEI041</t>
        </is>
      </c>
      <c r="S171" s="236" t="n">
        <v>23359.22</v>
      </c>
    </row>
    <row r="172">
      <c r="F172" t="inlineStr">
        <is>
          <t>WSSEI002</t>
        </is>
      </c>
      <c r="G172" s="230" t="n">
        <v>8147.96</v>
      </c>
      <c r="H172" t="n">
        <v>27</v>
      </c>
      <c r="I172" s="230" t="n">
        <v>6276.24</v>
      </c>
      <c r="J172" t="inlineStr">
        <is>
          <t>WSSEI030</t>
        </is>
      </c>
      <c r="K172" s="230" t="n">
        <v>6538.4</v>
      </c>
      <c r="L172" t="inlineStr">
        <is>
          <t>WSSEI009</t>
        </is>
      </c>
      <c r="M172" s="230" t="n">
        <v>1902.48</v>
      </c>
      <c r="O172" s="230" t="n"/>
      <c r="P172" t="inlineStr">
        <is>
          <t>WSOCI015</t>
        </is>
      </c>
      <c r="Q172" t="n">
        <v>11629.84</v>
      </c>
    </row>
    <row r="173">
      <c r="F173" t="inlineStr">
        <is>
          <t>WSSEI006</t>
        </is>
      </c>
      <c r="G173" s="230" t="n">
        <v>6080.2</v>
      </c>
      <c r="H173" t="n">
        <v>38</v>
      </c>
      <c r="I173" s="230" t="n">
        <v>6328</v>
      </c>
      <c r="J173" t="inlineStr">
        <is>
          <t>WSSEI023</t>
        </is>
      </c>
      <c r="K173" s="262" t="n">
        <v>3287</v>
      </c>
      <c r="L173" t="inlineStr">
        <is>
          <t>WSSEI031</t>
        </is>
      </c>
      <c r="M173" s="230" t="n">
        <v>8553.540000000001</v>
      </c>
      <c r="O173" s="233" t="n"/>
      <c r="Q173" s="238">
        <f>SUM(Q171:Q172)</f>
        <v/>
      </c>
      <c r="R173" t="inlineStr">
        <is>
          <t>WSOCI007</t>
        </is>
      </c>
      <c r="S173" s="230" t="n">
        <v>129.03</v>
      </c>
    </row>
    <row r="174">
      <c r="F174" t="inlineStr">
        <is>
          <t>WSSEI011</t>
        </is>
      </c>
      <c r="G174" s="230" t="n">
        <v>8238.450000000001</v>
      </c>
      <c r="H174" s="99" t="n">
        <v>43314</v>
      </c>
      <c r="I174" t="n">
        <v>230</v>
      </c>
      <c r="J174" t="inlineStr">
        <is>
          <t>WSSEI025</t>
        </is>
      </c>
      <c r="K174" s="263" t="n">
        <v>3036.4</v>
      </c>
      <c r="L174" t="inlineStr">
        <is>
          <t>WSSEI032</t>
        </is>
      </c>
      <c r="M174" s="230" t="n">
        <v>2908.88</v>
      </c>
      <c r="R174" t="inlineStr">
        <is>
          <t>WSOCI021</t>
        </is>
      </c>
      <c r="S174" s="230" t="n">
        <v>6931.2</v>
      </c>
    </row>
    <row r="175">
      <c r="F175" t="inlineStr">
        <is>
          <t>WSSEI014</t>
        </is>
      </c>
      <c r="G175" s="230" t="n">
        <v>1649.83</v>
      </c>
      <c r="H175" t="n">
        <v>20</v>
      </c>
      <c r="I175" s="262" t="n">
        <v>5273.8</v>
      </c>
      <c r="J175" t="inlineStr">
        <is>
          <t>WSSEI018</t>
        </is>
      </c>
      <c r="K175" s="230" t="n">
        <v>647.29</v>
      </c>
      <c r="L175" t="inlineStr">
        <is>
          <t>WSSEI033</t>
        </is>
      </c>
      <c r="M175" s="230" t="n">
        <v>3389</v>
      </c>
      <c r="N175" t="inlineStr">
        <is>
          <t>WSOSI001</t>
        </is>
      </c>
      <c r="O175" s="230" t="n">
        <v>7294.38</v>
      </c>
      <c r="P175" t="inlineStr">
        <is>
          <t>WSOCI013</t>
        </is>
      </c>
      <c r="Q175" s="230" t="n">
        <v>3323.7</v>
      </c>
      <c r="R175" t="inlineStr">
        <is>
          <t>WSOCI022</t>
        </is>
      </c>
      <c r="S175" s="230" t="n">
        <v>11667.6</v>
      </c>
    </row>
    <row r="176">
      <c r="F176" t="inlineStr">
        <is>
          <t>WSSEI015</t>
        </is>
      </c>
      <c r="G176" s="230" t="n">
        <v>3535.35</v>
      </c>
      <c r="I176" s="233" t="n"/>
      <c r="J176" t="inlineStr">
        <is>
          <t>WSSEI039</t>
        </is>
      </c>
      <c r="K176" s="230" t="n">
        <v>1244.5</v>
      </c>
      <c r="L176" t="inlineStr">
        <is>
          <t>WSSEI034</t>
        </is>
      </c>
      <c r="M176" s="230" t="n">
        <v>3389</v>
      </c>
      <c r="N176" t="inlineStr">
        <is>
          <t>WSOCI004</t>
        </is>
      </c>
      <c r="O176" s="230" t="n">
        <v>4072.8</v>
      </c>
      <c r="P176" t="inlineStr">
        <is>
          <t>WSOCI014</t>
        </is>
      </c>
      <c r="Q176" s="230" t="n">
        <v>311.64</v>
      </c>
      <c r="R176" t="inlineStr">
        <is>
          <t>WSOCI023</t>
        </is>
      </c>
      <c r="S176" s="230" t="n">
        <v>8258.459999999999</v>
      </c>
    </row>
    <row r="177">
      <c r="F177" t="inlineStr">
        <is>
          <t>WSSEI019</t>
        </is>
      </c>
      <c r="G177" s="230" t="n">
        <v>2774.1</v>
      </c>
      <c r="J177" t="n">
        <v>24</v>
      </c>
      <c r="K177" s="262" t="n">
        <v>990.96</v>
      </c>
      <c r="L177" t="inlineStr">
        <is>
          <t>WSSEI035</t>
        </is>
      </c>
      <c r="M177" s="230" t="n">
        <v>3389</v>
      </c>
      <c r="N177" t="inlineStr">
        <is>
          <t>WSAUI045</t>
        </is>
      </c>
      <c r="O177" s="230" t="n">
        <v>8369.780000000001</v>
      </c>
      <c r="P177" t="inlineStr">
        <is>
          <t>WSOCI016</t>
        </is>
      </c>
      <c r="Q177" s="230" t="n">
        <v>24715.36</v>
      </c>
      <c r="S177" s="246">
        <f>SUM(S173:S176)</f>
        <v/>
      </c>
    </row>
    <row r="178">
      <c r="F178" t="inlineStr">
        <is>
          <t>WSSEI021</t>
        </is>
      </c>
      <c r="G178" s="230" t="n">
        <v>4423.44</v>
      </c>
      <c r="J178" t="n">
        <v>27</v>
      </c>
      <c r="K178" s="230" t="n">
        <v>6276.24</v>
      </c>
      <c r="L178" t="inlineStr">
        <is>
          <t>WSSEI036</t>
        </is>
      </c>
      <c r="M178" s="230" t="n">
        <v>4066.8</v>
      </c>
      <c r="O178" s="236">
        <f>SUM(O175:O177)</f>
        <v/>
      </c>
      <c r="P178" t="inlineStr">
        <is>
          <t>WSSEI028</t>
        </is>
      </c>
      <c r="Q178" s="230" t="n">
        <v>12280.2</v>
      </c>
    </row>
    <row r="179">
      <c r="G179" s="238">
        <f>SUM(G171:G178)</f>
        <v/>
      </c>
      <c r="J179" t="n">
        <v>38</v>
      </c>
      <c r="K179" s="230" t="n">
        <v>6328</v>
      </c>
      <c r="L179" t="inlineStr">
        <is>
          <t>WSSEI037</t>
        </is>
      </c>
      <c r="M179" s="230" t="n">
        <v>3691.04</v>
      </c>
      <c r="O179" s="230" t="n"/>
      <c r="Q179" s="236">
        <f>SUM(Q175:Q178)</f>
        <v/>
      </c>
    </row>
    <row r="180">
      <c r="J180" t="inlineStr">
        <is>
          <t>WSAU002</t>
        </is>
      </c>
      <c r="K180" s="230" t="n">
        <v>215.28</v>
      </c>
      <c r="L180" t="inlineStr">
        <is>
          <t>WSSEI040</t>
        </is>
      </c>
      <c r="M180" s="230" t="n">
        <v>10799.46</v>
      </c>
      <c r="N180" t="inlineStr">
        <is>
          <t>WSSEI045</t>
        </is>
      </c>
      <c r="O180" s="236" t="n">
        <v>549.42</v>
      </c>
    </row>
    <row r="181">
      <c r="F181" t="inlineStr">
        <is>
          <t>WSSEI017</t>
        </is>
      </c>
      <c r="G181" s="20" t="n">
        <v>2159.92</v>
      </c>
      <c r="J181" t="n">
        <v>20</v>
      </c>
      <c r="K181" s="262" t="n">
        <v>5273.8</v>
      </c>
      <c r="L181" t="inlineStr">
        <is>
          <t>WSSEI042</t>
        </is>
      </c>
      <c r="M181" s="230" t="n">
        <v>16047.25</v>
      </c>
      <c r="P181" t="inlineStr">
        <is>
          <t>WSOCI017</t>
        </is>
      </c>
      <c r="Q181" s="236" t="n">
        <v>2418.74</v>
      </c>
    </row>
    <row r="182">
      <c r="J182" t="inlineStr">
        <is>
          <t>WSSEI022</t>
        </is>
      </c>
      <c r="K182" s="262" t="n">
        <v>916.83</v>
      </c>
      <c r="L182" t="inlineStr">
        <is>
          <t>WSSEI043</t>
        </is>
      </c>
      <c r="M182" s="230" t="n">
        <v>1282.15</v>
      </c>
      <c r="N182" t="inlineStr">
        <is>
          <t>WSOCI010</t>
        </is>
      </c>
      <c r="O182" s="230" t="n">
        <v>5299.65</v>
      </c>
    </row>
    <row r="183">
      <c r="F183" t="inlineStr">
        <is>
          <t>WSSEI013</t>
        </is>
      </c>
      <c r="G183" s="20" t="n">
        <v>78</v>
      </c>
      <c r="K183" s="238">
        <f>SUM(K171:K182)</f>
        <v/>
      </c>
      <c r="L183" t="inlineStr">
        <is>
          <t>WSSEI044</t>
        </is>
      </c>
      <c r="M183" s="230" t="n">
        <v>289.78</v>
      </c>
      <c r="N183" t="inlineStr">
        <is>
          <t>WSOSI002</t>
        </is>
      </c>
      <c r="O183" s="230" t="n">
        <v>13611</v>
      </c>
      <c r="P183" t="inlineStr">
        <is>
          <t>WSOCI018</t>
        </is>
      </c>
      <c r="Q183" s="230" t="n">
        <v>15937.1</v>
      </c>
    </row>
    <row r="184">
      <c r="M184" s="236">
        <f>SUM(M171:M183)</f>
        <v/>
      </c>
      <c r="O184" s="236">
        <f>SUM(O182:O183)</f>
        <v/>
      </c>
      <c r="P184" t="inlineStr">
        <is>
          <t>WSOCI019</t>
        </is>
      </c>
      <c r="Q184" s="230" t="n">
        <v>2169.3</v>
      </c>
    </row>
    <row r="185">
      <c r="F185" t="inlineStr">
        <is>
          <t>WSSEI012</t>
        </is>
      </c>
      <c r="G185" s="230" t="n">
        <v>1372.8</v>
      </c>
      <c r="P185" t="inlineStr">
        <is>
          <t>WSOCI020</t>
        </is>
      </c>
      <c r="Q185" s="230" t="n">
        <v>3042.55</v>
      </c>
    </row>
    <row r="186">
      <c r="F186" t="inlineStr">
        <is>
          <t>WSSEI026</t>
        </is>
      </c>
      <c r="G186" s="230" t="n">
        <v>1439.49</v>
      </c>
      <c r="N186" t="inlineStr">
        <is>
          <t>WSOCI008</t>
        </is>
      </c>
      <c r="O186" s="236" t="n">
        <v>1729.49</v>
      </c>
      <c r="Q186" s="238">
        <f>SUM(Q183:Q185)</f>
        <v/>
      </c>
    </row>
    <row r="187">
      <c r="G187" s="238">
        <f>SUM(G185:G186)</f>
        <v/>
      </c>
    </row>
    <row r="189">
      <c r="B189" s="5" t="inlineStr">
        <is>
          <t>Invoices Paid in Nov 2018</t>
        </is>
      </c>
    </row>
    <row r="191">
      <c r="B191" t="inlineStr">
        <is>
          <t>WSAUI006</t>
        </is>
      </c>
      <c r="C191" s="230" t="n">
        <v>10980.67</v>
      </c>
      <c r="D191" s="3" t="n">
        <v>10.67</v>
      </c>
      <c r="E191" t="inlineStr">
        <is>
          <t>WSOCI030</t>
        </is>
      </c>
      <c r="F191" s="230" t="n">
        <v>6923.52</v>
      </c>
      <c r="G191" t="inlineStr">
        <is>
          <t>WSOCI032</t>
        </is>
      </c>
      <c r="H191" s="230" t="n">
        <v>1470.6</v>
      </c>
      <c r="I191" t="inlineStr">
        <is>
          <t>WSOCI041</t>
        </is>
      </c>
      <c r="J191" s="230" t="n">
        <v>9345.48</v>
      </c>
      <c r="K191" t="inlineStr">
        <is>
          <t>WSOCI031</t>
        </is>
      </c>
      <c r="L191" s="230" t="n">
        <v>1671.32</v>
      </c>
    </row>
    <row r="192">
      <c r="B192" t="inlineStr">
        <is>
          <t>WSAUI019</t>
        </is>
      </c>
      <c r="C192" s="230" t="n">
        <v>742.89</v>
      </c>
      <c r="E192" t="inlineStr">
        <is>
          <t>WSOCI035</t>
        </is>
      </c>
      <c r="F192" s="230" t="n">
        <v>1669.29</v>
      </c>
      <c r="G192" t="inlineStr">
        <is>
          <t>WSOCI034</t>
        </is>
      </c>
      <c r="H192" s="230" t="n">
        <v>5769</v>
      </c>
      <c r="I192" t="inlineStr">
        <is>
          <t>WSOCI042</t>
        </is>
      </c>
      <c r="J192" s="230" t="n">
        <v>2029.76</v>
      </c>
      <c r="K192" t="inlineStr">
        <is>
          <t>WSOCI043</t>
        </is>
      </c>
      <c r="L192" s="230" t="n">
        <v>5266.8</v>
      </c>
    </row>
    <row r="193">
      <c r="B193" t="inlineStr">
        <is>
          <t>WSOCI003</t>
        </is>
      </c>
      <c r="C193" s="230" t="n">
        <v>10.45</v>
      </c>
      <c r="D193" s="51" t="n">
        <v>959.3099999999999</v>
      </c>
      <c r="E193" t="inlineStr">
        <is>
          <t>WSOCI039</t>
        </is>
      </c>
      <c r="F193" s="230" t="n">
        <v>6409.76</v>
      </c>
      <c r="H193" s="236">
        <f>SUM(H191:H192)</f>
        <v/>
      </c>
      <c r="I193" t="inlineStr">
        <is>
          <t>WSOCI044</t>
        </is>
      </c>
      <c r="J193" s="230" t="n">
        <v>12240.69</v>
      </c>
      <c r="L193" s="238">
        <f>SUM(L191:L192)</f>
        <v/>
      </c>
    </row>
    <row r="194">
      <c r="B194" t="inlineStr">
        <is>
          <t>WSOCI025</t>
        </is>
      </c>
      <c r="C194" s="230" t="n">
        <v>26436.6</v>
      </c>
      <c r="F194" s="236">
        <f>SUM(F191:F193)</f>
        <v/>
      </c>
      <c r="G194" s="4" t="n">
        <v>43412</v>
      </c>
      <c r="I194" t="inlineStr">
        <is>
          <t>WSOCI045</t>
        </is>
      </c>
      <c r="J194" s="230" t="n">
        <v>519.64</v>
      </c>
    </row>
    <row r="195">
      <c r="B195" t="inlineStr">
        <is>
          <t>WSOCI027</t>
        </is>
      </c>
      <c r="C195" s="230" t="n">
        <v>2147.1</v>
      </c>
      <c r="G195" t="inlineStr">
        <is>
          <t>WSOCI038</t>
        </is>
      </c>
      <c r="H195" s="236" t="n">
        <v>4694.82</v>
      </c>
      <c r="I195" t="inlineStr">
        <is>
          <t>WSOCI046</t>
        </is>
      </c>
      <c r="J195" s="230" t="n">
        <v>1282.15</v>
      </c>
    </row>
    <row r="196">
      <c r="B196" t="inlineStr">
        <is>
          <t>WSOCI028</t>
        </is>
      </c>
      <c r="C196" s="230" t="n">
        <v>3370.72</v>
      </c>
      <c r="I196" t="inlineStr">
        <is>
          <t>WSOCI047</t>
        </is>
      </c>
      <c r="J196" s="230" t="n">
        <v>5026.73</v>
      </c>
    </row>
    <row r="197">
      <c r="B197" t="inlineStr">
        <is>
          <t>WSOCI033</t>
        </is>
      </c>
      <c r="C197" s="230" t="n">
        <v>1058</v>
      </c>
      <c r="J197" s="236">
        <f>SUM(J191:J196)</f>
        <v/>
      </c>
    </row>
    <row r="198">
      <c r="C198" s="236">
        <f>SUM(C191:C197)</f>
        <v/>
      </c>
    </row>
    <row r="200">
      <c r="B200" t="inlineStr">
        <is>
          <t>WSNVI008</t>
        </is>
      </c>
      <c r="C200" s="230" t="n">
        <v>2492.9</v>
      </c>
      <c r="D200" t="inlineStr">
        <is>
          <t>WSNVI009</t>
        </is>
      </c>
      <c r="E200" s="230" t="n">
        <v>1710.14</v>
      </c>
      <c r="F200" t="inlineStr">
        <is>
          <t>WSNVI013</t>
        </is>
      </c>
      <c r="G200" s="230" t="n">
        <v>4273.68</v>
      </c>
      <c r="H200" t="inlineStr">
        <is>
          <t>WSNVI015</t>
        </is>
      </c>
      <c r="I200" s="230" t="n">
        <v>7868.52</v>
      </c>
      <c r="J200" t="inlineStr">
        <is>
          <t>WSNVI020</t>
        </is>
      </c>
      <c r="K200" s="230" t="n">
        <v>1389.2</v>
      </c>
    </row>
    <row r="201">
      <c r="B201" t="inlineStr">
        <is>
          <t>WSNVI010</t>
        </is>
      </c>
      <c r="C201" s="230" t="n">
        <v>298</v>
      </c>
      <c r="D201" t="inlineStr">
        <is>
          <t>WSOCI024</t>
        </is>
      </c>
      <c r="E201" s="230" t="n">
        <v>1484.2</v>
      </c>
      <c r="F201" t="inlineStr">
        <is>
          <t>WSNVI014</t>
        </is>
      </c>
      <c r="G201" s="230" t="n">
        <v>23617.6</v>
      </c>
      <c r="H201" t="inlineStr">
        <is>
          <t>WSNVI017</t>
        </is>
      </c>
      <c r="I201" s="230" t="n">
        <v>6109</v>
      </c>
      <c r="J201" t="inlineStr">
        <is>
          <t>WSNVI021</t>
        </is>
      </c>
      <c r="K201" s="230" t="n">
        <v>3746.4</v>
      </c>
    </row>
    <row r="202">
      <c r="B202" t="inlineStr">
        <is>
          <t>WSNVI012</t>
        </is>
      </c>
      <c r="C202" s="230" t="n">
        <v>16672.74</v>
      </c>
      <c r="D202" t="inlineStr">
        <is>
          <t>WSOCI026</t>
        </is>
      </c>
      <c r="E202" s="230" t="n">
        <v>2189.28</v>
      </c>
      <c r="F202" t="inlineStr">
        <is>
          <t>WSNVI016</t>
        </is>
      </c>
      <c r="G202" s="230" t="n">
        <v>1629.45</v>
      </c>
      <c r="H202" t="inlineStr">
        <is>
          <t>WSNVI018</t>
        </is>
      </c>
      <c r="I202" s="230" t="n">
        <v>16026</v>
      </c>
      <c r="J202" t="inlineStr">
        <is>
          <t>WSNVI022</t>
        </is>
      </c>
      <c r="K202" s="230" t="n">
        <v>2997.12</v>
      </c>
    </row>
    <row r="203">
      <c r="B203" t="inlineStr">
        <is>
          <t>WSOCI036</t>
        </is>
      </c>
      <c r="C203" s="230" t="n">
        <v>8140.68</v>
      </c>
      <c r="E203" s="236">
        <f>SUM(E200:E202)</f>
        <v/>
      </c>
      <c r="G203" s="236">
        <f>SUM(G200:G202)</f>
        <v/>
      </c>
      <c r="H203" t="inlineStr">
        <is>
          <t>WSNVI019</t>
        </is>
      </c>
      <c r="I203" s="230" t="n">
        <v>11493.76</v>
      </c>
      <c r="J203" t="inlineStr">
        <is>
          <t>WSNVI023</t>
        </is>
      </c>
      <c r="K203" s="230" t="n">
        <v>2997.12</v>
      </c>
    </row>
    <row r="204">
      <c r="B204" t="inlineStr">
        <is>
          <t>WSOCI048</t>
        </is>
      </c>
      <c r="C204" s="230" t="n">
        <v>8682.4</v>
      </c>
      <c r="H204" t="inlineStr">
        <is>
          <t>WSOCI037</t>
        </is>
      </c>
      <c r="I204" s="230" t="n">
        <v>14230.32</v>
      </c>
      <c r="J204" t="inlineStr">
        <is>
          <t>WSNVI024</t>
        </is>
      </c>
      <c r="K204" s="230" t="n">
        <v>5558.4</v>
      </c>
    </row>
    <row r="205">
      <c r="C205" s="236">
        <f>SUM(C200:C204)</f>
        <v/>
      </c>
      <c r="I205" s="236">
        <f>SUM(I200:I204)</f>
        <v/>
      </c>
      <c r="J205" t="inlineStr">
        <is>
          <t>WSNVI025</t>
        </is>
      </c>
      <c r="K205" s="230" t="n">
        <v>4366</v>
      </c>
    </row>
    <row r="206">
      <c r="J206" t="inlineStr">
        <is>
          <t>WSNVI026</t>
        </is>
      </c>
      <c r="K206" s="230" t="n">
        <v>4014.42</v>
      </c>
    </row>
    <row r="207">
      <c r="J207" t="inlineStr">
        <is>
          <t>WSNVI027</t>
        </is>
      </c>
      <c r="K207" s="230" t="n">
        <v>11493.76</v>
      </c>
    </row>
    <row r="208">
      <c r="J208" t="inlineStr">
        <is>
          <t>WSNVI028</t>
        </is>
      </c>
      <c r="K208" s="230" t="n">
        <v>11493.76</v>
      </c>
    </row>
    <row r="209">
      <c r="J209" t="inlineStr">
        <is>
          <t>WSNVI029</t>
        </is>
      </c>
      <c r="K209" s="230" t="n">
        <v>11493.76</v>
      </c>
    </row>
    <row r="210">
      <c r="J210" t="inlineStr">
        <is>
          <t>WSNVI030</t>
        </is>
      </c>
      <c r="K210" s="230" t="n">
        <v>2326.84</v>
      </c>
    </row>
    <row r="211">
      <c r="J211" t="inlineStr">
        <is>
          <t>WSNVI031</t>
        </is>
      </c>
      <c r="K211" s="230" t="n">
        <v>14864.01</v>
      </c>
    </row>
    <row r="212">
      <c r="J212" t="inlineStr">
        <is>
          <t>WSNVI132</t>
        </is>
      </c>
      <c r="K212" s="230" t="n">
        <v>21623.36</v>
      </c>
    </row>
    <row r="213">
      <c r="K213" s="236">
        <f>SUM(K200:K212)</f>
        <v/>
      </c>
    </row>
    <row r="214">
      <c r="B214" s="5" t="inlineStr">
        <is>
          <t>DEC2018 Payments Received</t>
        </is>
      </c>
      <c r="C214" s="5" t="n"/>
    </row>
    <row r="216">
      <c r="B216" t="inlineStr">
        <is>
          <t>WSNVI135</t>
        </is>
      </c>
      <c r="C216" s="236" t="n">
        <v>2503.62</v>
      </c>
      <c r="D216" t="inlineStr">
        <is>
          <t>WSNVI140</t>
        </is>
      </c>
      <c r="E216" s="236" t="n">
        <v>2248.35</v>
      </c>
      <c r="F216" t="inlineStr">
        <is>
          <t>WSDEI107</t>
        </is>
      </c>
      <c r="G216" s="230" t="n">
        <v>25219.67</v>
      </c>
    </row>
    <row r="217">
      <c r="F217" t="inlineStr">
        <is>
          <t>WSNVI139</t>
        </is>
      </c>
      <c r="G217" s="230" t="n">
        <v>3893.13</v>
      </c>
    </row>
    <row r="218">
      <c r="B218" s="4" t="n">
        <v>43441</v>
      </c>
      <c r="G218" s="236">
        <f>SUM(G216:G217)</f>
        <v/>
      </c>
    </row>
    <row r="219">
      <c r="B219" t="inlineStr">
        <is>
          <t>WSNVI133</t>
        </is>
      </c>
      <c r="C219" s="230" t="n">
        <v>10684</v>
      </c>
    </row>
    <row r="220">
      <c r="B220" t="inlineStr">
        <is>
          <t>WSNVI137</t>
        </is>
      </c>
      <c r="C220" s="230" t="n">
        <v>4288.54</v>
      </c>
      <c r="F220" t="inlineStr">
        <is>
          <t>WSDEI108</t>
        </is>
      </c>
      <c r="G220" s="236" t="n">
        <v>10125.64</v>
      </c>
    </row>
    <row r="221">
      <c r="C221" s="236">
        <f>SUM(C219:C220)</f>
        <v/>
      </c>
    </row>
    <row r="222">
      <c r="F222" t="inlineStr">
        <is>
          <t>WSDEI105</t>
        </is>
      </c>
      <c r="G222" s="230" t="n">
        <v>1941.55</v>
      </c>
    </row>
    <row r="223">
      <c r="C223" s="230" t="n">
        <v>0</v>
      </c>
      <c r="F223" t="inlineStr">
        <is>
          <t>WSDEI109</t>
        </is>
      </c>
      <c r="G223" s="230" t="n">
        <v>7311.42</v>
      </c>
    </row>
    <row r="224">
      <c r="B224" t="inlineStr">
        <is>
          <t>WSNVI142</t>
        </is>
      </c>
      <c r="C224" s="230" t="n">
        <v>16672</v>
      </c>
      <c r="D224" t="inlineStr">
        <is>
          <t>WSNVI140</t>
        </is>
      </c>
      <c r="E224" s="236" t="n">
        <v>2248.35</v>
      </c>
      <c r="F224" t="inlineStr">
        <is>
          <t>WSDEI143</t>
        </is>
      </c>
      <c r="G224" s="230" t="n">
        <v>17.57</v>
      </c>
    </row>
    <row r="225">
      <c r="B225" t="inlineStr">
        <is>
          <t>WSNVI136</t>
        </is>
      </c>
      <c r="C225" s="230" t="n">
        <v>1453.92</v>
      </c>
      <c r="G225" s="236">
        <f>SUM(G222:G224)</f>
        <v/>
      </c>
    </row>
    <row r="226">
      <c r="B226" t="inlineStr">
        <is>
          <t>WSOCI040</t>
        </is>
      </c>
      <c r="C226" s="263" t="n">
        <v>6450.29</v>
      </c>
      <c r="D226" t="inlineStr">
        <is>
          <t>WSDEI102</t>
        </is>
      </c>
      <c r="E226" s="230" t="n">
        <v>4623.66</v>
      </c>
      <c r="F226" t="inlineStr">
        <is>
          <t>WSDEI101</t>
        </is>
      </c>
      <c r="G226" s="230" t="n">
        <v>4623.66</v>
      </c>
    </row>
    <row r="227">
      <c r="B227" t="inlineStr">
        <is>
          <t>WSNVI138</t>
        </is>
      </c>
      <c r="C227" s="230" t="n">
        <v>19978.56</v>
      </c>
      <c r="D227" t="inlineStr">
        <is>
          <t>WSDEI103</t>
        </is>
      </c>
      <c r="E227" s="230" t="n">
        <v>5837.28</v>
      </c>
      <c r="F227" t="inlineStr">
        <is>
          <t>WSNVI011</t>
        </is>
      </c>
      <c r="G227" s="230" t="n">
        <v>15534.97</v>
      </c>
    </row>
    <row r="228">
      <c r="C228" s="230" t="n"/>
      <c r="D228" t="inlineStr">
        <is>
          <t>WSNVI141</t>
        </is>
      </c>
      <c r="E228" s="230" t="n">
        <v>6362.1</v>
      </c>
      <c r="G228" s="236">
        <f>SUM(G226:G227)</f>
        <v/>
      </c>
    </row>
    <row r="229">
      <c r="B229" t="inlineStr">
        <is>
          <t>WSNVI143</t>
        </is>
      </c>
      <c r="C229" s="230" t="n">
        <v>16672</v>
      </c>
      <c r="D229" t="inlineStr">
        <is>
          <t>WSOCI029</t>
        </is>
      </c>
      <c r="E229" s="230" t="n">
        <v>1463.74</v>
      </c>
    </row>
    <row r="230">
      <c r="C230" s="238">
        <f>SUM(C223:C229)</f>
        <v/>
      </c>
      <c r="E230" s="236">
        <f>SUM(E226:E229)</f>
        <v/>
      </c>
      <c r="G230" s="230" t="n">
        <v>11089.61</v>
      </c>
    </row>
    <row r="231">
      <c r="G231" s="230" t="n">
        <v>6290.4</v>
      </c>
    </row>
    <row r="232">
      <c r="B232" t="inlineStr">
        <is>
          <t>WSDEI110</t>
        </is>
      </c>
      <c r="C232" s="230" t="n">
        <v>15310.88</v>
      </c>
      <c r="D232" t="inlineStr">
        <is>
          <t>WSNVI134</t>
        </is>
      </c>
      <c r="E232" s="236" t="n">
        <v>5473.2</v>
      </c>
      <c r="G232" s="236">
        <f>SUM(G230:G231)</f>
        <v/>
      </c>
    </row>
    <row r="233">
      <c r="B233" t="inlineStr">
        <is>
          <t>WSDEI112</t>
        </is>
      </c>
      <c r="C233" s="230" t="n">
        <v>441.39</v>
      </c>
      <c r="G233" s="233" t="n"/>
    </row>
    <row r="234">
      <c r="C234" s="238">
        <f>SUM(C232:C233)</f>
        <v/>
      </c>
    </row>
    <row r="236">
      <c r="B236" s="164" t="n">
        <v>43466</v>
      </c>
    </row>
    <row r="238">
      <c r="B238" t="inlineStr">
        <is>
          <t>WSDEI120</t>
        </is>
      </c>
      <c r="C238" s="230" t="n">
        <v>7145.28</v>
      </c>
      <c r="D238" t="inlineStr">
        <is>
          <t>WSDEI124</t>
        </is>
      </c>
      <c r="E238" s="230" t="n">
        <v>5937.36</v>
      </c>
      <c r="G238" s="230" t="n"/>
      <c r="H238" t="inlineStr">
        <is>
          <t>WJAI1915</t>
        </is>
      </c>
      <c r="I238" s="230" t="n">
        <v>11546.7</v>
      </c>
      <c r="J238" t="inlineStr">
        <is>
          <t>WJAI1902</t>
        </is>
      </c>
      <c r="K238" s="230" t="n">
        <v>1.23</v>
      </c>
    </row>
    <row r="239">
      <c r="B239" t="inlineStr">
        <is>
          <t>WSDEI121</t>
        </is>
      </c>
      <c r="C239" s="230" t="n">
        <v>7145.28</v>
      </c>
      <c r="D239" t="inlineStr">
        <is>
          <t>WSDEI129</t>
        </is>
      </c>
      <c r="E239" s="230" t="n">
        <v>3062.7</v>
      </c>
      <c r="G239" s="230" t="n"/>
      <c r="H239" t="inlineStr">
        <is>
          <t>WJAI1917</t>
        </is>
      </c>
      <c r="I239" s="230" t="n">
        <v>4435.38</v>
      </c>
      <c r="J239" t="inlineStr">
        <is>
          <t>WJAI1922</t>
        </is>
      </c>
      <c r="K239" s="230" t="n">
        <v>10056.42</v>
      </c>
    </row>
    <row r="240">
      <c r="B240" t="inlineStr">
        <is>
          <t>WSDEI122</t>
        </is>
      </c>
      <c r="C240" s="230" t="n">
        <v>7294.14</v>
      </c>
      <c r="D240" t="inlineStr">
        <is>
          <t>WSDEI134</t>
        </is>
      </c>
      <c r="E240" s="230" t="n">
        <v>4509</v>
      </c>
      <c r="G240" s="230" t="n"/>
      <c r="H240" t="inlineStr">
        <is>
          <t>WSDEI132</t>
        </is>
      </c>
      <c r="I240" s="230" t="n">
        <v>926.48</v>
      </c>
      <c r="J240" t="inlineStr">
        <is>
          <t>WJAI1924</t>
        </is>
      </c>
      <c r="K240" s="230" t="n">
        <v>1274.49</v>
      </c>
    </row>
    <row r="241">
      <c r="B241" t="inlineStr">
        <is>
          <t>WSDEI123</t>
        </is>
      </c>
      <c r="C241" s="230" t="n">
        <v>1422.72</v>
      </c>
      <c r="D241" t="inlineStr">
        <is>
          <t>WSDEI140</t>
        </is>
      </c>
      <c r="E241" s="230" t="n">
        <v>6597</v>
      </c>
      <c r="G241" s="230" t="n"/>
      <c r="H241" t="inlineStr">
        <is>
          <t>WJAI1904</t>
        </is>
      </c>
      <c r="I241" s="230" t="n">
        <v>483.77</v>
      </c>
      <c r="J241" t="inlineStr">
        <is>
          <t>WJAI1925</t>
        </is>
      </c>
      <c r="K241" s="230" t="n">
        <v>1074.26</v>
      </c>
    </row>
    <row r="242">
      <c r="B242" t="inlineStr">
        <is>
          <t>WSDEI125</t>
        </is>
      </c>
      <c r="C242" s="230" t="n">
        <v>4910.1</v>
      </c>
      <c r="E242" s="238">
        <f>SUM(E238:E241)</f>
        <v/>
      </c>
      <c r="G242" s="230" t="n"/>
      <c r="H242" t="inlineStr">
        <is>
          <t>WJAI1907</t>
        </is>
      </c>
      <c r="I242" s="230" t="n">
        <v>3587.25</v>
      </c>
      <c r="J242" t="inlineStr">
        <is>
          <t>WJAI1926</t>
        </is>
      </c>
      <c r="K242" s="230" t="n">
        <v>4894.83</v>
      </c>
    </row>
    <row r="243">
      <c r="B243" t="inlineStr">
        <is>
          <t>WSDEI126</t>
        </is>
      </c>
      <c r="C243" s="230" t="n">
        <v>3414.16</v>
      </c>
      <c r="H243" t="inlineStr">
        <is>
          <t>WJAI1901</t>
        </is>
      </c>
      <c r="I243" s="230" t="n">
        <v>2971.36</v>
      </c>
      <c r="J243" t="inlineStr">
        <is>
          <t>WJAI1927</t>
        </is>
      </c>
      <c r="K243" s="230" t="n">
        <v>4966.5</v>
      </c>
    </row>
    <row r="244">
      <c r="B244" t="inlineStr">
        <is>
          <t>WSDEI127</t>
        </is>
      </c>
      <c r="C244" s="230" t="n">
        <v>5974.2</v>
      </c>
      <c r="D244" t="inlineStr">
        <is>
          <t>WSDEI133</t>
        </is>
      </c>
      <c r="E244" s="262" t="n">
        <v>9661.75</v>
      </c>
      <c r="F244" t="inlineStr">
        <is>
          <t>WJAI1902</t>
        </is>
      </c>
      <c r="G244" s="230" t="n">
        <v>211.56</v>
      </c>
      <c r="H244" t="inlineStr">
        <is>
          <t>WJAI1917</t>
        </is>
      </c>
      <c r="I244" s="230" t="n">
        <v>3818.62</v>
      </c>
      <c r="K244" s="236">
        <f>SUM(K238:K243)</f>
        <v/>
      </c>
      <c r="L244" s="20" t="n"/>
    </row>
    <row r="245">
      <c r="B245" t="inlineStr">
        <is>
          <t>WSDEI130</t>
        </is>
      </c>
      <c r="C245" s="230" t="n">
        <v>5216.37</v>
      </c>
      <c r="D245" t="inlineStr">
        <is>
          <t>WSDEI142</t>
        </is>
      </c>
      <c r="E245" s="230" t="n">
        <v>6937.35</v>
      </c>
      <c r="F245" t="inlineStr">
        <is>
          <t>WJAI1906</t>
        </is>
      </c>
      <c r="G245" s="230" t="n">
        <v>2950.5</v>
      </c>
      <c r="I245" s="236">
        <f>SUM(I238:I244)</f>
        <v/>
      </c>
      <c r="J245" t="inlineStr">
        <is>
          <t>WJAI1928</t>
        </is>
      </c>
      <c r="K245" s="230" t="n">
        <v>4598.88</v>
      </c>
    </row>
    <row r="246">
      <c r="B246" t="inlineStr">
        <is>
          <t>WSDEI131</t>
        </is>
      </c>
      <c r="C246" s="230" t="n">
        <v>4518</v>
      </c>
      <c r="D246" t="inlineStr">
        <is>
          <t>WSDEI139</t>
        </is>
      </c>
      <c r="E246" s="230" t="n">
        <v>6597</v>
      </c>
      <c r="F246" t="inlineStr">
        <is>
          <t>WJAI1908</t>
        </is>
      </c>
      <c r="G246" s="230" t="n">
        <v>1513.89</v>
      </c>
      <c r="J246" t="inlineStr">
        <is>
          <t>WJAI1931</t>
        </is>
      </c>
      <c r="K246" s="230" t="n">
        <v>97</v>
      </c>
    </row>
    <row r="247">
      <c r="B247" t="inlineStr">
        <is>
          <t>WSDEI135</t>
        </is>
      </c>
      <c r="C247" s="230" t="n">
        <v>6346</v>
      </c>
      <c r="D247" t="inlineStr">
        <is>
          <t>WSDEI137</t>
        </is>
      </c>
      <c r="E247" s="230" t="n">
        <v>4518</v>
      </c>
      <c r="F247" t="inlineStr">
        <is>
          <t>WJAI1909</t>
        </is>
      </c>
      <c r="G247" s="230" t="n">
        <v>2260.08</v>
      </c>
      <c r="H247" t="inlineStr">
        <is>
          <t>WJAI1914</t>
        </is>
      </c>
      <c r="I247" s="236" t="n">
        <v>8179.08</v>
      </c>
      <c r="J247" t="inlineStr">
        <is>
          <t>WSDEI104</t>
        </is>
      </c>
      <c r="K247" s="230" t="n">
        <v>1473.71</v>
      </c>
    </row>
    <row r="248">
      <c r="B248" t="inlineStr">
        <is>
          <t>WSDEI106</t>
        </is>
      </c>
      <c r="C248" s="230" t="n">
        <v>1051.36</v>
      </c>
      <c r="D248" t="inlineStr">
        <is>
          <t>WSDEI136</t>
        </is>
      </c>
      <c r="E248" s="230" t="n">
        <v>4518</v>
      </c>
      <c r="F248" t="inlineStr">
        <is>
          <t>WJAI1910</t>
        </is>
      </c>
      <c r="G248" s="230" t="n">
        <v>4565.08</v>
      </c>
      <c r="K248" s="236">
        <f>SUM(K245:K247)</f>
        <v/>
      </c>
    </row>
    <row r="249">
      <c r="B249" t="inlineStr">
        <is>
          <t>WSDEI113</t>
        </is>
      </c>
      <c r="C249" s="262" t="n">
        <v>954.87</v>
      </c>
      <c r="D249" t="inlineStr">
        <is>
          <t>WSDE141Z</t>
        </is>
      </c>
      <c r="E249" s="230" t="n">
        <v>2909.28</v>
      </c>
      <c r="F249" t="inlineStr">
        <is>
          <t>WJAI1911</t>
        </is>
      </c>
      <c r="G249" s="230" t="n">
        <v>7638.24</v>
      </c>
      <c r="H249" t="inlineStr">
        <is>
          <t>WJAI1919</t>
        </is>
      </c>
      <c r="I249" s="230" t="n">
        <v>1904.11</v>
      </c>
      <c r="J249" s="4" t="n">
        <v>43503</v>
      </c>
    </row>
    <row r="250">
      <c r="B250" t="inlineStr">
        <is>
          <t>WSDEI115</t>
        </is>
      </c>
      <c r="C250" s="230" t="n">
        <v>11399.28</v>
      </c>
      <c r="D250" t="inlineStr">
        <is>
          <t>WJAI1903</t>
        </is>
      </c>
      <c r="E250" s="230" t="n">
        <v>167.66</v>
      </c>
      <c r="F250" t="inlineStr">
        <is>
          <t>WJAI1912</t>
        </is>
      </c>
      <c r="G250" s="230" t="n">
        <v>4318.58</v>
      </c>
      <c r="H250" t="inlineStr">
        <is>
          <t>WJAI1920</t>
        </is>
      </c>
      <c r="I250" s="230" t="n">
        <v>1579.4</v>
      </c>
      <c r="J250" t="inlineStr">
        <is>
          <t>WSDEI111</t>
        </is>
      </c>
      <c r="K250" s="230" t="n">
        <v>2121.87</v>
      </c>
    </row>
    <row r="251">
      <c r="B251" t="inlineStr">
        <is>
          <t>WSDEI119</t>
        </is>
      </c>
      <c r="C251" s="230" t="n">
        <v>20979.76</v>
      </c>
      <c r="D251" t="inlineStr">
        <is>
          <t>WJAI1905</t>
        </is>
      </c>
      <c r="E251" s="230" t="n">
        <v>1277.07</v>
      </c>
      <c r="F251" t="inlineStr">
        <is>
          <t>WJAI1913</t>
        </is>
      </c>
      <c r="G251" s="230" t="n">
        <v>3115.84</v>
      </c>
      <c r="H251" t="inlineStr">
        <is>
          <t>WJAI1921</t>
        </is>
      </c>
      <c r="I251" s="230" t="n">
        <v>294</v>
      </c>
      <c r="J251" t="inlineStr">
        <is>
          <t>WJAI1956</t>
        </is>
      </c>
      <c r="K251" s="262" t="n">
        <v>997.38</v>
      </c>
    </row>
    <row r="252">
      <c r="B252" t="inlineStr">
        <is>
          <t>WSDEI116</t>
        </is>
      </c>
      <c r="C252" s="233" t="n">
        <v>31793.04</v>
      </c>
      <c r="D252" t="inlineStr">
        <is>
          <t>WSDEI138</t>
        </is>
      </c>
      <c r="E252" s="230" t="n">
        <v>6861.78</v>
      </c>
      <c r="F252" t="inlineStr">
        <is>
          <t>WJAI1916</t>
        </is>
      </c>
      <c r="G252" s="230" t="n">
        <v>2457</v>
      </c>
      <c r="I252" s="238">
        <f>SUM(I249:I251)</f>
        <v/>
      </c>
      <c r="J252" t="inlineStr">
        <is>
          <t>WJAI1948</t>
        </is>
      </c>
      <c r="K252" s="262" t="n">
        <v>4556</v>
      </c>
    </row>
    <row r="253">
      <c r="C253" s="238">
        <f>SUM(C238:C252)</f>
        <v/>
      </c>
      <c r="E253" s="238">
        <f>SUM(E244:E252)</f>
        <v/>
      </c>
      <c r="F253" t="inlineStr">
        <is>
          <t>WSSEI029</t>
        </is>
      </c>
      <c r="G253" s="230" t="n">
        <v>6538.4</v>
      </c>
      <c r="J253" t="inlineStr">
        <is>
          <t>WJAI1958</t>
        </is>
      </c>
      <c r="K253" s="230" t="n">
        <v>2598.96</v>
      </c>
    </row>
    <row r="254">
      <c r="G254" s="238">
        <f>SUM(G244:G253)</f>
        <v/>
      </c>
      <c r="H254" t="inlineStr">
        <is>
          <t>WSDEI128</t>
        </is>
      </c>
      <c r="I254" s="236" t="n">
        <v>4281.51</v>
      </c>
      <c r="J254" t="inlineStr">
        <is>
          <t>WJAI1941</t>
        </is>
      </c>
      <c r="K254" s="230" t="n">
        <v>1809.22</v>
      </c>
    </row>
    <row r="255">
      <c r="D255" s="4" t="n">
        <v>43516</v>
      </c>
      <c r="H255" s="4" t="n">
        <v>43521</v>
      </c>
      <c r="J255" t="inlineStr">
        <is>
          <t>WJAI1949</t>
        </is>
      </c>
      <c r="K255" s="262" t="n">
        <v>4556</v>
      </c>
    </row>
    <row r="256">
      <c r="B256" t="inlineStr">
        <is>
          <t>WJAI1957</t>
        </is>
      </c>
      <c r="C256" s="230" t="n">
        <v>1325.58</v>
      </c>
      <c r="D256" t="inlineStr">
        <is>
          <t>WJAI1963</t>
        </is>
      </c>
      <c r="E256" s="230" t="n">
        <v>6853</v>
      </c>
      <c r="F256" t="inlineStr">
        <is>
          <t>WJAI1965</t>
        </is>
      </c>
      <c r="G256" s="230" t="n">
        <v>7343.5</v>
      </c>
      <c r="H256" t="inlineStr">
        <is>
          <t>WJAI1970</t>
        </is>
      </c>
      <c r="I256" t="n">
        <v>6862.89</v>
      </c>
      <c r="J256" t="inlineStr">
        <is>
          <t>WJAI1939</t>
        </is>
      </c>
      <c r="K256" s="230" t="n">
        <v>9023.24</v>
      </c>
    </row>
    <row r="257">
      <c r="B257" t="inlineStr">
        <is>
          <t>WJAI1959</t>
        </is>
      </c>
      <c r="C257" s="230" t="n">
        <v>9482.4</v>
      </c>
      <c r="D257" t="inlineStr">
        <is>
          <t>WJAI1964</t>
        </is>
      </c>
      <c r="E257" s="230" t="n">
        <v>11244.94</v>
      </c>
      <c r="F257" t="inlineStr">
        <is>
          <t>WJAI1969</t>
        </is>
      </c>
      <c r="G257" s="230" t="n">
        <v>2546.1</v>
      </c>
      <c r="H257" t="inlineStr">
        <is>
          <t>WJAI1950</t>
        </is>
      </c>
      <c r="I257" s="262" t="n">
        <v>192.96</v>
      </c>
      <c r="J257" t="inlineStr">
        <is>
          <t>WJAI1940</t>
        </is>
      </c>
      <c r="K257" s="230" t="n">
        <v>9023.24</v>
      </c>
    </row>
    <row r="258">
      <c r="B258" t="inlineStr">
        <is>
          <t>WJAI1960</t>
        </is>
      </c>
      <c r="C258" s="230" t="n">
        <v>9417.129999999999</v>
      </c>
      <c r="D258" t="inlineStr">
        <is>
          <t>WJAI1966</t>
        </is>
      </c>
      <c r="E258" s="230" t="n">
        <v>33825.28</v>
      </c>
      <c r="F258" t="inlineStr">
        <is>
          <t>WJAI1980</t>
        </is>
      </c>
      <c r="G258" s="230" t="n">
        <v>902</v>
      </c>
      <c r="H258" t="inlineStr">
        <is>
          <t>WJAI1979</t>
        </is>
      </c>
      <c r="I258" s="230" t="n">
        <v>11545.65</v>
      </c>
      <c r="J258" t="inlineStr">
        <is>
          <t>WJAI1934</t>
        </is>
      </c>
      <c r="K258" s="230" t="n">
        <v>2516.55</v>
      </c>
    </row>
    <row r="259">
      <c r="B259" t="inlineStr">
        <is>
          <t>WJAI1961</t>
        </is>
      </c>
      <c r="C259" s="230" t="n">
        <v>9790.83</v>
      </c>
      <c r="D259" t="inlineStr">
        <is>
          <t>WJAI1967</t>
        </is>
      </c>
      <c r="E259" s="230" t="n">
        <v>1108.6</v>
      </c>
      <c r="F259" t="inlineStr">
        <is>
          <t>WJAI1972</t>
        </is>
      </c>
      <c r="G259" s="230" t="n">
        <v>2826.92</v>
      </c>
      <c r="H259" t="inlineStr">
        <is>
          <t>WJAI1975</t>
        </is>
      </c>
      <c r="I259" s="230" t="n">
        <v>456.64</v>
      </c>
      <c r="J259" t="inlineStr">
        <is>
          <t>WJAI1937</t>
        </is>
      </c>
      <c r="K259" s="230" t="n">
        <v>7301.52</v>
      </c>
    </row>
    <row r="260">
      <c r="B260" t="inlineStr">
        <is>
          <t>WJAI1962</t>
        </is>
      </c>
      <c r="C260" s="230" t="n">
        <v>4446.68</v>
      </c>
      <c r="D260" t="inlineStr">
        <is>
          <t>WJAI1968</t>
        </is>
      </c>
      <c r="E260" s="230" t="n">
        <v>5519.82</v>
      </c>
      <c r="F260" t="inlineStr">
        <is>
          <t>WJAI1974</t>
        </is>
      </c>
      <c r="G260" s="230" t="n">
        <v>3963</v>
      </c>
      <c r="H260" t="inlineStr">
        <is>
          <t>WJAI1969</t>
        </is>
      </c>
      <c r="I260" s="230" t="n">
        <v>3127.96</v>
      </c>
      <c r="J260" t="inlineStr">
        <is>
          <t>WJAI1938</t>
        </is>
      </c>
      <c r="K260" s="230" t="n">
        <v>5476.14</v>
      </c>
    </row>
    <row r="261">
      <c r="C261" s="236">
        <f>SUM(C256:C260)</f>
        <v/>
      </c>
      <c r="D261" t="inlineStr">
        <is>
          <t>WSJUI053</t>
        </is>
      </c>
      <c r="E261" s="230" t="n">
        <v>7312.8</v>
      </c>
      <c r="G261" s="236">
        <f>SUM(G256:G260)</f>
        <v/>
      </c>
      <c r="H261" t="inlineStr">
        <is>
          <t>WSOCI009</t>
        </is>
      </c>
      <c r="I261" s="230" t="n">
        <v>5299.65</v>
      </c>
      <c r="J261" t="inlineStr">
        <is>
          <t>WJAI1929</t>
        </is>
      </c>
      <c r="K261" s="230" t="n">
        <v>11106</v>
      </c>
    </row>
    <row r="262">
      <c r="E262" s="236">
        <f>SUM(E256:E261)</f>
        <v/>
      </c>
      <c r="H262" t="inlineStr">
        <is>
          <t>WSOCI011</t>
        </is>
      </c>
      <c r="I262" s="230" t="n">
        <v>5299.65</v>
      </c>
      <c r="J262" t="inlineStr">
        <is>
          <t>WJAI1951</t>
        </is>
      </c>
      <c r="K262" s="262" t="n">
        <v>98.72</v>
      </c>
    </row>
    <row r="263">
      <c r="C263" s="4" t="n">
        <v>43521</v>
      </c>
      <c r="F263" s="4" t="n">
        <v>43529</v>
      </c>
      <c r="H263" t="inlineStr">
        <is>
          <t>WJAI1976</t>
        </is>
      </c>
      <c r="I263" s="230" t="n">
        <v>2170.17</v>
      </c>
      <c r="J263" t="inlineStr">
        <is>
          <t>WJAI1946</t>
        </is>
      </c>
      <c r="K263" s="262" t="n">
        <v>4666.74</v>
      </c>
    </row>
    <row r="264">
      <c r="B264" t="inlineStr">
        <is>
          <t>WJAI1981</t>
        </is>
      </c>
      <c r="C264" s="230" t="n">
        <v>2546</v>
      </c>
      <c r="E264" s="163" t="n">
        <v>43528</v>
      </c>
      <c r="F264" t="inlineStr">
        <is>
          <t>WJAI1989</t>
        </is>
      </c>
      <c r="G264" s="230" t="n">
        <v>26057.72</v>
      </c>
      <c r="H264" t="inlineStr">
        <is>
          <t>WJAI1978</t>
        </is>
      </c>
      <c r="I264" s="230" t="n">
        <v>5672.28</v>
      </c>
      <c r="J264" t="inlineStr">
        <is>
          <t>WJAI1952</t>
        </is>
      </c>
      <c r="K264" s="230" t="n">
        <v>5735.45</v>
      </c>
    </row>
    <row r="265">
      <c r="B265" t="inlineStr">
        <is>
          <t>WJAI1982</t>
        </is>
      </c>
      <c r="C265" s="230" t="n">
        <v>2989.56</v>
      </c>
      <c r="D265" t="inlineStr">
        <is>
          <t>WJAI1986</t>
        </is>
      </c>
      <c r="E265" s="230" t="n">
        <v>5189.49</v>
      </c>
      <c r="F265" t="inlineStr">
        <is>
          <t>WJAI1990</t>
        </is>
      </c>
      <c r="G265" s="230" t="n">
        <v>6228.95</v>
      </c>
      <c r="I265" s="20">
        <f>SUM(I256:I264)</f>
        <v/>
      </c>
      <c r="J265" t="inlineStr">
        <is>
          <t>WJAI1954</t>
        </is>
      </c>
      <c r="K265" s="262" t="n">
        <v>672.12</v>
      </c>
    </row>
    <row r="266">
      <c r="C266" s="230" t="n"/>
      <c r="D266" t="inlineStr">
        <is>
          <t>WJAI1945</t>
        </is>
      </c>
      <c r="E266" s="230" t="n">
        <v>3251</v>
      </c>
      <c r="F266" t="inlineStr">
        <is>
          <t>WJAI1991</t>
        </is>
      </c>
      <c r="G266" s="263" t="n">
        <v>9350.389999999999</v>
      </c>
      <c r="J266" t="inlineStr">
        <is>
          <t>WJAI1953</t>
        </is>
      </c>
      <c r="K266" s="262" t="n">
        <v>879.84</v>
      </c>
    </row>
    <row r="267">
      <c r="B267" t="inlineStr">
        <is>
          <t>WJAI1977</t>
        </is>
      </c>
      <c r="C267" s="230" t="n">
        <v>7565.11</v>
      </c>
      <c r="D267" t="inlineStr">
        <is>
          <t>WJAI1983</t>
        </is>
      </c>
      <c r="E267" s="230" t="n">
        <v>39.52</v>
      </c>
      <c r="F267" t="inlineStr">
        <is>
          <t>WJAI1995</t>
        </is>
      </c>
      <c r="G267" s="230" t="n">
        <v>2881.05</v>
      </c>
      <c r="J267" t="inlineStr">
        <is>
          <t>WJAI1943</t>
        </is>
      </c>
      <c r="K267" s="230" t="n">
        <v>1476.44</v>
      </c>
    </row>
    <row r="268">
      <c r="C268" s="238">
        <f>SUM(C264:C267)</f>
        <v/>
      </c>
      <c r="E268" s="236">
        <f>SUM(E265:E267)</f>
        <v/>
      </c>
      <c r="G268" s="238">
        <f>SUM(G264:G267)</f>
        <v/>
      </c>
      <c r="J268" t="inlineStr">
        <is>
          <t>WJAI1955</t>
        </is>
      </c>
      <c r="K268" s="230" t="n">
        <v>9168.059999999999</v>
      </c>
    </row>
    <row r="269">
      <c r="C269" s="4" t="n">
        <v>43530</v>
      </c>
      <c r="E269" s="4" t="n">
        <v>43531</v>
      </c>
      <c r="G269" s="4" t="n">
        <v>43535</v>
      </c>
      <c r="H269" s="4" t="n">
        <v>43536</v>
      </c>
      <c r="J269" t="inlineStr">
        <is>
          <t>WJAI1947</t>
        </is>
      </c>
      <c r="K269" s="262" t="n">
        <v>4666.74</v>
      </c>
    </row>
    <row r="270">
      <c r="B270" t="inlineStr">
        <is>
          <t>WJAI1992</t>
        </is>
      </c>
      <c r="C270" s="230" t="n">
        <v>4164</v>
      </c>
      <c r="G270" t="inlineStr">
        <is>
          <t>WJAI2001</t>
        </is>
      </c>
      <c r="H270" s="230" t="n">
        <v>7010.4</v>
      </c>
      <c r="J270" t="inlineStr">
        <is>
          <t>WJAI1944</t>
        </is>
      </c>
      <c r="K270" s="230" t="n">
        <v>4407.65</v>
      </c>
    </row>
    <row r="271">
      <c r="B271" t="inlineStr">
        <is>
          <t>WJAI1997</t>
        </is>
      </c>
      <c r="C271" s="230" t="n">
        <v>826</v>
      </c>
      <c r="G271" t="inlineStr">
        <is>
          <t>WJAI2002</t>
        </is>
      </c>
      <c r="H271" s="230" t="n">
        <v>18532.4</v>
      </c>
      <c r="J271" t="inlineStr">
        <is>
          <t>WJAI1936</t>
        </is>
      </c>
      <c r="K271" s="230" t="n">
        <v>7301.52</v>
      </c>
    </row>
    <row r="272">
      <c r="B272" t="inlineStr">
        <is>
          <t>WJA1998Z</t>
        </is>
      </c>
      <c r="C272" s="230" t="n">
        <v>3990</v>
      </c>
      <c r="H272" s="238">
        <f>SUM(H270:H271)</f>
        <v/>
      </c>
      <c r="J272" t="inlineStr">
        <is>
          <t>WJAI1935</t>
        </is>
      </c>
      <c r="K272" s="262" t="n">
        <v>669.4400000000001</v>
      </c>
    </row>
    <row r="273">
      <c r="C273" s="236">
        <f>SUM(C270:C272)</f>
        <v/>
      </c>
      <c r="D273" t="inlineStr">
        <is>
          <t>WJAI1993</t>
        </is>
      </c>
      <c r="E273" s="236" t="n">
        <v>2088.8</v>
      </c>
      <c r="G273" s="51" t="n">
        <v>24840.45</v>
      </c>
      <c r="J273" t="inlineStr">
        <is>
          <t>WJAI1942</t>
        </is>
      </c>
      <c r="K273" s="230" t="n">
        <v>584.46</v>
      </c>
    </row>
    <row r="274">
      <c r="G274" t="inlineStr">
        <is>
          <t>WJAI1998</t>
        </is>
      </c>
      <c r="H274" s="230" t="n">
        <v>3990</v>
      </c>
      <c r="J274" t="inlineStr">
        <is>
          <t>WJAI1933</t>
        </is>
      </c>
      <c r="K274" s="262" t="n">
        <v>1036.62</v>
      </c>
    </row>
    <row r="275">
      <c r="C275" s="4" t="n">
        <v>43538</v>
      </c>
      <c r="G275" t="inlineStr">
        <is>
          <t>WJAI2003</t>
        </is>
      </c>
      <c r="H275" s="230" t="n">
        <v>3058</v>
      </c>
      <c r="K275" s="233">
        <f>SUM(K250:K274)</f>
        <v/>
      </c>
      <c r="L275" t="n">
        <v>105431.02</v>
      </c>
      <c r="M275" s="233">
        <f>L275-K277</f>
        <v/>
      </c>
    </row>
    <row r="276">
      <c r="C276" t="inlineStr">
        <is>
          <t>WMRI0001</t>
        </is>
      </c>
      <c r="D276" s="230" t="n">
        <v>2518.78</v>
      </c>
      <c r="G276" t="inlineStr">
        <is>
          <t>WJAI1996</t>
        </is>
      </c>
      <c r="H276" s="230" t="n">
        <v>5920.32</v>
      </c>
      <c r="J276" t="inlineStr">
        <is>
          <t>WSOCI005</t>
        </is>
      </c>
      <c r="K276" s="262" t="n">
        <v>2956.6</v>
      </c>
    </row>
    <row r="277">
      <c r="C277" t="inlineStr">
        <is>
          <t>MRB90003</t>
        </is>
      </c>
      <c r="D277" s="46" t="n">
        <v>1491.04</v>
      </c>
      <c r="G277" t="inlineStr">
        <is>
          <t>WJAI1973</t>
        </is>
      </c>
      <c r="H277" s="230" t="n">
        <v>538.4</v>
      </c>
      <c r="K277" s="238">
        <f>SUM(K275:K276)</f>
        <v/>
      </c>
    </row>
    <row r="278">
      <c r="D278" s="238">
        <f>SUM(D276:D277)</f>
        <v/>
      </c>
      <c r="G278" t="inlineStr">
        <is>
          <t>WJAI1999</t>
        </is>
      </c>
      <c r="H278" t="n">
        <v>275.08</v>
      </c>
    </row>
    <row r="279">
      <c r="G279" t="inlineStr">
        <is>
          <t>WJAI1994</t>
        </is>
      </c>
      <c r="H279" s="230" t="n">
        <v>469.38</v>
      </c>
    </row>
    <row r="280">
      <c r="G280" t="inlineStr">
        <is>
          <t>WJAI2000</t>
        </is>
      </c>
      <c r="H280" s="230" t="n">
        <v>3667.14</v>
      </c>
    </row>
    <row r="281">
      <c r="H281" s="230" t="n">
        <v>9168.719999999999</v>
      </c>
    </row>
    <row r="282">
      <c r="H282" s="233">
        <f>SUM(H274:H281)</f>
        <v/>
      </c>
    </row>
  </sheetData>
  <pageMargins bottom="0.75" footer="0.3" header="0.3" left="0.7" right="0.7" top="0.7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2:K30"/>
  <sheetViews>
    <sheetView workbookViewId="0">
      <selection activeCell="A1" sqref="A1"/>
    </sheetView>
  </sheetViews>
  <sheetFormatPr baseColWidth="8" defaultRowHeight="15" outlineLevelCol="0"/>
  <cols>
    <col customWidth="1" max="2" min="2" width="17.7109375"/>
    <col customWidth="1" max="11" min="11" width="23"/>
  </cols>
  <sheetData>
    <row r="2">
      <c r="B2" t="inlineStr">
        <is>
          <t>Glenair</t>
        </is>
      </c>
      <c r="C2" t="inlineStr">
        <is>
          <t>y</t>
        </is>
      </c>
    </row>
    <row r="3">
      <c r="G3" t="inlineStr">
        <is>
          <t>Invoices</t>
        </is>
      </c>
    </row>
    <row r="4">
      <c r="B4" t="inlineStr">
        <is>
          <t>660-032N19F6-64</t>
        </is>
      </c>
      <c r="C4" t="n">
        <v>3</v>
      </c>
      <c r="D4" t="n">
        <v>189.83</v>
      </c>
      <c r="G4" t="n">
        <v>551.88</v>
      </c>
      <c r="H4" t="n">
        <v>2424.24</v>
      </c>
    </row>
    <row r="5">
      <c r="C5" t="n">
        <v>4</v>
      </c>
      <c r="D5" t="n">
        <v>162.49</v>
      </c>
      <c r="G5" t="n">
        <v>693.16</v>
      </c>
      <c r="H5" t="n">
        <v>2130.54</v>
      </c>
    </row>
    <row r="6">
      <c r="B6" t="inlineStr">
        <is>
          <t>320AS001NF24-2</t>
        </is>
      </c>
      <c r="C6" t="n">
        <v>283</v>
      </c>
      <c r="D6" t="n">
        <v>46.76</v>
      </c>
      <c r="G6" t="n">
        <v>506.63</v>
      </c>
      <c r="H6" t="n">
        <v>1447.8</v>
      </c>
    </row>
    <row r="7">
      <c r="B7" t="inlineStr">
        <is>
          <t>320AS001NF24-2</t>
        </is>
      </c>
      <c r="C7" t="n">
        <v>264</v>
      </c>
      <c r="D7" t="n">
        <v>46.76</v>
      </c>
      <c r="G7" t="n">
        <v>2260.8</v>
      </c>
      <c r="H7">
        <f>SUM(H4:H6)</f>
        <v/>
      </c>
    </row>
    <row r="8">
      <c r="G8" t="n">
        <v>1616.16</v>
      </c>
      <c r="K8" t="inlineStr">
        <is>
          <t>FEDBID 6/4/2018</t>
        </is>
      </c>
    </row>
    <row r="9">
      <c r="B9" t="inlineStr">
        <is>
          <t>311HS001N2505</t>
        </is>
      </c>
      <c r="C9" t="n">
        <v>2</v>
      </c>
      <c r="D9" t="n">
        <v>211.99</v>
      </c>
      <c r="G9" t="n">
        <v>90.73</v>
      </c>
      <c r="K9" t="n">
        <v>926338</v>
      </c>
    </row>
    <row r="10">
      <c r="G10">
        <f>SUM(G4:G9)</f>
        <v/>
      </c>
    </row>
    <row r="11">
      <c r="B11" t="inlineStr">
        <is>
          <t>660-013N25F6-113</t>
        </is>
      </c>
      <c r="C11" t="n">
        <v>20</v>
      </c>
      <c r="D11" t="n">
        <v>66.13</v>
      </c>
    </row>
    <row customHeight="1" ht="15.75" r="12">
      <c r="B12" t="inlineStr">
        <is>
          <t>660-013N25F6-113</t>
        </is>
      </c>
      <c r="C12" t="n">
        <v>14</v>
      </c>
      <c r="D12" t="n">
        <v>95.66</v>
      </c>
      <c r="K12" s="123" t="n">
        <v>926338</v>
      </c>
    </row>
    <row r="13">
      <c r="B13" t="inlineStr">
        <is>
          <t>660-013N25F6-113</t>
        </is>
      </c>
      <c r="C13" t="n">
        <v>4</v>
      </c>
      <c r="D13" t="n">
        <v>133.5</v>
      </c>
    </row>
    <row r="15">
      <c r="B15" t="inlineStr">
        <is>
          <t>GA801BK223</t>
        </is>
      </c>
      <c r="C15" t="n">
        <v>69</v>
      </c>
    </row>
    <row r="17">
      <c r="B17" t="inlineStr">
        <is>
          <t>387HS083XW2514-6</t>
        </is>
      </c>
    </row>
    <row r="19">
      <c r="B19" t="inlineStr">
        <is>
          <t>660-012N25F6-111</t>
        </is>
      </c>
      <c r="C19" t="n">
        <v>13</v>
      </c>
    </row>
    <row r="21">
      <c r="B21" t="inlineStr">
        <is>
          <t>311FS001N2205</t>
        </is>
      </c>
      <c r="C21" t="n">
        <v>84</v>
      </c>
    </row>
    <row r="22">
      <c r="B22" t="inlineStr">
        <is>
          <t>311FS001N2205</t>
        </is>
      </c>
      <c r="C22" t="n">
        <v>16</v>
      </c>
      <c r="D22" t="n">
        <v>124.2</v>
      </c>
    </row>
    <row r="23">
      <c r="B23" t="inlineStr">
        <is>
          <t>GC60068-3</t>
        </is>
      </c>
      <c r="C23" t="n">
        <v>20</v>
      </c>
      <c r="D23" t="n">
        <v>713.89</v>
      </c>
    </row>
    <row r="24">
      <c r="B24" t="inlineStr">
        <is>
          <t>GC60068-3</t>
        </is>
      </c>
      <c r="C24" t="n">
        <v>15</v>
      </c>
      <c r="D24" t="n">
        <v>912.49</v>
      </c>
    </row>
    <row r="25">
      <c r="B25" t="inlineStr">
        <is>
          <t>GC60068-3</t>
        </is>
      </c>
      <c r="C25" t="n">
        <v>90</v>
      </c>
      <c r="D25" t="n">
        <v>536.78</v>
      </c>
    </row>
    <row r="26">
      <c r="B26" t="inlineStr">
        <is>
          <t>311FS001N2405</t>
        </is>
      </c>
      <c r="C26" t="n">
        <v>13</v>
      </c>
      <c r="D26" t="n">
        <v>129.93</v>
      </c>
    </row>
    <row r="27">
      <c r="C27" t="n">
        <v>26</v>
      </c>
      <c r="D27" t="n">
        <v>89.81999999999999</v>
      </c>
    </row>
    <row customHeight="1" ht="15.75" r="29">
      <c r="B29" s="106" t="inlineStr">
        <is>
          <t>G8092-24M</t>
        </is>
      </c>
      <c r="C29" t="n">
        <v>16</v>
      </c>
      <c r="D29" t="n">
        <v>32.29</v>
      </c>
    </row>
    <row customHeight="1" ht="15.75" r="30">
      <c r="B30" s="106" t="inlineStr">
        <is>
          <t>G8092-24M</t>
        </is>
      </c>
      <c r="C30" t="n">
        <v>20</v>
      </c>
      <c r="D30" t="n">
        <v>25.67</v>
      </c>
    </row>
  </sheetData>
  <pageMargins bottom="0.75" footer="0.3" header="0.3" left="0.7" right="0.7" top="0.75"/>
  <pageSetup orientation="portrait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G338"/>
  <sheetViews>
    <sheetView topLeftCell="A91" workbookViewId="0">
      <selection activeCell="B103" sqref="B103"/>
    </sheetView>
  </sheetViews>
  <sheetFormatPr baseColWidth="8" defaultRowHeight="15" outlineLevelCol="0"/>
  <cols>
    <col customWidth="1" max="2" min="2" width="7.7109375"/>
    <col customWidth="1" max="3" min="3" width="51.5703125"/>
    <col customWidth="1" max="4" min="4" width="53.42578125"/>
    <col customWidth="1" max="5" min="5" width="37.7109375"/>
    <col customWidth="1" max="6" min="6" width="30.5703125"/>
    <col customWidth="1" max="7" min="7" width="68.85546875"/>
  </cols>
  <sheetData>
    <row customHeight="1" ht="13.15" r="1">
      <c r="B1" s="44" t="inlineStr">
        <is>
          <t>30974</t>
        </is>
      </c>
      <c r="C1" s="42" t="inlineStr">
        <is>
          <t>AEROFIT, LLC</t>
        </is>
      </c>
      <c r="D1" s="134" t="inlineStr">
        <is>
          <t>storo@aerofit.com</t>
        </is>
      </c>
    </row>
    <row customHeight="1" ht="15.75" r="2">
      <c r="B2" s="44" t="inlineStr">
        <is>
          <t>3MBT2</t>
        </is>
      </c>
      <c r="C2" s="13" t="inlineStr">
        <is>
          <t>Ahler</t>
        </is>
      </c>
      <c r="D2" s="13" t="n"/>
    </row>
    <row customHeight="1" ht="15.75" r="3">
      <c r="B3" s="44" t="inlineStr">
        <is>
          <t>07058</t>
        </is>
      </c>
      <c r="C3" s="13" t="inlineStr">
        <is>
          <t>AIREX RUBBER PRODUCTS CORPORATION</t>
        </is>
      </c>
      <c r="D3" s="7" t="inlineStr">
        <is>
          <t>bserenson@airexrubber.com</t>
        </is>
      </c>
    </row>
    <row customHeight="1" ht="15.75" r="4">
      <c r="B4" s="44" t="inlineStr">
        <is>
          <t>82829</t>
        </is>
      </c>
      <c r="C4" s="13" t="inlineStr">
        <is>
          <t>Allen</t>
        </is>
      </c>
      <c r="D4" s="59" t="inlineStr">
        <is>
          <t>erin@newerasalesteam.com</t>
        </is>
      </c>
    </row>
    <row customHeight="1" ht="15.75" r="5">
      <c r="B5" s="44" t="inlineStr">
        <is>
          <t>05942</t>
        </is>
      </c>
      <c r="C5" s="13" t="inlineStr">
        <is>
          <t>Amada Miyachi America, Inc.</t>
        </is>
      </c>
      <c r="D5" s="69" t="inlineStr">
        <is>
          <t>tatsuya.koyama@amadamiyachi.com</t>
        </is>
      </c>
    </row>
    <row customHeight="1" ht="15.75" r="6">
      <c r="B6" s="44" t="inlineStr">
        <is>
          <t>91663</t>
        </is>
      </c>
      <c r="C6" s="13" t="inlineStr">
        <is>
          <t>ARMEL ELECTRONICS INC</t>
        </is>
      </c>
      <c r="D6" s="7" t="inlineStr">
        <is>
          <t>info@armelelectronics.com</t>
        </is>
      </c>
    </row>
    <row customHeight="1" ht="15.75" r="7">
      <c r="B7" s="44" t="inlineStr">
        <is>
          <t>51398</t>
        </is>
      </c>
      <c r="C7" s="13" t="inlineStr">
        <is>
          <t>Atrenne Computing Solutions</t>
        </is>
      </c>
      <c r="D7" s="7" t="inlineStr">
        <is>
          <t>ksoares@atrenne-cs.com</t>
        </is>
      </c>
      <c r="E7" s="7" t="inlineStr">
        <is>
          <t>ksoares@atrenne-cs.com</t>
        </is>
      </c>
    </row>
    <row customHeight="1" ht="15.75" r="8">
      <c r="B8" s="44" t="inlineStr">
        <is>
          <t>03FF4</t>
        </is>
      </c>
      <c r="C8" s="13" t="inlineStr">
        <is>
          <t>Atrex Energy, Inc.</t>
        </is>
      </c>
      <c r="D8" s="7" t="n"/>
    </row>
    <row customHeight="1" ht="90" r="9">
      <c r="B9" s="44" t="inlineStr">
        <is>
          <t>84256</t>
        </is>
      </c>
      <c r="C9" s="42" t="inlineStr">
        <is>
          <t>AVBANK</t>
        </is>
      </c>
      <c r="D9" s="7" t="inlineStr">
        <is>
          <t>crystal.bryant@pccairframe.com</t>
        </is>
      </c>
      <c r="E9" s="135" t="inlineStr">
        <is>
          <t>aracely.pineda@pccairframe.com</t>
        </is>
      </c>
      <c r="F9" t="inlineStr">
        <is>
          <t>818-392-2196</t>
        </is>
      </c>
      <c r="G9" s="94" t="inlineStr">
        <is>
          <t>The 6373-Series hose assemblies were previously manufactured by Preece Inc. Preece operations were transferred to AdelWiggins Group earlier this year as part of a merger. The manufacturer is experiencing production delays. Please see the attached letter.
Westsim request extension of delivery date to  11/27/2019.</t>
        </is>
      </c>
    </row>
    <row customHeight="1" ht="15.75" r="10">
      <c r="B10" s="44" t="inlineStr">
        <is>
          <t>1BZ19</t>
        </is>
      </c>
      <c r="C10" s="13" t="inlineStr">
        <is>
          <t>C S ANTENNAS, INC.</t>
        </is>
      </c>
      <c r="D10" s="7" t="inlineStr">
        <is>
          <t>nlandis@amphenol-antennas.com</t>
        </is>
      </c>
    </row>
    <row customHeight="1" ht="15.75" r="11">
      <c r="B11" s="44" t="inlineStr">
        <is>
          <t>05991</t>
        </is>
      </c>
      <c r="C11" s="13" t="inlineStr">
        <is>
          <t>CAMERON TECHNOLOGIES US, INC.</t>
        </is>
      </c>
      <c r="D11" s="59" t="inlineStr">
        <is>
          <t>DBardsley2@cameron.slb.com</t>
        </is>
      </c>
    </row>
    <row customHeight="1" ht="15.75" r="12">
      <c r="B12" s="44" t="inlineStr">
        <is>
          <t>0UF75</t>
        </is>
      </c>
      <c r="C12" s="13" t="inlineStr">
        <is>
          <t>CAMMENGA ASSOCIATES</t>
        </is>
      </c>
      <c r="D12" s="13" t="n"/>
    </row>
    <row customHeight="1" ht="15.75" r="13">
      <c r="B13" s="44" t="n">
        <v>71304</v>
      </c>
      <c r="C13" s="13" t="inlineStr">
        <is>
          <t>CAPEWELL AERIAL SYSTEMS LLC DBA</t>
        </is>
      </c>
    </row>
    <row customHeight="1" ht="13.5" r="14">
      <c r="B14" s="44" t="n">
        <v>65586</v>
      </c>
      <c r="C14" s="13" t="inlineStr">
        <is>
          <t>Chromalox, Inc. DBA Ogden</t>
        </is>
      </c>
      <c r="D14" s="7" t="inlineStr">
        <is>
          <t>kmorse@applebeechurch.com</t>
        </is>
      </c>
    </row>
    <row customHeight="1" ht="15.75" r="15">
      <c r="B15" s="44" t="inlineStr">
        <is>
          <t>1GWN9</t>
        </is>
      </c>
      <c r="C15" s="13" t="inlineStr">
        <is>
          <t>CLARUS TECHNOLOGIES, LLC DBA</t>
        </is>
      </c>
      <c r="D15" s="7" t="inlineStr">
        <is>
          <t>Kendra.Mitchell@colfaxfluidhandling.com</t>
        </is>
      </c>
    </row>
    <row customHeight="1" ht="15.75" r="16">
      <c r="B16" s="44" t="inlineStr">
        <is>
          <t>0LE36</t>
        </is>
      </c>
      <c r="C16" s="13" t="inlineStr">
        <is>
          <t>Connec</t>
        </is>
      </c>
      <c r="D16" s="7" t="inlineStr">
        <is>
          <t>srobinson@connectronicscorp.com</t>
        </is>
      </c>
    </row>
    <row customHeight="1" ht="16.5" r="17">
      <c r="B17" s="44" t="inlineStr">
        <is>
          <t>31946</t>
        </is>
      </c>
      <c r="C17" s="3" t="inlineStr">
        <is>
          <t>COLE INSTRUMENT CORP.</t>
        </is>
      </c>
      <c r="D17" s="7" t="inlineStr">
        <is>
          <t>sales@cole-switches.com</t>
        </is>
      </c>
      <c r="E17" s="94" t="inlineStr">
        <is>
          <t>tschrum@cole-switches.com</t>
        </is>
      </c>
    </row>
    <row customHeight="1" ht="15.75" r="18">
      <c r="B18" s="44" t="inlineStr">
        <is>
          <t>81901</t>
        </is>
      </c>
      <c r="C18" s="42" t="inlineStr">
        <is>
          <t>CPI</t>
        </is>
      </c>
      <c r="D18" s="13" t="n"/>
    </row>
    <row customHeight="1" ht="15.75" r="19">
      <c r="B19" s="44" t="inlineStr">
        <is>
          <t>1PS62</t>
        </is>
      </c>
      <c r="C19" s="13" t="inlineStr">
        <is>
          <t>CRYSTAL ENGINEERING</t>
        </is>
      </c>
      <c r="D19" s="59" t="inlineStr">
        <is>
          <t>crystal@ametek.com</t>
        </is>
      </c>
    </row>
    <row customHeight="1" ht="15.75" r="20">
      <c r="B20" s="44" t="inlineStr">
        <is>
          <t>0BJ09</t>
        </is>
      </c>
      <c r="C20" s="13" t="inlineStr">
        <is>
          <t>CS Control</t>
        </is>
      </c>
      <c r="D20" s="7" t="n"/>
    </row>
    <row customHeight="1" ht="15.75" r="21">
      <c r="B21" s="44" t="inlineStr">
        <is>
          <t>22519</t>
        </is>
      </c>
      <c r="C21" s="42" t="inlineStr">
        <is>
          <t>Data Delay</t>
        </is>
      </c>
      <c r="D21" s="59" t="inlineStr">
        <is>
          <t>paulk@datadelay.com</t>
        </is>
      </c>
    </row>
    <row customHeight="1" ht="15.75" r="22">
      <c r="B22" s="44" t="inlineStr">
        <is>
          <t>4Z9A3</t>
        </is>
      </c>
      <c r="C22" s="13" t="inlineStr">
        <is>
          <t>DIAGNOSTIC SOLUTIONS INTERNATIONAL 4</t>
        </is>
      </c>
      <c r="D22" s="7" t="inlineStr">
        <is>
          <t>Nicole.Acevedo@dsi-hums.com</t>
        </is>
      </c>
    </row>
    <row customHeight="1" ht="15.75" r="23">
      <c r="B23" s="44" t="inlineStr">
        <is>
          <t>19362</t>
        </is>
      </c>
      <c r="C23" s="13" t="inlineStr">
        <is>
          <t>ditmco</t>
        </is>
      </c>
      <c r="D23" s="13" t="inlineStr">
        <is>
          <t>JBacon@ditmco.com</t>
        </is>
      </c>
    </row>
    <row customHeight="1" ht="15.75" r="24">
      <c r="B24" s="44" t="inlineStr">
        <is>
          <t>0NJ18</t>
        </is>
      </c>
      <c r="C24" s="13" t="inlineStr">
        <is>
          <t>DOMETIC CORPORATION DIV SEALAND</t>
        </is>
      </c>
    </row>
    <row customHeight="1" ht="15.75" r="25">
      <c r="B25" s="44" t="inlineStr">
        <is>
          <t>0LB15</t>
        </is>
      </c>
      <c r="C25" s="13" t="inlineStr">
        <is>
          <t>DOUGLAS AUTOTECH</t>
        </is>
      </c>
      <c r="D25" s="7" t="inlineStr">
        <is>
          <t>mikep@peerlessusa.com</t>
        </is>
      </c>
    </row>
    <row customHeight="1" ht="15.75" r="26">
      <c r="B26" s="44" t="inlineStr">
        <is>
          <t>1CE49</t>
        </is>
      </c>
      <c r="C26" s="42" t="inlineStr">
        <is>
          <t>DRUCK</t>
        </is>
      </c>
      <c r="D26" s="59" t="inlineStr">
        <is>
          <t>ccpressureusa@ge.com</t>
        </is>
      </c>
    </row>
    <row customHeight="1" ht="15.75" r="27">
      <c r="B27" s="44" t="inlineStr">
        <is>
          <t>30941</t>
        </is>
      </c>
      <c r="C27" s="42" t="inlineStr">
        <is>
          <t>east</t>
        </is>
      </c>
      <c r="D27" s="59" t="inlineStr">
        <is>
          <t>sbutler@eastwestindustries.com</t>
        </is>
      </c>
    </row>
    <row customHeight="1" ht="19.9" r="28">
      <c r="B28" s="45" t="inlineStr">
        <is>
          <t>1N5X2</t>
        </is>
      </c>
      <c r="C28" s="13" t="inlineStr">
        <is>
          <t>EMPOWER RF SYSTEMS, I</t>
        </is>
      </c>
      <c r="D28" s="13" t="inlineStr">
        <is>
          <t>russell.hanson@empowerrf.com</t>
        </is>
      </c>
      <c r="E28" s="94" t="inlineStr">
        <is>
          <t>kathryn.joines@ultra-ems.com</t>
        </is>
      </c>
    </row>
    <row customHeight="1" ht="16.5" r="29">
      <c r="B29" s="45" t="n">
        <v>51435</v>
      </c>
      <c r="C29" s="13" t="inlineStr">
        <is>
          <t>EMS Development Corporation</t>
        </is>
      </c>
      <c r="D29" s="94" t="inlineStr">
        <is>
          <t>kathryn.joines@ultra-ems.com</t>
        </is>
      </c>
    </row>
    <row customHeight="1" ht="15" r="30">
      <c r="B30" s="44" t="inlineStr">
        <is>
          <t>20722</t>
        </is>
      </c>
      <c r="C30" s="13" t="inlineStr">
        <is>
          <t>Entwistle Company, The</t>
        </is>
      </c>
      <c r="D30" s="7" t="inlineStr">
        <is>
          <t>bsheffield@entwistleco.com</t>
        </is>
      </c>
    </row>
    <row customHeight="1" ht="15.75" r="31">
      <c r="B31" s="44" t="n">
        <v>83533</v>
      </c>
      <c r="C31" s="13" t="inlineStr">
        <is>
          <t>ESSEX INDUSTRIES</t>
        </is>
      </c>
      <c r="D31" s="7" t="inlineStr">
        <is>
          <t>rgeisz@essexind.com</t>
        </is>
      </c>
    </row>
    <row customHeight="1" ht="15.75" r="32">
      <c r="B32" s="44" t="inlineStr">
        <is>
          <t>1KHV0</t>
        </is>
      </c>
      <c r="C32" s="13" t="inlineStr">
        <is>
          <t>Exlar Corporation</t>
        </is>
      </c>
    </row>
    <row customHeight="1" ht="15.75" r="33">
      <c r="B33" s="44" t="inlineStr">
        <is>
          <t>6SPR5</t>
        </is>
      </c>
      <c r="C33" s="13" t="inlineStr">
        <is>
          <t>FLOWLINE VALVE AND CONTROLS,</t>
        </is>
      </c>
      <c r="D33" s="7" t="inlineStr">
        <is>
          <t>bradley@flowlinevalves.com</t>
        </is>
      </c>
    </row>
    <row customHeight="1" ht="15.75" r="34">
      <c r="B34" s="44" t="inlineStr">
        <is>
          <t>54679</t>
        </is>
      </c>
      <c r="C34" s="13" t="inlineStr">
        <is>
          <t>FLOWMETRICS, INC. DBA</t>
        </is>
      </c>
    </row>
    <row customHeight="1" ht="15.75" r="35">
      <c r="B35" s="44" t="inlineStr">
        <is>
          <t>6LE50</t>
        </is>
      </c>
      <c r="C35" s="13" t="inlineStr">
        <is>
          <t>FLUID HANDLING, LLC DBA STANDARD</t>
        </is>
      </c>
      <c r="D35" s="7" t="inlineStr">
        <is>
          <t>kmartin@tencarva.com</t>
        </is>
      </c>
    </row>
    <row customHeight="1" ht="15.75" r="36">
      <c r="B36" s="44" t="inlineStr">
        <is>
          <t>0PK88</t>
        </is>
      </c>
      <c r="C36" s="13" t="inlineStr">
        <is>
          <t>GAI-TRONICS CORP</t>
        </is>
      </c>
      <c r="D36" s="7" t="inlineStr">
        <is>
          <t>customerservice@gai-tronics.com</t>
        </is>
      </c>
    </row>
    <row customHeight="1" ht="15.75" r="37">
      <c r="B37" s="44" t="inlineStr">
        <is>
          <t>04034</t>
        </is>
      </c>
      <c r="C37" s="42" t="inlineStr">
        <is>
          <t>GEMS</t>
        </is>
      </c>
      <c r="D37" s="13" t="n"/>
    </row>
    <row customHeight="1" ht="15.75" r="38">
      <c r="B38" s="44" t="inlineStr">
        <is>
          <t>06666</t>
        </is>
      </c>
      <c r="C38" s="13" t="inlineStr">
        <is>
          <t>GENERAL DEVICES CO INC </t>
        </is>
      </c>
      <c r="D38" s="7" t="inlineStr">
        <is>
          <t>davepatrick@generaldevices.com</t>
        </is>
      </c>
    </row>
    <row customHeight="1" ht="15.75" r="39">
      <c r="B39" s="44" t="inlineStr">
        <is>
          <t>02378</t>
        </is>
      </c>
      <c r="C39" s="13" t="inlineStr">
        <is>
          <t>General Rubber Corporation</t>
        </is>
      </c>
      <c r="D39" s="7" t="inlineStr">
        <is>
          <t>gregs@general-rubber.com</t>
        </is>
      </c>
    </row>
    <row customHeight="1" ht="15.75" r="40">
      <c r="B40" s="44" t="inlineStr">
        <is>
          <t>06324</t>
        </is>
      </c>
      <c r="C40" s="42" t="inlineStr">
        <is>
          <t>Glenair</t>
        </is>
      </c>
      <c r="D40" s="7" t="inlineStr">
        <is>
          <t>icarrillo@glenair.com</t>
        </is>
      </c>
    </row>
    <row customHeight="1" ht="15.75" r="41">
      <c r="B41" s="44" t="inlineStr">
        <is>
          <t>95717</t>
        </is>
      </c>
      <c r="C41" s="13" t="inlineStr">
        <is>
          <t>GOULD J D CO INC</t>
        </is>
      </c>
      <c r="D41" s="7" t="inlineStr">
        <is>
          <t>sales@gouldvalve.com</t>
        </is>
      </c>
    </row>
    <row customHeight="1" ht="18" r="42">
      <c r="B42" s="44" t="inlineStr">
        <is>
          <t>86184</t>
        </is>
      </c>
      <c r="C42" s="42" t="inlineStr">
        <is>
          <t>GRISWOLD INDUSTRIES</t>
        </is>
      </c>
      <c r="D42" s="60" t="inlineStr">
        <is>
          <t>tdavis@cla-val.com</t>
        </is>
      </c>
    </row>
    <row customHeight="1" ht="15.75" r="43">
      <c r="B43" s="44" t="inlineStr">
        <is>
          <t>1CEB5</t>
        </is>
      </c>
      <c r="C43" s="13" t="inlineStr">
        <is>
          <t>HANSEN TECHNOLOGIES CORPORATION</t>
        </is>
      </c>
      <c r="D43" s="7" t="inlineStr">
        <is>
          <t>sales@hantech.com</t>
        </is>
      </c>
    </row>
    <row customHeight="1" ht="16.5" r="44">
      <c r="B44" s="44" t="inlineStr">
        <is>
          <t>U5503</t>
        </is>
      </c>
      <c r="C44" s="42" t="inlineStr">
        <is>
          <t>HIAB LIMITED DIV GOVERNMENT </t>
        </is>
      </c>
      <c r="D44" s="7" t="inlineStr">
        <is>
          <t>us.hiab.parts@hiab.com</t>
        </is>
      </c>
      <c r="E44" s="136" t="inlineStr">
        <is>
          <t>419-482-6000 X2286 Judy CC</t>
        </is>
      </c>
    </row>
    <row customHeight="1" ht="15.75" r="45">
      <c r="B45" s="44" t="n">
        <v>34914</v>
      </c>
      <c r="C45" s="137" t="inlineStr">
        <is>
          <t>HIAB USA INC. DBA</t>
        </is>
      </c>
      <c r="D45" s="7" t="n"/>
    </row>
    <row customHeight="1" ht="16.9" r="46">
      <c r="B46" s="44" t="inlineStr">
        <is>
          <t>1DFQ0</t>
        </is>
      </c>
      <c r="C46" s="13" t="inlineStr">
        <is>
          <t>HVR ADVANCED POWER COMPONENTS,</t>
        </is>
      </c>
      <c r="D46" s="94" t="inlineStr">
        <is>
          <t>sales@hvrapc.com</t>
        </is>
      </c>
    </row>
    <row customHeight="1" ht="15.75" r="47">
      <c r="B47" s="44" t="inlineStr">
        <is>
          <t>5E938</t>
        </is>
      </c>
      <c r="C47" s="13" t="inlineStr">
        <is>
          <t>HYDROAIr</t>
        </is>
      </c>
      <c r="D47" s="7" t="inlineStr">
        <is>
          <t>kbriersmith@hydroair.net</t>
        </is>
      </c>
    </row>
    <row customHeight="1" ht="15.75" r="48">
      <c r="B48" s="44" t="inlineStr">
        <is>
          <t>K5777</t>
        </is>
      </c>
      <c r="C48" s="13" t="inlineStr">
        <is>
          <t>HYST</t>
        </is>
      </c>
      <c r="D48" s="13" t="n"/>
    </row>
    <row customHeight="1" ht="15.75" r="49">
      <c r="B49" s="45" t="inlineStr">
        <is>
          <t>71468</t>
        </is>
      </c>
      <c r="C49" s="42" t="inlineStr">
        <is>
          <t>I T T Cannon 71468</t>
        </is>
      </c>
      <c r="D49" s="59" t="inlineStr">
        <is>
          <t>lcerulli@brandel-stephens.com</t>
        </is>
      </c>
      <c r="E49" s="7" t="inlineStr">
        <is>
          <t>ksmith@brandel-stephens.com</t>
        </is>
      </c>
    </row>
    <row customHeight="1" ht="15.75" r="50">
      <c r="B50" s="44" t="inlineStr">
        <is>
          <t>3J6B1</t>
        </is>
      </c>
      <c r="C50" s="13" t="inlineStr">
        <is>
          <t>INDUSTRIAL WEBBING CORP.</t>
        </is>
      </c>
    </row>
    <row customHeight="1" ht="15.75" r="51">
      <c r="B51" s="44" t="inlineStr">
        <is>
          <t>1Z254</t>
        </is>
      </c>
      <c r="C51" s="13" t="inlineStr">
        <is>
          <t>JEROME-ASTRO</t>
        </is>
      </c>
      <c r="D51" s="13" t="inlineStr">
        <is>
          <t>Elona.Brown@astrodynetdi.com</t>
        </is>
      </c>
    </row>
    <row customHeight="1" ht="15.75" r="52">
      <c r="B52" s="44" t="inlineStr">
        <is>
          <t>34345</t>
        </is>
      </c>
      <c r="C52" s="13" t="inlineStr">
        <is>
          <t>KULITE SEMICONDUCTOR PRODUCTS, INC</t>
        </is>
      </c>
      <c r="D52" s="7" t="inlineStr">
        <is>
          <t>terie.briones@kulite.com</t>
        </is>
      </c>
    </row>
    <row customHeight="1" ht="16.5" r="53">
      <c r="B53" s="44" t="n">
        <v>85213</v>
      </c>
      <c r="C53" s="13" t="inlineStr">
        <is>
          <t>L.C.DOANE COMPANY,THE</t>
        </is>
      </c>
      <c r="D53" s="94" t="inlineStr">
        <is>
          <t>lucyb@lcdoane.com</t>
        </is>
      </c>
    </row>
    <row customHeight="1" ht="15.75" r="54">
      <c r="B54" s="45" t="inlineStr">
        <is>
          <t>3GRA1</t>
        </is>
      </c>
      <c r="C54" s="42" t="inlineStr">
        <is>
          <t>LEDDYNAMICS INC</t>
        </is>
      </c>
      <c r="D54" s="7" t="inlineStr">
        <is>
          <t>bsparadeo@leddynamics.com</t>
        </is>
      </c>
    </row>
    <row customHeight="1" ht="15.75" r="55">
      <c r="B55" s="44" t="inlineStr">
        <is>
          <t>8Z410</t>
        </is>
      </c>
      <c r="C55" s="13" t="inlineStr">
        <is>
          <t>LEDTRONICS, INC.</t>
        </is>
      </c>
      <c r="D55" s="13" t="inlineStr">
        <is>
          <t>spoh@ledtronics.com</t>
        </is>
      </c>
    </row>
    <row customHeight="1" ht="15.75" r="56">
      <c r="B56" s="44" t="inlineStr">
        <is>
          <t>92555</t>
        </is>
      </c>
      <c r="C56" s="13" t="inlineStr">
        <is>
          <t>lee</t>
        </is>
      </c>
      <c r="D56" s="13" t="n"/>
    </row>
    <row customHeight="1" ht="15.75" r="57">
      <c r="B57" s="44" t="n">
        <v>60955</v>
      </c>
      <c r="C57" s="13" t="inlineStr">
        <is>
          <t>MARWAY POWER SYSTEMS, INC. DBA</t>
        </is>
      </c>
      <c r="D57" s="7" t="inlineStr">
        <is>
          <t>tbishop@marway.com</t>
        </is>
      </c>
    </row>
    <row customHeight="1" ht="15.75" r="58">
      <c r="B58" s="44" t="inlineStr">
        <is>
          <t>1UN88</t>
        </is>
      </c>
      <c r="C58" s="13" t="inlineStr">
        <is>
          <t>Miller-Leaman, Inc.</t>
        </is>
      </c>
      <c r="D58" s="7" t="inlineStr">
        <is>
          <t>rachelg@millerleaman.com</t>
        </is>
      </c>
    </row>
    <row customHeight="1" ht="15.75" r="59">
      <c r="B59" s="44" t="inlineStr">
        <is>
          <t>08407</t>
        </is>
      </c>
      <c r="C59" s="13" t="inlineStr">
        <is>
          <t>MIRADA RESEARCH MANUFACTURING,</t>
        </is>
      </c>
      <c r="D59" s="7" t="inlineStr">
        <is>
          <t>kdrewelow@miradaresearch.com</t>
        </is>
      </c>
    </row>
    <row customHeight="1" ht="15.75" r="60">
      <c r="B60" s="44" t="inlineStr">
        <is>
          <t>25205</t>
        </is>
      </c>
      <c r="C60" s="154" t="inlineStr">
        <is>
          <t>MOLDED DEVICES</t>
        </is>
      </c>
      <c r="D60" s="7" t="inlineStr">
        <is>
          <t>elainerobles@moldeddevices.com</t>
        </is>
      </c>
      <c r="E60" s="7" t="inlineStr">
        <is>
          <t>angelinaherrera@moldeddevices.com</t>
        </is>
      </c>
    </row>
    <row customHeight="1" ht="15.75" r="61">
      <c r="B61" s="44" t="inlineStr">
        <is>
          <t>27315</t>
        </is>
      </c>
      <c r="C61" s="42" t="inlineStr">
        <is>
          <t>MORRIS MATERIAL HANDLING, INC. DBA</t>
        </is>
      </c>
      <c r="D61" s="7" t="inlineStr">
        <is>
          <t>partscpp@konecranes.com</t>
        </is>
      </c>
    </row>
    <row customHeight="1" ht="16.9" r="62">
      <c r="B62" s="44" t="inlineStr">
        <is>
          <t>82974</t>
        </is>
      </c>
      <c r="C62" s="42" t="inlineStr">
        <is>
          <t>Munter Kazandra.Torres@Munters.com</t>
        </is>
      </c>
      <c r="D62" s="59" t="inlineStr">
        <is>
          <t>partsairtusa@munters.com</t>
        </is>
      </c>
    </row>
    <row customHeight="1" ht="16.9" r="63">
      <c r="B63" s="44" t="n">
        <v>32387</v>
      </c>
      <c r="C63" s="3" t="inlineStr">
        <is>
          <t>NAFCO USA, LLC 32387</t>
        </is>
      </c>
      <c r="D63" s="94" t="inlineStr">
        <is>
          <t>joshh@nafcousa.com</t>
        </is>
      </c>
    </row>
    <row customHeight="1" ht="16.5" r="64" thickBot="1">
      <c r="B64" s="44" t="inlineStr">
        <is>
          <t>64667</t>
        </is>
      </c>
      <c r="C64" s="42" t="inlineStr">
        <is>
          <t>NATIONAL INSTRUMENTS CORPORATION</t>
        </is>
      </c>
      <c r="D64" s="7" t="inlineStr">
        <is>
          <t>quote@ni.com</t>
        </is>
      </c>
    </row>
    <row customHeight="1" ht="16.5" r="65" thickBot="1">
      <c r="B65" s="44" t="inlineStr">
        <is>
          <t>04YE1</t>
        </is>
      </c>
      <c r="C65" s="42" t="inlineStr">
        <is>
          <t>S AUTOMATIONDIRECT.COM, INC</t>
        </is>
      </c>
      <c r="D65" s="7" t="n"/>
      <c r="E65" s="138" t="n"/>
      <c r="F65" s="139" t="n"/>
    </row>
    <row customHeight="1" ht="15.75" r="66">
      <c r="B66" s="44" t="n">
        <v>32245</v>
      </c>
      <c r="C66" t="inlineStr">
        <is>
          <t>APPLIED AVIONICS, INC. DBA</t>
        </is>
      </c>
    </row>
    <row customHeight="1" ht="15.75" r="67">
      <c r="B67" s="44" t="inlineStr">
        <is>
          <t>1NSE4</t>
        </is>
      </c>
      <c r="C67" t="inlineStr">
        <is>
          <t>AYDIN DISPLAYS, INC.</t>
        </is>
      </c>
      <c r="D67" s="7" t="inlineStr">
        <is>
          <t>sales@spartonre.com</t>
        </is>
      </c>
    </row>
    <row customHeight="1" ht="15.75" r="68">
      <c r="B68" s="44" t="inlineStr">
        <is>
          <t>1Q449</t>
        </is>
      </c>
      <c r="C68" s="3" t="inlineStr">
        <is>
          <t>BLUE SEA SYSTEMS, INC. DBA BLUE</t>
        </is>
      </c>
      <c r="D68" s="7" t="inlineStr">
        <is>
          <t>gabrielac@westmarine.com</t>
        </is>
      </c>
    </row>
    <row customHeight="1" ht="15.75" r="69">
      <c r="B69" s="44" t="n">
        <v>66087</v>
      </c>
      <c r="C69" t="inlineStr">
        <is>
          <t>CTT Inc.</t>
        </is>
      </c>
      <c r="D69" s="7" t="inlineStr">
        <is>
          <t>sales@cttinc.com</t>
        </is>
      </c>
    </row>
    <row customHeight="1" ht="15.75" r="70">
      <c r="B70" s="44" t="inlineStr">
        <is>
          <t>7AYE6</t>
        </is>
      </c>
      <c r="C70" s="3" t="inlineStr">
        <is>
          <t>KTSDI LLC DBA</t>
        </is>
      </c>
      <c r="D70" s="7" t="inlineStr">
        <is>
          <t>parts@KTSDI.com</t>
        </is>
      </c>
    </row>
    <row customHeight="1" ht="15.75" r="71">
      <c r="B71" s="44" t="inlineStr">
        <is>
          <t>06GU3</t>
        </is>
      </c>
      <c r="C71" s="20" t="inlineStr">
        <is>
          <t>LAIRD R F Products, Inc.</t>
        </is>
      </c>
    </row>
    <row customHeight="1" ht="15" r="72">
      <c r="B72" s="44" t="n">
        <v>43321</v>
      </c>
      <c r="C72" s="3" t="inlineStr">
        <is>
          <t>L-Com Global</t>
        </is>
      </c>
    </row>
    <row customHeight="1" ht="15.75" r="73">
      <c r="B73" s="44" t="inlineStr">
        <is>
          <t>H6077</t>
        </is>
      </c>
      <c r="C73" s="42" t="inlineStr">
        <is>
          <t>MAFO</t>
        </is>
      </c>
      <c r="D73" s="7" t="inlineStr">
        <is>
          <t>rolf.geerdink@mafo.nl</t>
        </is>
      </c>
    </row>
    <row customHeight="1" ht="17.65" r="74">
      <c r="B74" s="44" t="inlineStr">
        <is>
          <t>66822</t>
        </is>
      </c>
      <c r="C74" s="3" t="inlineStr">
        <is>
          <t>MORPAC INDUSTRIES, INC. DBA</t>
        </is>
      </c>
    </row>
    <row customHeight="1" ht="16.15" r="75">
      <c r="B75" s="44" t="n">
        <v>32387</v>
      </c>
      <c r="C75" t="inlineStr">
        <is>
          <t>NAFCO USA, LLC 32387</t>
        </is>
      </c>
      <c r="D75" s="94" t="inlineStr">
        <is>
          <t>joshh@nafcousa.com</t>
        </is>
      </c>
    </row>
    <row customHeight="1" ht="15.75" r="76">
      <c r="B76" s="44" t="inlineStr">
        <is>
          <t>0BA69</t>
        </is>
      </c>
      <c r="C76" s="42" t="inlineStr">
        <is>
          <t>NETWORKS INTERNATIONAL CORP.</t>
        </is>
      </c>
    </row>
    <row customHeight="1" ht="15.75" r="77">
      <c r="B77" s="44" t="n"/>
      <c r="C77" s="13" t="inlineStr">
        <is>
          <t>NEWARK ELECTRONICS CORPORATION</t>
        </is>
      </c>
    </row>
    <row customHeight="1" ht="15.75" r="78">
      <c r="B78" s="44" t="inlineStr">
        <is>
          <t>03QL3</t>
        </is>
      </c>
      <c r="C78" s="42" t="inlineStr">
        <is>
          <t>Newport</t>
        </is>
      </c>
      <c r="D78" s="7" t="inlineStr">
        <is>
          <t>tina.lopez@newport.com</t>
        </is>
      </c>
    </row>
    <row customHeight="1" ht="15.75" r="79">
      <c r="B79" s="44" t="n">
        <v>59165</v>
      </c>
      <c r="C79" s="13" t="inlineStr">
        <is>
          <t>Norman Filters</t>
        </is>
      </c>
      <c r="D79" s="140" t="inlineStr">
        <is>
          <t>jharty@normanfilters.com</t>
        </is>
      </c>
    </row>
    <row customHeight="1" ht="15.75" r="80">
      <c r="B80" s="44" t="inlineStr">
        <is>
          <t>1NB39</t>
        </is>
      </c>
      <c r="C80" s="13" t="inlineStr">
        <is>
          <t>Norsell</t>
        </is>
      </c>
      <c r="D80" s="59" t="inlineStr">
        <is>
          <t>calvin.duplechin@doverautomation.com</t>
        </is>
      </c>
    </row>
    <row customHeight="1" ht="15.75" r="81">
      <c r="B81" s="44" t="n">
        <v>34712</v>
      </c>
      <c r="C81" t="inlineStr">
        <is>
          <t>OLDENBURG GROUP INCORPORATED DBA</t>
        </is>
      </c>
    </row>
    <row customHeight="1" ht="15.75" r="82">
      <c r="B82" s="44" t="n">
        <v>15305</v>
      </c>
      <c r="C82" s="13" t="inlineStr">
        <is>
          <t>OMEGA LABORATORIES INC DBA</t>
        </is>
      </c>
    </row>
    <row customHeight="1" ht="15.75" r="83">
      <c r="B83" s="44" t="inlineStr">
        <is>
          <t>1VJJ9</t>
        </is>
      </c>
      <c r="C83" s="13" t="inlineStr">
        <is>
          <t>Parts Express</t>
        </is>
      </c>
      <c r="D83" s="13" t="inlineStr">
        <is>
          <t>website</t>
        </is>
      </c>
    </row>
    <row customHeight="1" ht="15" r="84">
      <c r="B84" s="44" t="inlineStr">
        <is>
          <t>53919</t>
        </is>
      </c>
      <c r="C84" s="13" t="inlineStr">
        <is>
          <t>PASTERNACK ENTERPRISES</t>
        </is>
      </c>
      <c r="D84" s="59" t="inlineStr">
        <is>
          <t>sales@pasternack.com</t>
        </is>
      </c>
    </row>
    <row customHeight="1" ht="15.75" r="85">
      <c r="B85" s="44" t="inlineStr">
        <is>
          <t>92021</t>
        </is>
      </c>
      <c r="C85" s="42" t="inlineStr">
        <is>
          <t>PBM</t>
        </is>
      </c>
      <c r="D85" s="59" t="inlineStr">
        <is>
          <t>darlapotter@fluidflow.com</t>
        </is>
      </c>
    </row>
    <row customHeight="1" ht="15.75" r="86">
      <c r="B86" s="44" t="inlineStr">
        <is>
          <t>0SCJ7</t>
        </is>
      </c>
      <c r="C86" s="42" t="inlineStr">
        <is>
          <t>Phoenix Logistics, Inc. DBA PLI</t>
        </is>
      </c>
      <c r="D86" s="7" t="inlineStr">
        <is>
          <t>kjonas@phxlogistics.com</t>
        </is>
      </c>
    </row>
    <row customHeight="1" ht="15.75" r="87">
      <c r="B87" s="44" t="inlineStr">
        <is>
          <t>5DR61</t>
        </is>
      </c>
      <c r="C87" s="42" t="inlineStr">
        <is>
          <t>PRECISION GOVERNORS</t>
        </is>
      </c>
      <c r="D87" s="7" t="inlineStr">
        <is>
          <t>brenze@pgcontrols.com</t>
        </is>
      </c>
    </row>
    <row customHeight="1" ht="17.65" r="88">
      <c r="B88" s="44" t="inlineStr">
        <is>
          <t>21392</t>
        </is>
      </c>
      <c r="C88" s="42" t="inlineStr">
        <is>
          <t>PREECE INCORPORATED</t>
        </is>
      </c>
      <c r="D88" s="7" t="inlineStr">
        <is>
          <t>sales@preeceinc.com</t>
        </is>
      </c>
      <c r="E88" s="94" t="inlineStr">
        <is>
          <t>troane@adelwiggins.com</t>
        </is>
      </c>
    </row>
    <row customHeight="1" ht="15.75" r="89">
      <c r="B89" s="44" t="inlineStr">
        <is>
          <t>75Y25</t>
        </is>
      </c>
      <c r="C89" s="13" t="inlineStr">
        <is>
          <t>PROCURE, INC.</t>
        </is>
      </c>
      <c r="D89" s="7" t="inlineStr">
        <is>
          <t>sales@procureinc.us</t>
        </is>
      </c>
    </row>
    <row customHeight="1" ht="18" r="90">
      <c r="B90" s="44" t="inlineStr">
        <is>
          <t>0B7R6</t>
        </is>
      </c>
      <c r="C90" s="13" t="inlineStr">
        <is>
          <t>Quasar Power Technologies Inc.</t>
        </is>
      </c>
      <c r="D90" s="7" t="inlineStr">
        <is>
          <t>mps@hascoinc.net</t>
        </is>
      </c>
    </row>
    <row customHeight="1" ht="15.75" r="91">
      <c r="B91" s="44" t="inlineStr">
        <is>
          <t>50619</t>
        </is>
      </c>
      <c r="C91" s="42" t="inlineStr">
        <is>
          <t>R,Kern</t>
        </is>
      </c>
      <c r="D91" s="59" t="inlineStr">
        <is>
          <t>Nancy@kerneng.com</t>
        </is>
      </c>
    </row>
    <row customHeight="1" ht="15.75" r="92">
      <c r="B92" s="44" t="n">
        <v>82199</v>
      </c>
      <c r="C92" s="42" t="inlineStr">
        <is>
          <t>RHODE SCHWARZ</t>
        </is>
      </c>
      <c r="D92" s="7" t="inlineStr">
        <is>
          <t>Service.RSA@RSA.Rohde-Schwarz.com</t>
        </is>
      </c>
    </row>
    <row customHeight="1" ht="21.6" r="93">
      <c r="B93" s="44" t="inlineStr">
        <is>
          <t>55193</t>
        </is>
      </c>
      <c r="C93" s="154" t="inlineStr">
        <is>
          <t>ROSTRA VERNATHERM, LLC DBA BILBE</t>
        </is>
      </c>
      <c r="D93" s="94" t="inlineStr">
        <is>
          <t>info@vernatherm.com</t>
        </is>
      </c>
    </row>
    <row customHeight="1" ht="15.75" r="94">
      <c r="B94" s="44" t="n">
        <v>86835</v>
      </c>
      <c r="C94" t="inlineStr">
        <is>
          <t>RULAND MFG CO INC Website</t>
        </is>
      </c>
      <c r="D94" s="7" t="inlineStr">
        <is>
          <t>sales@ruland.com&gt;</t>
        </is>
      </c>
    </row>
    <row customHeight="1" ht="15.75" r="95">
      <c r="B95" s="44" t="inlineStr">
        <is>
          <t>15542</t>
        </is>
      </c>
      <c r="C95" s="42" t="inlineStr">
        <is>
          <t>SCIENTIFIC COMPONENTS CORP DBA</t>
        </is>
      </c>
      <c r="D95" s="59" t="inlineStr">
        <is>
          <t>la@minicircuits.com</t>
        </is>
      </c>
    </row>
    <row customHeight="1" ht="15.75" r="96">
      <c r="B96" s="44" t="n">
        <v>24602</v>
      </c>
      <c r="C96" s="69" t="inlineStr">
        <is>
          <t>Smiths Interconnect Microwave</t>
        </is>
      </c>
      <c r="D96" s="7" t="inlineStr">
        <is>
          <t>kristin@microlambda.com</t>
        </is>
      </c>
    </row>
    <row customHeight="1" ht="15.75" r="97">
      <c r="B97" s="44" t="inlineStr">
        <is>
          <t>53059</t>
        </is>
      </c>
      <c r="C97" s="13" t="inlineStr">
        <is>
          <t>SPIRAX SARCO, INC.</t>
        </is>
      </c>
      <c r="D97" s="141" t="inlineStr">
        <is>
          <t>us.quotes@us.spiraxsarco.com</t>
        </is>
      </c>
    </row>
    <row customHeight="1" ht="15.75" r="98">
      <c r="B98" s="44" t="inlineStr">
        <is>
          <t>3YUF7</t>
        </is>
      </c>
      <c r="C98" s="13" t="inlineStr">
        <is>
          <t>Superbright</t>
        </is>
      </c>
      <c r="D98" s="7" t="inlineStr">
        <is>
          <t>tim-w@superbrightleds.com</t>
        </is>
      </c>
    </row>
    <row customHeight="1" ht="22.15" r="99">
      <c r="B99" s="44" t="inlineStr">
        <is>
          <t>82389</t>
        </is>
      </c>
      <c r="C99" s="13" t="inlineStr">
        <is>
          <t>SWITCHCRAFT INC.</t>
        </is>
      </c>
      <c r="D99" s="60" t="inlineStr">
        <is>
          <t>quotes@digikey.com</t>
        </is>
      </c>
    </row>
    <row customHeight="1" ht="15.75" r="100">
      <c r="B100" s="44" t="inlineStr">
        <is>
          <t>0WN82</t>
        </is>
      </c>
      <c r="C100" s="13" t="inlineStr">
        <is>
          <t>THERMTROL</t>
        </is>
      </c>
      <c r="D100" s="13" t="n"/>
    </row>
    <row customHeight="1" ht="15.75" r="101">
      <c r="B101" s="44" t="inlineStr">
        <is>
          <t>097B0</t>
        </is>
      </c>
      <c r="C101" s="13" t="inlineStr">
        <is>
          <t>Tim PRICE</t>
        </is>
      </c>
      <c r="D101" s="13" t="n"/>
    </row>
    <row customHeight="1" ht="15.75" r="102">
      <c r="B102" s="44" t="inlineStr">
        <is>
          <t>68999</t>
        </is>
      </c>
      <c r="C102" s="13" t="inlineStr">
        <is>
          <t>Times Microwave Systems, Inc. DBA</t>
        </is>
      </c>
      <c r="D102" s="7" t="inlineStr">
        <is>
          <t>tim.smith@timesmicro.com</t>
        </is>
      </c>
      <c r="E102" s="51" t="inlineStr">
        <is>
          <t>No Cables</t>
        </is>
      </c>
    </row>
    <row customHeight="1" ht="15.75" r="103">
      <c r="B103" s="44" t="inlineStr">
        <is>
          <t>17454</t>
        </is>
      </c>
      <c r="C103" s="42" t="inlineStr">
        <is>
          <t>Timken Gears Services Inc. DBA</t>
        </is>
      </c>
      <c r="E103" s="7" t="inlineStr">
        <is>
          <t>gquinlan@philagear.com</t>
        </is>
      </c>
    </row>
    <row customHeight="1" ht="15.75" r="104">
      <c r="B104" s="44" t="inlineStr">
        <is>
          <t>4ZYN8</t>
        </is>
      </c>
      <c r="C104" s="13" t="inlineStr">
        <is>
          <t>USBGEAR</t>
        </is>
      </c>
    </row>
    <row customHeight="1" ht="18" r="105">
      <c r="B105" s="44" t="inlineStr">
        <is>
          <t>0LUC0</t>
        </is>
      </c>
      <c r="C105" s="13" t="inlineStr">
        <is>
          <t>VETRONIX RESEARCH CORPORATION</t>
        </is>
      </c>
      <c r="D105" s="94" t="inlineStr">
        <is>
          <t>kruffino@vetronixresearch.com</t>
        </is>
      </c>
    </row>
    <row r="106">
      <c r="B106" t="inlineStr">
        <is>
          <t>4C7P7</t>
        </is>
      </c>
      <c r="C106" t="inlineStr">
        <is>
          <t>VSD, LLC</t>
        </is>
      </c>
    </row>
    <row customHeight="1" ht="16.15" r="107">
      <c r="B107" t="inlineStr">
        <is>
          <t>7Z043</t>
        </is>
      </c>
      <c r="C107" t="inlineStr">
        <is>
          <t>VTE INC. DBA STELLA-MARIS</t>
        </is>
      </c>
      <c r="D107" s="94" t="inlineStr">
        <is>
          <t>samantha.gorney@vteworld.com</t>
        </is>
      </c>
    </row>
    <row customHeight="1" ht="15.75" r="108">
      <c r="B108" s="44" t="inlineStr">
        <is>
          <t>K3602</t>
        </is>
      </c>
      <c r="C108" s="13" t="inlineStr">
        <is>
          <t>WELIN LAMBIE LIMITED DBA</t>
        </is>
      </c>
    </row>
    <row customHeight="1" ht="15.75" r="109">
      <c r="B109" s="44" t="n">
        <v>13675</v>
      </c>
      <c r="C109" s="13" t="inlineStr">
        <is>
          <t>WEMS</t>
        </is>
      </c>
      <c r="D109" s="7" t="inlineStr">
        <is>
          <t>cnotaro@wems.com</t>
        </is>
      </c>
    </row>
    <row customHeight="1" ht="15.75" r="110">
      <c r="B110" s="44" t="inlineStr">
        <is>
          <t>04710</t>
        </is>
      </c>
      <c r="C110" s="13" t="inlineStr">
        <is>
          <t>WESCON PRODUCTS COMPANY DIV</t>
        </is>
      </c>
      <c r="D110" s="7" t="inlineStr">
        <is>
          <t>deanna.howell@wesconcontrols.com</t>
        </is>
      </c>
    </row>
    <row customHeight="1" ht="15.75" r="111">
      <c r="B111" s="44" t="inlineStr">
        <is>
          <t>0C579</t>
        </is>
      </c>
      <c r="C111" s="42" t="inlineStr">
        <is>
          <t>WORLD MAGNETICS COMPANY </t>
        </is>
      </c>
      <c r="D111" t="inlineStr">
        <is>
          <t>sgalla@worldmagnetics.com</t>
        </is>
      </c>
    </row>
    <row customHeight="1" ht="15.75" r="112">
      <c r="B112" s="44" t="inlineStr">
        <is>
          <t>3KMC3</t>
        </is>
      </c>
      <c r="C112" s="42" t="inlineStr">
        <is>
          <t>ZISTOS CORPORATION</t>
        </is>
      </c>
      <c r="D112" s="7" t="inlineStr">
        <is>
          <t>vbanks@zistos.com</t>
        </is>
      </c>
    </row>
    <row customHeight="1" ht="16.15" r="113">
      <c r="B113" s="156" t="inlineStr">
        <is>
          <t>06223</t>
        </is>
      </c>
      <c r="C113" s="3" t="inlineStr">
        <is>
          <t>KOOLTRONICS</t>
        </is>
      </c>
      <c r="D113" s="94" t="inlineStr">
        <is>
          <t>awalkowski@kooltronic.com</t>
        </is>
      </c>
    </row>
    <row customHeight="1" ht="14.45" r="114">
      <c r="B114" t="inlineStr">
        <is>
          <t>1QZR2</t>
        </is>
      </c>
      <c r="C114" s="3" t="inlineStr">
        <is>
          <t>Olympus Controls Corp. DBA Olympus</t>
        </is>
      </c>
      <c r="D114" s="94" t="inlineStr">
        <is>
          <t>
mmazzocco@olympus-controls.com
mmazzocco@olympus-controls.com</t>
        </is>
      </c>
    </row>
    <row r="115">
      <c r="B115" t="inlineStr">
        <is>
          <t>0H7R3</t>
        </is>
      </c>
      <c r="C115" t="inlineStr">
        <is>
          <t>MACGREGOR USA INC. DBA 0H7R3</t>
        </is>
      </c>
      <c r="D115" s="7" t="inlineStr">
        <is>
          <t>elaine.dufrene@macgregor.com</t>
        </is>
      </c>
    </row>
    <row customHeight="1" ht="15.75" r="116">
      <c r="B116" s="44" t="n">
        <v>25714</v>
      </c>
      <c r="C116" t="inlineStr">
        <is>
          <t>VERMILLION INCORPORATED 2</t>
        </is>
      </c>
    </row>
    <row customHeight="1" ht="15.75" r="117">
      <c r="B117" s="44" t="n">
        <v>44674</v>
      </c>
      <c r="C117" t="inlineStr">
        <is>
          <t>Oilgear Company, The DBA Oilgear</t>
        </is>
      </c>
    </row>
    <row customHeight="1" ht="15.75" r="118">
      <c r="B118" s="44" t="n">
        <v>53882</v>
      </c>
      <c r="C118" t="inlineStr">
        <is>
          <t>HACH ULTRA ANALYTICS INC. DBA</t>
        </is>
      </c>
    </row>
    <row customHeight="1" ht="15.75" r="119">
      <c r="B119" s="44" t="n">
        <v>43990</v>
      </c>
      <c r="C119" t="inlineStr">
        <is>
          <t>NORGREN C A CO  P</t>
        </is>
      </c>
    </row>
    <row customHeight="1" ht="15.75" r="120">
      <c r="B120" s="44" t="n">
        <v>14561</v>
      </c>
      <c r="C120" t="inlineStr">
        <is>
          <t>Magnatrol Valve Corporation</t>
        </is>
      </c>
    </row>
    <row customHeight="1" ht="15.75" r="121">
      <c r="B121" s="44" t="n">
        <v>9704</v>
      </c>
      <c r="C121" t="inlineStr">
        <is>
          <t>SEATS INCORPORATED</t>
        </is>
      </c>
    </row>
    <row customHeight="1" ht="15.75" r="122">
      <c r="B122" s="44" t="inlineStr">
        <is>
          <t>74924</t>
        </is>
      </c>
      <c r="C122" s="3" t="inlineStr">
        <is>
          <t>Indeeco LLC DBA Indeeco</t>
        </is>
      </c>
      <c r="D122" s="7" t="inlineStr">
        <is>
          <t>dgeren@indeeco.com</t>
        </is>
      </c>
    </row>
    <row customHeight="1" ht="15.75" r="123">
      <c r="B123" s="44" t="inlineStr">
        <is>
          <t>1T943</t>
        </is>
      </c>
      <c r="C123" t="inlineStr">
        <is>
          <t>ACME PRODUCTS ENGINEERING INC</t>
        </is>
      </c>
    </row>
    <row customHeight="1" ht="18" r="124">
      <c r="B124" s="44" t="inlineStr">
        <is>
          <t>31946</t>
        </is>
      </c>
      <c r="C124" s="3" t="inlineStr">
        <is>
          <t>COLE INSTRUMENT CORP.</t>
        </is>
      </c>
      <c r="D124" s="7" t="inlineStr">
        <is>
          <t>sales@cole-switches.com</t>
        </is>
      </c>
      <c r="E124" s="94" t="inlineStr">
        <is>
          <t>tschrum@cole-switches.com</t>
        </is>
      </c>
    </row>
    <row customHeight="1" ht="15.75" r="125">
      <c r="B125" s="44" t="inlineStr">
        <is>
          <t>097B0</t>
        </is>
      </c>
      <c r="C125" t="inlineStr">
        <is>
          <t>TIM PRICE INC. DBA CONTACT</t>
        </is>
      </c>
    </row>
    <row customHeight="1" ht="15.75" r="126">
      <c r="B126" s="44" t="n">
        <v>22978</v>
      </c>
      <c r="C126" t="inlineStr">
        <is>
          <t>Measurement Systems, Inc.</t>
        </is>
      </c>
      <c r="D126" s="7" t="inlineStr">
        <is>
          <t>cathy.eufemia@ultra-msi.com</t>
        </is>
      </c>
    </row>
    <row customHeight="1" ht="15.75" r="127">
      <c r="B127" s="45" t="inlineStr">
        <is>
          <t>1KWT0</t>
        </is>
      </c>
      <c r="C127" s="3" t="inlineStr">
        <is>
          <t>Sauer Compressors Usa, Inc.</t>
        </is>
      </c>
      <c r="D127" s="7" t="n"/>
    </row>
    <row customHeight="1" ht="15.75" r="128">
      <c r="B128" s="44" t="inlineStr">
        <is>
          <t>51900</t>
        </is>
      </c>
      <c r="C128" s="3" t="inlineStr">
        <is>
          <t>XYLem  Website</t>
        </is>
      </c>
      <c r="D128" s="7" t="inlineStr">
        <is>
          <t>ht.navymail@xyleminc.com  </t>
        </is>
      </c>
    </row>
    <row customHeight="1" ht="15.75" r="129">
      <c r="B129" s="44" t="inlineStr">
        <is>
          <t>0C4B7</t>
        </is>
      </c>
      <c r="C129" s="77" t="inlineStr">
        <is>
          <t>FCX SYSTEMS, INC</t>
        </is>
      </c>
      <c r="D129" s="142" t="inlineStr">
        <is>
          <t>warren.youger@fcxinc.com</t>
        </is>
      </c>
    </row>
    <row customHeight="1" ht="15.75" r="130">
      <c r="B130" s="44" t="n">
        <v>34914</v>
      </c>
      <c r="C130" s="137" t="inlineStr">
        <is>
          <t>HIAB USA INC. DBA</t>
        </is>
      </c>
      <c r="D130" s="140" t="n"/>
    </row>
    <row customHeight="1" ht="15.75" r="131">
      <c r="B131" s="44" t="n">
        <v>7097</v>
      </c>
      <c r="C131" t="inlineStr">
        <is>
          <t>HIGH PRESSURE EQUIPMENT COMPAN</t>
        </is>
      </c>
      <c r="D131" s="7" t="inlineStr">
        <is>
          <t>sales@highpressure.com</t>
        </is>
      </c>
    </row>
    <row customHeight="1" ht="14.25" r="132">
      <c r="B132" s="44" t="inlineStr">
        <is>
          <t>1JEF4</t>
        </is>
      </c>
      <c r="C132" s="3" t="inlineStr">
        <is>
          <t>STEDHAM ELECTRONICS CORP</t>
        </is>
      </c>
      <c r="D132" s="94" t="inlineStr">
        <is>
          <t>sales@stedham.com</t>
        </is>
      </c>
    </row>
    <row customHeight="1" ht="15.75" r="133">
      <c r="B133" s="44" t="inlineStr">
        <is>
          <t>31PX6</t>
        </is>
      </c>
      <c r="C133" t="inlineStr">
        <is>
          <t>Gulf Coast Power Control, Inc.</t>
        </is>
      </c>
    </row>
    <row customHeight="1" ht="15.75" r="134">
      <c r="B134" s="44" t="inlineStr">
        <is>
          <t>05593</t>
        </is>
      </c>
      <c r="C134" t="inlineStr">
        <is>
          <t>Icore International, Inc. DBA</t>
        </is>
      </c>
    </row>
    <row customHeight="1" ht="15.75" r="135">
      <c r="B135" s="44" t="n">
        <v>13047</v>
      </c>
      <c r="C135" t="inlineStr">
        <is>
          <t>MAURY MICROWAVE, INC.</t>
        </is>
      </c>
      <c r="D135" s="7" t="inlineStr">
        <is>
          <t>sales@maurymw.com</t>
        </is>
      </c>
    </row>
    <row customHeight="1" ht="19.5" r="136">
      <c r="B136" s="93" t="inlineStr">
        <is>
          <t>07294</t>
        </is>
      </c>
      <c r="C136" s="3" t="inlineStr">
        <is>
          <t>Genisco Filter Corp.</t>
        </is>
      </c>
      <c r="D136" s="94" t="inlineStr">
        <is>
          <t>adrian.cole@genisco.com</t>
        </is>
      </c>
    </row>
    <row customHeight="1" ht="15.75" r="137">
      <c r="B137" s="44" t="inlineStr">
        <is>
          <t>44D61</t>
        </is>
      </c>
      <c r="C137" t="inlineStr">
        <is>
          <t>SILVERTRONIC, INC</t>
        </is>
      </c>
    </row>
    <row customHeight="1" ht="15.75" r="138">
      <c r="B138" s="44" t="inlineStr">
        <is>
          <t>0HM39</t>
        </is>
      </c>
      <c r="C138" s="3" t="inlineStr">
        <is>
          <t>ARC Technologies, Inc.</t>
        </is>
      </c>
      <c r="D138" s="7" t="inlineStr">
        <is>
          <t>bmoore@arc-tech.com</t>
        </is>
      </c>
    </row>
    <row customHeight="1" ht="15.75" r="139">
      <c r="B139" s="44" t="n">
        <v>64023</v>
      </c>
      <c r="C139" s="143" t="inlineStr">
        <is>
          <t>TENSOLITE COMPANY DBA CARLISLE</t>
        </is>
      </c>
      <c r="D139" s="144" t="inlineStr">
        <is>
          <t>erica.gordillo@carlisleit.com</t>
        </is>
      </c>
    </row>
    <row customHeight="1" ht="18" r="140">
      <c r="B140" s="44" t="inlineStr">
        <is>
          <t>3EGT0</t>
        </is>
      </c>
      <c r="C140" t="inlineStr">
        <is>
          <t>CONSILIUM MARINE US INC</t>
        </is>
      </c>
      <c r="D140" s="145" t="inlineStr">
        <is>
          <t>spares@consiliummarineus.com</t>
        </is>
      </c>
    </row>
    <row customHeight="1" ht="15.75" r="141">
      <c r="B141" s="44" t="inlineStr">
        <is>
          <t>N2559</t>
        </is>
      </c>
      <c r="C141" s="20" t="inlineStr">
        <is>
          <t>KONGSBERG MARITIME AS</t>
        </is>
      </c>
    </row>
    <row customHeight="1" ht="15.75" r="142">
      <c r="B142" s="44" t="n"/>
      <c r="C142" t="inlineStr">
        <is>
          <t>HYDRAFLOW 24984</t>
        </is>
      </c>
    </row>
    <row customHeight="1" ht="15.75" r="143">
      <c r="B143" s="44" t="inlineStr">
        <is>
          <t>74924</t>
        </is>
      </c>
      <c r="C143" s="3" t="inlineStr">
        <is>
          <t>Indeeco LLC DBA Indeeco 74924</t>
        </is>
      </c>
      <c r="D143" s="7" t="inlineStr">
        <is>
          <t>DGeren@indeeco.com</t>
        </is>
      </c>
    </row>
    <row customHeight="1" ht="15.75" r="144">
      <c r="B144" s="44" t="n">
        <v>70508</v>
      </c>
      <c r="C144" t="inlineStr">
        <is>
          <t>AMERICAN METAL BEARING COMPANY</t>
        </is>
      </c>
    </row>
    <row customHeight="1" ht="15.75" r="145">
      <c r="B145" s="44" t="inlineStr">
        <is>
          <t>0BUN9</t>
        </is>
      </c>
      <c r="C145" t="inlineStr">
        <is>
          <t>M. E. INDUSTRIES, INC. 0BUN9</t>
        </is>
      </c>
    </row>
    <row customHeight="1" ht="15.75" r="146">
      <c r="B146" s="44" t="inlineStr">
        <is>
          <t>1Y3P4</t>
        </is>
      </c>
      <c r="C146" t="inlineStr">
        <is>
          <t>GDT INC. DBA GREYSTONE DATA</t>
        </is>
      </c>
    </row>
    <row customHeight="1" ht="15.75" r="147">
      <c r="B147" s="44" t="n">
        <v>87009</v>
      </c>
      <c r="C147" s="3" t="inlineStr">
        <is>
          <t>MAGNETROL INTERNATIONAL,</t>
        </is>
      </c>
      <c r="D147" s="7" t="inlineStr">
        <is>
          <t>darlapotter@fluidflow.com</t>
        </is>
      </c>
    </row>
    <row customHeight="1" ht="19.5" r="148">
      <c r="B148" s="44" t="n">
        <v>44256</v>
      </c>
      <c r="C148" s="3" t="inlineStr">
        <is>
          <t>WM W NUGENT CO INC</t>
        </is>
      </c>
      <c r="D148" s="134" t="inlineStr">
        <is>
          <t>e.lensegrav@wwnugent.com
e.lensegrav@wwnugent.com</t>
        </is>
      </c>
    </row>
    <row customHeight="1" ht="17.25" r="149">
      <c r="B149" s="44" t="n">
        <v>62727</v>
      </c>
      <c r="C149" t="inlineStr">
        <is>
          <t>Midstate</t>
        </is>
      </c>
      <c r="D149" s="94" t="inlineStr">
        <is>
          <t>quote@midstate-sales.com</t>
        </is>
      </c>
    </row>
    <row customHeight="1" ht="15.75" r="150">
      <c r="B150" s="44" t="inlineStr">
        <is>
          <t>493C5</t>
        </is>
      </c>
      <c r="C150" t="inlineStr">
        <is>
          <t>AMERITROL INC</t>
        </is>
      </c>
      <c r="D150" s="146" t="inlineStr">
        <is>
          <t>sales@ameritrol.com</t>
        </is>
      </c>
    </row>
    <row customHeight="1" ht="15.75" r="151">
      <c r="B151" s="44" t="n">
        <v>66647</v>
      </c>
      <c r="C151" s="3" t="inlineStr">
        <is>
          <t>SIERRA MONITOR CORPORATION</t>
        </is>
      </c>
      <c r="D151" s="7" t="inlineStr">
        <is>
          <t>lcalderon@sierramonitor.com</t>
        </is>
      </c>
    </row>
    <row customHeight="1" ht="15.75" r="152">
      <c r="B152" s="44" t="n">
        <v>12066</v>
      </c>
      <c r="C152" t="inlineStr">
        <is>
          <t>OHIO SEMITRONICS, INC</t>
        </is>
      </c>
    </row>
    <row customHeight="1" ht="15.75" r="153">
      <c r="B153" s="44" t="n">
        <v>76588</v>
      </c>
      <c r="C153" t="inlineStr">
        <is>
          <t>CORE INDUSTRIES INC.</t>
        </is>
      </c>
    </row>
    <row customHeight="1" ht="15.75" r="154">
      <c r="B154" s="44" t="inlineStr">
        <is>
          <t>6Z3C0</t>
        </is>
      </c>
      <c r="C154" s="3" t="inlineStr">
        <is>
          <t>STOLBERGER INCORPORATED</t>
        </is>
      </c>
      <c r="D154" s="94" t="inlineStr">
        <is>
          <t>tquadros@wardwell.com</t>
        </is>
      </c>
      <c r="E154" s="7" t="inlineStr">
        <is>
          <t>sales@wardwell.com</t>
        </is>
      </c>
    </row>
    <row customHeight="1" ht="15.75" r="155">
      <c r="B155" s="44" t="inlineStr">
        <is>
          <t>0BUN9</t>
        </is>
      </c>
      <c r="C155" t="inlineStr">
        <is>
          <t>M. E. INDUSTRIES, INC.</t>
        </is>
      </c>
    </row>
    <row customHeight="1" ht="15.75" r="156">
      <c r="B156" s="44" t="inlineStr">
        <is>
          <t>003G7</t>
        </is>
      </c>
      <c r="C156" t="inlineStr">
        <is>
          <t>BORGWARNER AIR/FLUID SYSTEMS 003G7</t>
        </is>
      </c>
    </row>
    <row customHeight="1" ht="15.75" r="157">
      <c r="B157" s="44" t="inlineStr">
        <is>
          <t>59662</t>
        </is>
      </c>
      <c r="C157" s="3" t="inlineStr">
        <is>
          <t>xentronic</t>
        </is>
      </c>
      <c r="D157" s="7" t="inlineStr">
        <is>
          <t>davem@xenotronix.com</t>
        </is>
      </c>
    </row>
    <row customHeight="1" ht="15.75" r="158">
      <c r="B158" s="44" t="inlineStr">
        <is>
          <t>0C579</t>
        </is>
      </c>
      <c r="C158" s="3" t="inlineStr">
        <is>
          <t>World Magnetics</t>
        </is>
      </c>
      <c r="D158" s="7" t="inlineStr">
        <is>
          <t>sgalla@worldmagnetics.com</t>
        </is>
      </c>
    </row>
    <row customHeight="1" ht="15.75" r="159">
      <c r="B159" s="44" t="inlineStr">
        <is>
          <t>017T6</t>
        </is>
      </c>
      <c r="C159" s="3" t="inlineStr">
        <is>
          <t>ELASTOMERIC SPECIALTIES, INC. DBA</t>
        </is>
      </c>
      <c r="D159" s="7" t="inlineStr">
        <is>
          <t>cheryl@elastomeric.com</t>
        </is>
      </c>
    </row>
    <row customHeight="1" ht="15.75" r="160">
      <c r="B160" s="44" t="n">
        <v>98376</v>
      </c>
      <c r="C160" t="inlineStr">
        <is>
          <t>Star Cases, LLC DBA ZERO</t>
        </is>
      </c>
    </row>
    <row customHeight="1" ht="15.75" r="161">
      <c r="B161" s="44" t="n">
        <v>95368</v>
      </c>
      <c r="C161" t="inlineStr">
        <is>
          <t>AERCO INTERNATIONAL, INC.</t>
        </is>
      </c>
      <c r="D161" s="7" t="inlineStr">
        <is>
          <t>ajs@edifax.com</t>
        </is>
      </c>
    </row>
    <row customHeight="1" ht="15.75" r="162">
      <c r="B162" s="44" t="n">
        <v>91663</v>
      </c>
      <c r="C162" t="inlineStr">
        <is>
          <t>ARMEL ELECTRONICS INC 91663</t>
        </is>
      </c>
    </row>
    <row customHeight="1" ht="15.75" r="163">
      <c r="B163" s="44" t="n">
        <v>81815</v>
      </c>
      <c r="C163" t="inlineStr">
        <is>
          <t>COMMUNICATION COIL, INC. DBA P</t>
        </is>
      </c>
    </row>
    <row customHeight="1" ht="15.75" r="164">
      <c r="B164" s="44" t="inlineStr">
        <is>
          <t>0M4E9</t>
        </is>
      </c>
      <c r="C164" t="inlineStr">
        <is>
          <t>Controlled Systems Sales Company</t>
        </is>
      </c>
    </row>
    <row customHeight="1" ht="15.75" r="165">
      <c r="B165" s="44" t="n">
        <v>33152</v>
      </c>
      <c r="C165" t="inlineStr">
        <is>
          <t>LBC AQUISITIONS LLC DBA LEE BRASS</t>
        </is>
      </c>
    </row>
    <row customHeight="1" ht="15.75" r="166">
      <c r="B166" s="44" t="n">
        <v>57771</v>
      </c>
      <c r="C166" t="inlineStr">
        <is>
          <t>EDWIN B. STIMPSON COMPANY, INC.</t>
        </is>
      </c>
    </row>
    <row customHeight="1" ht="15.75" r="167">
      <c r="B167" s="44" t="inlineStr">
        <is>
          <t>4UL52</t>
        </is>
      </c>
      <c r="C167" t="inlineStr">
        <is>
          <t>WAHLCO INC DBA</t>
        </is>
      </c>
    </row>
    <row customHeight="1" ht="15.75" r="168">
      <c r="B168" s="44" t="inlineStr">
        <is>
          <t>3GET4</t>
        </is>
      </c>
      <c r="C168" t="inlineStr">
        <is>
          <t>ANDREA SYSTEMS LLC</t>
        </is>
      </c>
    </row>
    <row customHeight="1" ht="15.75" r="169">
      <c r="B169" s="44" t="inlineStr">
        <is>
          <t>0E4X9</t>
        </is>
      </c>
      <c r="C169" t="inlineStr">
        <is>
          <t>W. W. HART CORPORATION DBA ARNEL</t>
        </is>
      </c>
    </row>
    <row customHeight="1" ht="15.75" r="170">
      <c r="B170" s="44" t="inlineStr">
        <is>
          <t>02MG1</t>
        </is>
      </c>
      <c r="C170" t="inlineStr">
        <is>
          <t>SYNCHRONIZED TECHNOLOGIES, INC.</t>
        </is>
      </c>
    </row>
    <row customHeight="1" ht="15.75" r="171">
      <c r="B171" s="44" t="n">
        <v>61796</v>
      </c>
      <c r="C171" t="inlineStr">
        <is>
          <t>CEMEN TECH, INC.</t>
        </is>
      </c>
    </row>
    <row customHeight="1" ht="15.75" r="172">
      <c r="B172" s="44" t="n">
        <v>1843</v>
      </c>
      <c r="C172" s="3" t="inlineStr">
        <is>
          <t>AMBAC INTERNATIONAL CORPORATION</t>
        </is>
      </c>
    </row>
    <row customHeight="1" ht="15.75" r="173">
      <c r="B173" s="44" t="inlineStr">
        <is>
          <t>4U931</t>
        </is>
      </c>
      <c r="C173" t="inlineStr">
        <is>
          <t>Vibration Mountings Controls,</t>
        </is>
      </c>
    </row>
    <row customHeight="1" ht="15.75" r="174">
      <c r="B174" s="44" t="n">
        <v>90031</v>
      </c>
      <c r="C174" t="inlineStr">
        <is>
          <t>Raymond Corporation, The</t>
        </is>
      </c>
    </row>
    <row customHeight="1" ht="15.75" r="175">
      <c r="B175" s="44" t="inlineStr">
        <is>
          <t>0WV59</t>
        </is>
      </c>
      <c r="C175" t="inlineStr">
        <is>
          <t>DRUM-MATES, INC</t>
        </is>
      </c>
    </row>
    <row customHeight="1" ht="15.75" r="176">
      <c r="B176" s="44" t="n">
        <v>66618</v>
      </c>
      <c r="C176" t="inlineStr">
        <is>
          <t>Avon Engineered Fabrications, Inc.</t>
        </is>
      </c>
    </row>
    <row customHeight="1" ht="15.75" r="177">
      <c r="B177" s="44" t="inlineStr">
        <is>
          <t>1B9P8</t>
        </is>
      </c>
      <c r="C177" t="inlineStr">
        <is>
          <t>Freedom Power Systems Inc. / Cage</t>
        </is>
      </c>
    </row>
    <row customHeight="1" ht="15.75" r="178">
      <c r="B178" s="44" t="inlineStr">
        <is>
          <t>0NY44</t>
        </is>
      </c>
      <c r="C178" t="inlineStr">
        <is>
          <t>TECNICO CORPORATION DBA TECNICO</t>
        </is>
      </c>
    </row>
    <row customHeight="1" ht="15.75" r="179">
      <c r="B179" s="44" t="n">
        <v>11243</v>
      </c>
      <c r="C179" t="inlineStr">
        <is>
          <t>Cosmodyne, LLC</t>
        </is>
      </c>
    </row>
    <row customHeight="1" ht="18" r="180">
      <c r="B180" s="44" t="n">
        <v>76096</v>
      </c>
      <c r="C180" s="3" t="inlineStr">
        <is>
          <t>Elma Electronics</t>
        </is>
      </c>
      <c r="D180" s="147" t="inlineStr">
        <is>
          <t>david.caserza@elma.com</t>
        </is>
      </c>
      <c r="E180" s="94" t="inlineStr">
        <is>
          <t>marilyn.rodney@elma.com</t>
        </is>
      </c>
    </row>
    <row customHeight="1" ht="15.75" r="181">
      <c r="B181" s="44" t="n">
        <v>95368</v>
      </c>
      <c r="C181" t="inlineStr">
        <is>
          <t>AERCO INTL</t>
        </is>
      </c>
      <c r="D181" s="7" t="inlineStr">
        <is>
          <t>mcroce@wattswater.com</t>
        </is>
      </c>
    </row>
    <row customHeight="1" ht="15.75" r="182">
      <c r="B182" s="44" t="inlineStr">
        <is>
          <t>01673</t>
        </is>
      </c>
      <c r="C182" t="inlineStr">
        <is>
          <t>SPS Technologies, LLC DBA Airdrome 0</t>
        </is>
      </c>
    </row>
    <row customHeight="1" ht="15.75" r="183">
      <c r="B183" s="44" t="inlineStr">
        <is>
          <t>0S4A5</t>
        </is>
      </c>
      <c r="C183" t="inlineStr">
        <is>
          <t>Jeamar Winches Corporation</t>
        </is>
      </c>
    </row>
    <row customHeight="1" ht="15.75" r="184">
      <c r="B184" s="44" t="inlineStr">
        <is>
          <t>56NS8</t>
        </is>
      </c>
      <c r="C184" t="inlineStr">
        <is>
          <t>VIDPRO CORP</t>
        </is>
      </c>
    </row>
    <row customHeight="1" ht="15.75" r="185">
      <c r="B185" s="44" t="n">
        <v>62727</v>
      </c>
      <c r="C185" t="inlineStr">
        <is>
          <t>MID-STATE SALES, INC. DBA</t>
        </is>
      </c>
    </row>
    <row customHeight="1" ht="15.75" r="186">
      <c r="B186" s="44" t="inlineStr">
        <is>
          <t>7WD8</t>
        </is>
      </c>
      <c r="C186" t="inlineStr">
        <is>
          <t>EVAC NORTH AMERICA INC. 4</t>
        </is>
      </c>
    </row>
    <row customHeight="1" ht="15.75" r="187">
      <c r="B187" s="44" t="n">
        <v>61141</v>
      </c>
      <c r="C187" t="inlineStr">
        <is>
          <t>ACTERNA LLC DBA JDSU</t>
        </is>
      </c>
    </row>
    <row customHeight="1" ht="15.75" r="188">
      <c r="B188" s="44" t="n">
        <v>64413</v>
      </c>
      <c r="C188" t="inlineStr">
        <is>
          <t>Thomas Products, Ltd.</t>
        </is>
      </c>
    </row>
    <row customHeight="1" ht="15.75" r="189">
      <c r="B189" s="44" t="n">
        <v>12021</v>
      </c>
      <c r="C189" t="inlineStr">
        <is>
          <t>Mettler-toledo, LLC DBA</t>
        </is>
      </c>
    </row>
    <row customHeight="1" ht="15.75" r="190">
      <c r="B190" s="44" t="n">
        <v>17798</v>
      </c>
      <c r="C190" t="inlineStr">
        <is>
          <t>LEBUS INTERNATIONAL, INC. DBA LEBUS</t>
        </is>
      </c>
    </row>
    <row customHeight="1" ht="15.75" r="191">
      <c r="B191" s="44" t="inlineStr">
        <is>
          <t>08407</t>
        </is>
      </c>
      <c r="C191" t="inlineStr">
        <is>
          <t>MIRADA RESEARCH MANUFACTURING, 08407</t>
        </is>
      </c>
    </row>
    <row customHeight="1" ht="15.75" r="192">
      <c r="B192" s="44" t="n">
        <v>70508</v>
      </c>
      <c r="C192" s="3" t="inlineStr">
        <is>
          <t>American Metal Bearing Company</t>
        </is>
      </c>
      <c r="D192" s="7" t="inlineStr">
        <is>
          <t>ginal@ambco.net</t>
        </is>
      </c>
    </row>
    <row customHeight="1" ht="13.5" r="193">
      <c r="B193" s="44" t="inlineStr">
        <is>
          <t>1VL38</t>
        </is>
      </c>
      <c r="C193" s="155" t="inlineStr">
        <is>
          <t>TOTAL TEMPERATURE INSTRUMENTATION</t>
        </is>
      </c>
      <c r="D193" s="7" t="inlineStr">
        <is>
          <t>sales@instrumart.com,</t>
        </is>
      </c>
      <c r="E193" s="94" t="inlineStr">
        <is>
          <t>jcgrzywna@instrumart.com</t>
        </is>
      </c>
    </row>
    <row customHeight="1" ht="15.75" r="194">
      <c r="B194" s="44" t="inlineStr">
        <is>
          <t>4S615</t>
        </is>
      </c>
      <c r="C194" s="20" t="inlineStr">
        <is>
          <t>ACE WIRE SPRING FORM CO, INC</t>
        </is>
      </c>
    </row>
    <row customHeight="1" ht="17.45" r="195">
      <c r="B195" s="44" t="n">
        <v>64411</v>
      </c>
      <c r="C195" s="3" t="inlineStr">
        <is>
          <t>TECH-ETCH, INC.</t>
        </is>
      </c>
      <c r="D195" s="94" t="inlineStr">
        <is>
          <t>jrogers@tech-etch.com</t>
        </is>
      </c>
    </row>
    <row customHeight="1" ht="17.25" r="196">
      <c r="B196" s="44" t="inlineStr">
        <is>
          <t>06UZ8</t>
        </is>
      </c>
      <c r="C196" s="3" t="inlineStr">
        <is>
          <t>Pauli Systems, Inc.</t>
        </is>
      </c>
      <c r="D196" s="94" t="inlineStr">
        <is>
          <t>maria.garibay@paulisystems.com</t>
        </is>
      </c>
      <c r="E196" s="146" t="inlineStr">
        <is>
          <t>customerservice@paulisystems.com</t>
        </is>
      </c>
    </row>
    <row customHeight="1" ht="15.75" r="197">
      <c r="B197" s="44" t="inlineStr">
        <is>
          <t>4S615</t>
        </is>
      </c>
      <c r="C197" t="inlineStr">
        <is>
          <t>GATES CORP</t>
        </is>
      </c>
    </row>
    <row customHeight="1" ht="19.5" r="198">
      <c r="B198" s="44" t="n">
        <v>57715</v>
      </c>
      <c r="C198" s="157" t="inlineStr">
        <is>
          <t>KMPARTS.COM INC</t>
        </is>
      </c>
      <c r="D198" s="148" t="inlineStr">
        <is>
          <t>twolff@kmparts.com</t>
        </is>
      </c>
    </row>
    <row customHeight="1" ht="15.75" r="199">
      <c r="B199" s="44" t="n">
        <v>30169</v>
      </c>
      <c r="C199" t="inlineStr">
        <is>
          <t>FREDERICK COWAN COMPANY, INC.</t>
        </is>
      </c>
    </row>
    <row customHeight="1" ht="15.75" r="200">
      <c r="B200" s="44" t="n">
        <v>73680</v>
      </c>
      <c r="C200" t="inlineStr">
        <is>
          <t>Garlock Sealing Technologies Llc</t>
        </is>
      </c>
    </row>
    <row customHeight="1" ht="15.75" r="201">
      <c r="B201" s="44" t="inlineStr">
        <is>
          <t>1KWT0</t>
        </is>
      </c>
      <c r="C201" s="3" t="inlineStr">
        <is>
          <t>Sauer Compressors Usa, Inc.</t>
        </is>
      </c>
    </row>
    <row customHeight="1" ht="15.75" r="202">
      <c r="B202" s="44" t="n">
        <v>66618</v>
      </c>
      <c r="C202" t="inlineStr">
        <is>
          <t>AVON ENGINEERED FABRICATIONS, INC.</t>
        </is>
      </c>
      <c r="D202" s="7" t="inlineStr">
        <is>
          <t>sales@avon-aef.com</t>
        </is>
      </c>
      <c r="E202" s="7" t="inlineStr">
        <is>
          <t>dewan.watts@avon-rubber.com</t>
        </is>
      </c>
    </row>
    <row customHeight="1" ht="15.75" r="203">
      <c r="B203" s="44" t="n"/>
    </row>
    <row customHeight="1" ht="15.75" r="204">
      <c r="B204" s="44" t="inlineStr">
        <is>
          <t>KPUF03</t>
        </is>
      </c>
      <c r="C204" t="inlineStr">
        <is>
          <t>KNEE-PRO INDUSTRIES, INC 1V8S5 P/N</t>
        </is>
      </c>
    </row>
    <row customHeight="1" ht="15.75" r="205">
      <c r="B205" s="44" t="inlineStr">
        <is>
          <t>61796</t>
        </is>
      </c>
      <c r="C205" t="inlineStr">
        <is>
          <t>CEMEN TECH, INC.</t>
        </is>
      </c>
    </row>
    <row customHeight="1" ht="15.75" r="206">
      <c r="B206" s="44" t="inlineStr">
        <is>
          <t>15755</t>
        </is>
      </c>
      <c r="C206" t="inlineStr">
        <is>
          <t>SURE POWER, INC. DBA Martek Power</t>
        </is>
      </c>
    </row>
    <row customHeight="1" ht="15.75" r="207">
      <c r="B207" s="44" t="inlineStr">
        <is>
          <t>N4842</t>
        </is>
      </c>
      <c r="C207" t="inlineStr">
        <is>
          <t>KVH INDUSTRIES NORWAY AS</t>
        </is>
      </c>
    </row>
    <row customHeight="1" ht="15.75" r="208">
      <c r="B208" s="44" t="inlineStr">
        <is>
          <t>04845</t>
        </is>
      </c>
      <c r="C208" t="inlineStr">
        <is>
          <t>AUTOMATIC SWITCH COMPANY</t>
        </is>
      </c>
    </row>
    <row customHeight="1" ht="15.75" r="209">
      <c r="B209" s="44" t="n">
        <v>11707</v>
      </c>
      <c r="C209" t="inlineStr">
        <is>
          <t>IDEAL PRECISION METER CO</t>
        </is>
      </c>
    </row>
    <row customHeight="1" ht="15.75" r="210">
      <c r="B210" s="44" t="inlineStr">
        <is>
          <t>09332</t>
        </is>
      </c>
      <c r="C210" t="inlineStr">
        <is>
          <t>AEROFAST, INC.</t>
        </is>
      </c>
    </row>
    <row customHeight="1" ht="15.75" r="211">
      <c r="B211" s="44" t="inlineStr">
        <is>
          <t>03RT1</t>
        </is>
      </c>
      <c r="C211" t="inlineStr">
        <is>
          <t>Ultravolt, Inc.</t>
        </is>
      </c>
    </row>
    <row customHeight="1" ht="18.75" r="212">
      <c r="B212" s="44" t="inlineStr">
        <is>
          <t>0W482</t>
        </is>
      </c>
      <c r="C212" t="inlineStr">
        <is>
          <t>Universal switching</t>
        </is>
      </c>
      <c r="D212" s="94" t="inlineStr">
        <is>
          <t>jwoolridge@uswi.com</t>
        </is>
      </c>
    </row>
    <row customHeight="1" ht="15.75" r="213">
      <c r="B213" s="44" t="inlineStr">
        <is>
          <t>1XP56</t>
        </is>
      </c>
      <c r="C213" t="inlineStr">
        <is>
          <t>AI-TEK INSTRUMENTS, LLC 1XP56</t>
        </is>
      </c>
    </row>
    <row customHeight="1" ht="18" r="214">
      <c r="B214" s="44" t="inlineStr">
        <is>
          <t>3F033</t>
        </is>
      </c>
      <c r="C214" s="3" t="inlineStr">
        <is>
          <t>VPI ACQUISITION COMPANY LLC DBA</t>
        </is>
      </c>
      <c r="D214" s="94" t="inlineStr">
        <is>
          <t>snagy@vaporpower.com</t>
        </is>
      </c>
    </row>
    <row customHeight="1" ht="15.75" r="215">
      <c r="B215" s="44" t="n">
        <v>29019</v>
      </c>
      <c r="C215" t="inlineStr">
        <is>
          <t>TECHNOLOGY DYNAMICS, INC. DBA Nova</t>
        </is>
      </c>
    </row>
    <row customHeight="1" ht="15.75" r="216">
      <c r="B216" s="44" t="n">
        <v>12066</v>
      </c>
      <c r="C216" t="inlineStr">
        <is>
          <t>OHIO SEMITRONICS, INC</t>
        </is>
      </c>
    </row>
    <row customHeight="1" ht="15.75" r="217">
      <c r="B217" s="44" t="inlineStr">
        <is>
          <t>L5658</t>
        </is>
      </c>
      <c r="C217" s="3" t="inlineStr">
        <is>
          <t>MDS POWER INC</t>
        </is>
      </c>
    </row>
    <row customHeight="1" ht="15.75" r="218">
      <c r="B218" s="44" t="n">
        <v>76588</v>
      </c>
      <c r="C218" t="inlineStr">
        <is>
          <t>CORE INDUSTRIES INC.</t>
        </is>
      </c>
    </row>
    <row customHeight="1" ht="15.75" r="219">
      <c r="B219" s="44" t="inlineStr">
        <is>
          <t>5MPW3</t>
        </is>
      </c>
      <c r="C219" t="inlineStr">
        <is>
          <t>Rohe International Incorporated</t>
        </is>
      </c>
    </row>
    <row customHeight="1" ht="15.75" r="220">
      <c r="B220" s="44" t="inlineStr">
        <is>
          <t>0JPG9</t>
        </is>
      </c>
      <c r="C220" t="inlineStr">
        <is>
          <t>PREMIER COPPER DIVISION OF W O</t>
        </is>
      </c>
    </row>
    <row customHeight="1" ht="15.75" r="221">
      <c r="B221" s="44" t="inlineStr">
        <is>
          <t>58860</t>
        </is>
      </c>
      <c r="C221" t="inlineStr">
        <is>
          <t>Universal Air Filter Company</t>
        </is>
      </c>
    </row>
    <row customHeight="1" ht="15.75" r="222">
      <c r="B222" s="44" t="inlineStr">
        <is>
          <t>1VJW8</t>
        </is>
      </c>
      <c r="C222" t="inlineStr">
        <is>
          <t>BARCODE DISCOUNT</t>
        </is>
      </c>
    </row>
    <row customHeight="1" ht="15.75" r="223">
      <c r="B223" s="44" t="n">
        <v>48104</v>
      </c>
      <c r="C223" t="inlineStr">
        <is>
          <t>Universal Metal Spinning Company,</t>
        </is>
      </c>
    </row>
    <row r="224">
      <c r="B224" t="inlineStr">
        <is>
          <t>1HZU4</t>
        </is>
      </c>
      <c r="C224" t="inlineStr">
        <is>
          <t>MOBILE CYLINDERS INC</t>
        </is>
      </c>
    </row>
    <row r="225">
      <c r="B225" t="n">
        <v>41592</v>
      </c>
      <c r="C225" t="inlineStr">
        <is>
          <t>MORRISON BROTHERS COMPANY</t>
        </is>
      </c>
    </row>
    <row customHeight="1" ht="15.75" r="226">
      <c r="B226" t="n">
        <v>10988</v>
      </c>
      <c r="C226" s="13" t="inlineStr">
        <is>
          <t>CNH Industrial America LLC</t>
        </is>
      </c>
    </row>
    <row r="227">
      <c r="B227" t="inlineStr">
        <is>
          <t>1GKY2</t>
        </is>
      </c>
      <c r="C227" t="inlineStr">
        <is>
          <t>Advanced Micro Instruments, Inc.</t>
        </is>
      </c>
    </row>
    <row r="228">
      <c r="B228" t="n">
        <v>25714</v>
      </c>
      <c r="C228" t="inlineStr">
        <is>
          <t>VERMILLION INCORPORATED</t>
        </is>
      </c>
    </row>
    <row r="229">
      <c r="B229" t="inlineStr">
        <is>
          <t>019L2</t>
        </is>
      </c>
      <c r="C229" t="inlineStr">
        <is>
          <t>FITZ AEROSPACE, LLC DBA ESNA</t>
        </is>
      </c>
    </row>
    <row r="230">
      <c r="B230" t="n">
        <v>33476</v>
      </c>
      <c r="C230" t="inlineStr">
        <is>
          <t>Telegenix Inc DBA Telegenix</t>
        </is>
      </c>
    </row>
    <row r="231">
      <c r="B231" s="10" t="inlineStr">
        <is>
          <t>04879</t>
        </is>
      </c>
      <c r="C231" t="inlineStr">
        <is>
          <t>ARNOLD MAGNETICS CORPORATION 04879</t>
        </is>
      </c>
    </row>
    <row r="232">
      <c r="B232" s="10" t="inlineStr">
        <is>
          <t>01518</t>
        </is>
      </c>
      <c r="C232" t="inlineStr">
        <is>
          <t>ALNOR INSTRUMENT COMPANY DBA</t>
        </is>
      </c>
    </row>
    <row r="233">
      <c r="B233" s="10" t="inlineStr">
        <is>
          <t>05236</t>
        </is>
      </c>
      <c r="C233" t="inlineStr">
        <is>
          <t>Jonathan Engineered Solutions</t>
        </is>
      </c>
    </row>
    <row r="234">
      <c r="B234" t="n">
        <v>82402</v>
      </c>
      <c r="C234" t="inlineStr">
        <is>
          <t>TRIUMPH GEAR SYSTEMS, INC. DBA</t>
        </is>
      </c>
    </row>
    <row r="235">
      <c r="B235" t="inlineStr">
        <is>
          <t>3EGT0</t>
        </is>
      </c>
      <c r="C235" t="inlineStr">
        <is>
          <t>CONSILIUM MARINE US INC</t>
        </is>
      </c>
    </row>
    <row r="236">
      <c r="B236" t="inlineStr">
        <is>
          <t>7Z769</t>
        </is>
      </c>
      <c r="C236" t="inlineStr">
        <is>
          <t>GOULD BASS COMPANY, INC.</t>
        </is>
      </c>
    </row>
    <row r="237">
      <c r="B237" t="n">
        <v>52406</v>
      </c>
      <c r="C237" t="inlineStr">
        <is>
          <t>RUGGLES-KLINGEMANN MFG CO DBA THE</t>
        </is>
      </c>
    </row>
    <row r="238">
      <c r="B238" t="inlineStr">
        <is>
          <t>1YBJ4</t>
        </is>
      </c>
      <c r="C238" t="inlineStr">
        <is>
          <t>MOYER ASSOCIATES INC</t>
        </is>
      </c>
    </row>
    <row r="239">
      <c r="B239" t="inlineStr">
        <is>
          <t>1F242</t>
        </is>
      </c>
      <c r="C239" t="inlineStr">
        <is>
          <t>A. E. Petsche Company, Inc.</t>
        </is>
      </c>
    </row>
    <row r="240">
      <c r="B240" s="20" t="inlineStr">
        <is>
          <t>1A699</t>
        </is>
      </c>
      <c r="C240" s="20" t="inlineStr">
        <is>
          <t>LEE SPRING COMPANY LLC</t>
        </is>
      </c>
    </row>
    <row r="241">
      <c r="B241" s="20" t="inlineStr">
        <is>
          <t>1B3L6</t>
        </is>
      </c>
      <c r="C241" s="20" t="inlineStr">
        <is>
          <t>Roxtec Inc. DBA</t>
        </is>
      </c>
    </row>
    <row r="242">
      <c r="B242" t="inlineStr">
        <is>
          <t>318U8</t>
        </is>
      </c>
      <c r="C242" t="inlineStr">
        <is>
          <t>NORTHROP GRUMMAN SPACE MISSION</t>
        </is>
      </c>
    </row>
    <row r="243">
      <c r="B243" t="inlineStr">
        <is>
          <t>6LYM4</t>
        </is>
      </c>
      <c r="C243" t="inlineStr">
        <is>
          <t>STERLING EDGE, INC.</t>
        </is>
      </c>
    </row>
    <row r="244">
      <c r="B244" t="inlineStr">
        <is>
          <t>0NM25</t>
        </is>
      </c>
      <c r="C244" t="inlineStr">
        <is>
          <t>Clean-Seal Inc</t>
        </is>
      </c>
    </row>
    <row r="245">
      <c r="B245" t="inlineStr">
        <is>
          <t>0AYB6</t>
        </is>
      </c>
      <c r="C245" t="inlineStr">
        <is>
          <t>Weems Industries, Inc. DBA Legacy</t>
        </is>
      </c>
    </row>
    <row r="246">
      <c r="B246" t="n">
        <v>59529</v>
      </c>
      <c r="C246" t="inlineStr">
        <is>
          <t>SWITCHING POWER INC.</t>
        </is>
      </c>
    </row>
    <row r="247">
      <c r="B247" t="n">
        <v>66774</v>
      </c>
      <c r="C247" t="inlineStr">
        <is>
          <t>PRECISION AIRCRAFT MACHINING</t>
        </is>
      </c>
    </row>
    <row r="248">
      <c r="B248" t="n">
        <v>58860</v>
      </c>
      <c r="C248" s="3" t="inlineStr">
        <is>
          <t>Universal Air Filter Company</t>
        </is>
      </c>
      <c r="D248" s="7" t="inlineStr">
        <is>
          <t>jgrainger@filtrationgroup.com</t>
        </is>
      </c>
    </row>
    <row r="249">
      <c r="B249" t="n">
        <v>61141</v>
      </c>
      <c r="C249" t="inlineStr">
        <is>
          <t>ACTERNA LLC DBA JDSU</t>
        </is>
      </c>
    </row>
    <row r="250">
      <c r="B250" t="inlineStr">
        <is>
          <t>7Z769</t>
        </is>
      </c>
      <c r="C250" t="inlineStr">
        <is>
          <t>GOULD BASS COMPANY, INC.</t>
        </is>
      </c>
    </row>
    <row r="251">
      <c r="B251" t="inlineStr">
        <is>
          <t>0TST7</t>
        </is>
      </c>
      <c r="C251" t="inlineStr">
        <is>
          <t>W. F. HARRIS LIGHTING, INC.</t>
        </is>
      </c>
    </row>
    <row r="252">
      <c r="B252" t="inlineStr">
        <is>
          <t>4TGX1</t>
        </is>
      </c>
      <c r="C252" t="inlineStr">
        <is>
          <t>VALKYRIE ENTERPRISES, LLC</t>
        </is>
      </c>
    </row>
    <row r="253">
      <c r="B253" t="n">
        <v>38664</v>
      </c>
      <c r="C253" t="inlineStr">
        <is>
          <t>Martindale Electric Company (Inc)</t>
        </is>
      </c>
      <c r="D253" t="n">
        <v>4455</v>
      </c>
    </row>
    <row r="254">
      <c r="B254" t="inlineStr">
        <is>
          <t>4BVB1</t>
        </is>
      </c>
      <c r="C254" t="inlineStr">
        <is>
          <t>G.A.L. GAGE, CO.</t>
        </is>
      </c>
    </row>
    <row r="255">
      <c r="B255" t="n">
        <v>38881</v>
      </c>
      <c r="C255" t="inlineStr">
        <is>
          <t>MONTREAL BRONZE LTD</t>
        </is>
      </c>
    </row>
    <row r="256">
      <c r="B256" t="n">
        <v>59529</v>
      </c>
      <c r="C256" t="inlineStr">
        <is>
          <t>SWITCHING POWER INC.</t>
        </is>
      </c>
    </row>
    <row r="257">
      <c r="B257" t="n">
        <v>1518</v>
      </c>
      <c r="C257" t="inlineStr">
        <is>
          <t>ALNOR INSTRUMENT COMPANY DBA</t>
        </is>
      </c>
    </row>
    <row r="258">
      <c r="C258" s="3" t="inlineStr">
        <is>
          <t>Jewel Instrument</t>
        </is>
      </c>
      <c r="D258" s="149" t="inlineStr">
        <is>
          <t>jgoday@jewellinstruments.com</t>
        </is>
      </c>
    </row>
    <row customHeight="1" ht="15.75" r="259">
      <c r="B259" s="44" t="inlineStr">
        <is>
          <t>1VL38</t>
        </is>
      </c>
      <c r="C259" t="inlineStr">
        <is>
          <t>GREENE RUBBER COMPANY, INC. DBA</t>
        </is>
      </c>
    </row>
    <row customHeight="1" ht="16.5" r="260" thickBot="1">
      <c r="B260" s="44" t="inlineStr">
        <is>
          <t>4S615</t>
        </is>
      </c>
      <c r="C260" t="inlineStr">
        <is>
          <t>H K METALCRAFT MANUFACTURING</t>
        </is>
      </c>
    </row>
    <row customHeight="1" ht="16.5" r="261" thickBot="1">
      <c r="B261" s="159" t="inlineStr">
        <is>
          <t>0YKH9</t>
        </is>
      </c>
      <c r="C261" s="150" t="inlineStr">
        <is>
          <t>RUBBER HOSE &amp; GASKET COMPANY, INC</t>
        </is>
      </c>
    </row>
    <row customHeight="1" ht="15.75" r="262">
      <c r="B262" s="44" t="n">
        <v>64411</v>
      </c>
      <c r="C262" t="inlineStr">
        <is>
          <t>Haydon Kerk Motion Solutions, Inc.</t>
        </is>
      </c>
    </row>
    <row r="263">
      <c r="B263" t="n">
        <v>87009</v>
      </c>
      <c r="C263" t="inlineStr">
        <is>
          <t>Magnetrol International,</t>
        </is>
      </c>
    </row>
    <row r="264">
      <c r="B264" t="inlineStr">
        <is>
          <t>4HYG2</t>
        </is>
      </c>
      <c r="C264" t="inlineStr">
        <is>
          <t>Engineered Packaging Dynamics LLC</t>
        </is>
      </c>
    </row>
    <row r="265">
      <c r="B265" t="n">
        <v>66144</v>
      </c>
      <c r="C265" t="inlineStr">
        <is>
          <t>Spokane Industries, Inc. DBA</t>
        </is>
      </c>
    </row>
    <row r="266">
      <c r="B266" t="inlineStr">
        <is>
          <t>1DKC6</t>
        </is>
      </c>
      <c r="C266" t="inlineStr">
        <is>
          <t>MULTI TECHNOLOGY SALES INC DBA</t>
        </is>
      </c>
    </row>
    <row r="267">
      <c r="B267" t="n">
        <v>98991</v>
      </c>
      <c r="C267" t="inlineStr">
        <is>
          <t>WORCESTER CONTROLS CORP P O BOX</t>
        </is>
      </c>
    </row>
    <row r="268">
      <c r="B268" t="inlineStr">
        <is>
          <t>1TBR6</t>
        </is>
      </c>
      <c r="C268" s="3" t="inlineStr">
        <is>
          <t>Chemring Sensors And Electronic</t>
        </is>
      </c>
    </row>
    <row r="269">
      <c r="B269" t="inlineStr">
        <is>
          <t>BLUSA</t>
        </is>
      </c>
      <c r="C269" t="inlineStr">
        <is>
          <t>Bright Lights USA, Inc. DBA</t>
        </is>
      </c>
    </row>
    <row r="270">
      <c r="B270" t="inlineStr">
        <is>
          <t>3UZE1</t>
        </is>
      </c>
      <c r="C270" t="inlineStr">
        <is>
          <t>NOTT COMPANY DBA</t>
        </is>
      </c>
    </row>
    <row r="271">
      <c r="B271" t="n">
        <v>63266</v>
      </c>
      <c r="C271" t="inlineStr">
        <is>
          <t>PARA-GEAR EQUIPMENT CO</t>
        </is>
      </c>
    </row>
    <row r="272">
      <c r="B272" t="n">
        <v>6090</v>
      </c>
      <c r="C272" t="inlineStr">
        <is>
          <t>TE CONNECTIVITY CORPORATION DBA</t>
        </is>
      </c>
    </row>
    <row r="273">
      <c r="B273" t="inlineStr">
        <is>
          <t>7CPA1</t>
        </is>
      </c>
      <c r="C273" t="inlineStr">
        <is>
          <t>SKT2, LLC DBA Kagwerks</t>
        </is>
      </c>
    </row>
    <row customHeight="1" ht="15.75" r="274">
      <c r="B274" t="inlineStr">
        <is>
          <t>6Z833</t>
        </is>
      </c>
      <c r="C274" t="inlineStr">
        <is>
          <t>Cortron</t>
        </is>
      </c>
      <c r="D274" s="94" t="inlineStr">
        <is>
          <t>lfriedrichs@cortroninc.com</t>
        </is>
      </c>
    </row>
    <row r="275">
      <c r="B275" t="n">
        <v>86928</v>
      </c>
      <c r="C275" t="inlineStr">
        <is>
          <t>SEASTROM MANUFACTURING CO., INC. 86928</t>
        </is>
      </c>
    </row>
    <row r="276">
      <c r="B276" t="n">
        <v>52213</v>
      </c>
      <c r="C276" t="inlineStr">
        <is>
          <t>GOODWAY TECHNOLOGIES CORPORATION</t>
        </is>
      </c>
    </row>
    <row r="277">
      <c r="B277" t="inlineStr">
        <is>
          <t>3DJE8</t>
        </is>
      </c>
      <c r="C277" t="inlineStr">
        <is>
          <t>Suncoast Microwave, Inc. DBA</t>
        </is>
      </c>
    </row>
    <row customHeight="1" ht="30" r="278">
      <c r="B278" t="n">
        <v>86044</v>
      </c>
      <c r="C278" t="inlineStr">
        <is>
          <t>CALIFORNIA GASKET AND RUBBER</t>
        </is>
      </c>
      <c r="D278" s="94" t="inlineStr">
        <is>
          <t>acastro@calgasket.com</t>
        </is>
      </c>
    </row>
    <row r="279">
      <c r="B279" t="inlineStr">
        <is>
          <t>01NQ7 P</t>
        </is>
      </c>
      <c r="C279" t="inlineStr">
        <is>
          <t>Shimadzu Scientific Instruments,</t>
        </is>
      </c>
    </row>
    <row r="280">
      <c r="B280" t="n">
        <v>71670</v>
      </c>
      <c r="C280" t="inlineStr">
        <is>
          <t>W D Manufacturing, Inc. DBA</t>
        </is>
      </c>
    </row>
    <row r="281">
      <c r="B281" t="n">
        <v>15939</v>
      </c>
      <c r="C281" t="inlineStr">
        <is>
          <t>Stratotech LLC</t>
        </is>
      </c>
    </row>
    <row r="282">
      <c r="B282" t="n">
        <v>78359</v>
      </c>
      <c r="C282" t="inlineStr">
        <is>
          <t>SNAPVENT CO</t>
        </is>
      </c>
    </row>
    <row r="283">
      <c r="B283" t="inlineStr">
        <is>
          <t>0BUN9</t>
        </is>
      </c>
      <c r="C283" t="inlineStr">
        <is>
          <t>M. E. INDUSTRIES, INC.</t>
        </is>
      </c>
    </row>
    <row r="284">
      <c r="B284" t="inlineStr">
        <is>
          <t>0VL49</t>
        </is>
      </c>
      <c r="C284" s="3" t="inlineStr">
        <is>
          <t>La Mar Lighting Co., Inc.</t>
        </is>
      </c>
    </row>
    <row r="285">
      <c r="B285" t="inlineStr">
        <is>
          <t>0JPG9</t>
        </is>
      </c>
      <c r="C285" t="inlineStr">
        <is>
          <t>PREMIER COPPER DIVISION OF W  O</t>
        </is>
      </c>
    </row>
    <row r="286">
      <c r="B286" t="n">
        <v>25281</v>
      </c>
      <c r="C286" t="inlineStr">
        <is>
          <t>Oetiker, Inc</t>
        </is>
      </c>
    </row>
    <row r="287">
      <c r="B287" t="inlineStr">
        <is>
          <t>1Q9N3</t>
        </is>
      </c>
      <c r="C287" t="inlineStr">
        <is>
          <t>INDUSTRIAL COMPONENTS TECH DBA I R</t>
        </is>
      </c>
    </row>
    <row r="288">
      <c r="B288" t="inlineStr">
        <is>
          <t>0HB17</t>
        </is>
      </c>
      <c r="C288" t="inlineStr">
        <is>
          <t>Precision Control Incorporated</t>
        </is>
      </c>
    </row>
    <row r="289">
      <c r="B289" t="n">
        <v>95094</v>
      </c>
      <c r="C289" t="inlineStr">
        <is>
          <t>LARK-RELIANCE CORPORATION DBA</t>
        </is>
      </c>
    </row>
    <row r="290">
      <c r="B290" t="inlineStr">
        <is>
          <t>0ECV7</t>
        </is>
      </c>
      <c r="C290" t="inlineStr">
        <is>
          <t>Exair Corporation</t>
        </is>
      </c>
    </row>
    <row r="291">
      <c r="B291" t="n">
        <v>60955</v>
      </c>
      <c r="C291" t="inlineStr">
        <is>
          <t>MARWAY POWER SYSTEMS, INC. DBA</t>
        </is>
      </c>
      <c r="D291" s="233" t="n"/>
    </row>
    <row r="292">
      <c r="B292" t="inlineStr">
        <is>
          <t>0GZA0</t>
        </is>
      </c>
      <c r="C292" t="inlineStr">
        <is>
          <t>TEMPLETON KENLY &amp; CO. INC DBA TK</t>
        </is>
      </c>
      <c r="D292" s="233" t="n"/>
    </row>
    <row r="293">
      <c r="B293" t="inlineStr">
        <is>
          <t>1PKV5</t>
        </is>
      </c>
      <c r="C293" t="inlineStr">
        <is>
          <t>VIDEO DISPLAY CORPORATION DBA VDC</t>
        </is>
      </c>
      <c r="D293" s="233" t="n"/>
    </row>
    <row r="294">
      <c r="B294" t="inlineStr">
        <is>
          <t>6S1M4</t>
        </is>
      </c>
      <c r="C294" t="inlineStr">
        <is>
          <t>CAVOTEC INET US INC. DBA</t>
        </is>
      </c>
      <c r="D294" s="233" t="n"/>
    </row>
    <row r="295">
      <c r="B295" t="n">
        <v>82689</v>
      </c>
      <c r="C295" t="inlineStr">
        <is>
          <t>Triangle Rubber Co. Inc.</t>
        </is>
      </c>
      <c r="D295" s="233" t="n"/>
    </row>
    <row r="296">
      <c r="D296" s="233" t="n"/>
    </row>
    <row r="297">
      <c r="B297" t="n">
        <v>91643</v>
      </c>
      <c r="C297" t="inlineStr">
        <is>
          <t>Service Brass And Aluminum Foundry</t>
        </is>
      </c>
      <c r="D297" s="233" t="n"/>
    </row>
    <row r="298">
      <c r="B298" t="inlineStr">
        <is>
          <t>0LWF1</t>
        </is>
      </c>
      <c r="C298" t="inlineStr">
        <is>
          <t>NETWORK TECHNOLOGIES, INC.</t>
        </is>
      </c>
    </row>
    <row r="300">
      <c r="B300" t="n">
        <v>71670</v>
      </c>
      <c r="C300" t="inlineStr">
        <is>
          <t>K W D Manufacturing, Inc. DBA</t>
        </is>
      </c>
    </row>
    <row r="301">
      <c r="B301" t="inlineStr">
        <is>
          <t>0SPX0</t>
        </is>
      </c>
      <c r="C301" t="inlineStr">
        <is>
          <t>Admartec, Inc.</t>
        </is>
      </c>
    </row>
    <row r="302">
      <c r="B302" t="inlineStr">
        <is>
          <t>0MJF9</t>
        </is>
      </c>
      <c r="C302" t="inlineStr">
        <is>
          <t>Mercury Systems - Trusted Mission</t>
        </is>
      </c>
      <c r="D302" s="233" t="n">
        <v>2448.1</v>
      </c>
    </row>
    <row r="303">
      <c r="B303" t="inlineStr">
        <is>
          <t>321H5</t>
        </is>
      </c>
      <c r="C303" t="inlineStr">
        <is>
          <t>PARKWAY PRODUCTS, INC.</t>
        </is>
      </c>
      <c r="D303" s="233" t="n">
        <v>5360</v>
      </c>
    </row>
    <row r="304">
      <c r="B304" t="n">
        <v>54119</v>
      </c>
      <c r="C304" t="inlineStr">
        <is>
          <t>CLEVELAND SERVICE CENTER</t>
        </is>
      </c>
      <c r="D304" s="233" t="n">
        <v>9876.16</v>
      </c>
    </row>
    <row r="305">
      <c r="B305" t="inlineStr">
        <is>
          <t>1HT24</t>
        </is>
      </c>
      <c r="C305" t="inlineStr">
        <is>
          <t>ADVANCED PNEUMATICS COMPANY, INC.</t>
        </is>
      </c>
      <c r="D305" s="233" t="n">
        <v>3527.2</v>
      </c>
    </row>
    <row r="306">
      <c r="B306" t="inlineStr">
        <is>
          <t>0SPX0</t>
        </is>
      </c>
      <c r="C306" t="inlineStr">
        <is>
          <t>Admartec, Inc.</t>
        </is>
      </c>
      <c r="D306" s="233" t="n">
        <v>2226</v>
      </c>
    </row>
    <row r="307">
      <c r="B307" t="n">
        <v>80756</v>
      </c>
      <c r="C307" t="inlineStr">
        <is>
          <t>SPIROLOX, INC.</t>
        </is>
      </c>
      <c r="D307" s="233" t="n">
        <v>14615.37</v>
      </c>
    </row>
    <row r="308">
      <c r="B308" t="inlineStr">
        <is>
          <t>1Z292</t>
        </is>
      </c>
      <c r="C308" t="inlineStr">
        <is>
          <t>ELECTROMET CORPORATION</t>
        </is>
      </c>
      <c r="D308" s="233">
        <f>SUM(D302:D307)</f>
        <v/>
      </c>
    </row>
    <row r="309">
      <c r="B309" t="inlineStr">
        <is>
          <t>1RC07</t>
        </is>
      </c>
      <c r="C309" t="inlineStr">
        <is>
          <t>Brg Precision Products, Inc.</t>
        </is>
      </c>
    </row>
    <row r="310">
      <c r="B310" t="n">
        <v>63282</v>
      </c>
      <c r="C310" t="inlineStr">
        <is>
          <t>G-O-Metric Incorporated</t>
        </is>
      </c>
    </row>
    <row r="311">
      <c r="B311" t="n">
        <v>26136</v>
      </c>
      <c r="C311" t="inlineStr">
        <is>
          <t>KEARFLEX ENGINEERING COMPANY</t>
        </is>
      </c>
    </row>
    <row r="312">
      <c r="B312" t="inlineStr">
        <is>
          <t>6T654</t>
        </is>
      </c>
      <c r="C312" t="inlineStr">
        <is>
          <t>OHN W HOCK COMPANY DBA HOCK, JOHN 6T654</t>
        </is>
      </c>
    </row>
    <row r="313">
      <c r="B313" t="inlineStr">
        <is>
          <t>4TGX1</t>
        </is>
      </c>
      <c r="C313" t="inlineStr">
        <is>
          <t>VALKYRIE ENTERPRISES, LLC</t>
        </is>
      </c>
    </row>
    <row r="315">
      <c r="B315" s="165" t="inlineStr">
        <is>
          <t>0PZF7</t>
        </is>
      </c>
      <c r="C315" t="inlineStr">
        <is>
          <t>POLYMER TECHNOLOGIES, INC.</t>
        </is>
      </c>
    </row>
    <row r="316">
      <c r="B316" s="3" t="n">
        <v>91663</v>
      </c>
      <c r="C316" s="3" t="inlineStr">
        <is>
          <t>Armel</t>
        </is>
      </c>
    </row>
    <row r="317">
      <c r="C317" t="inlineStr">
        <is>
          <t>Hi Rel Connectors, Inc. DBA Hirel 34222</t>
        </is>
      </c>
    </row>
    <row r="318">
      <c r="C318" t="inlineStr">
        <is>
          <t>Sig Sauer Inc. 1EF82</t>
        </is>
      </c>
    </row>
    <row r="319">
      <c r="C319" t="inlineStr">
        <is>
          <t>TE CONNECTIVITY CORPORATION DBA TE 00779</t>
        </is>
      </c>
    </row>
    <row customHeight="1" ht="30" r="320">
      <c r="B320" t="inlineStr">
        <is>
          <t>. 50541</t>
        </is>
      </c>
      <c r="C320" s="3" t="inlineStr">
        <is>
          <t>SMITHS INTERCONNECT AMERICAS, INC</t>
        </is>
      </c>
      <c r="D320" s="94" t="inlineStr">
        <is>
          <t>kim.rice@smithsinterconnect.com</t>
        </is>
      </c>
    </row>
    <row r="321">
      <c r="B321" t="inlineStr">
        <is>
          <t>06WH3</t>
        </is>
      </c>
      <c r="C321" t="inlineStr">
        <is>
          <t>B/E Aerospace, Inc. DBA</t>
        </is>
      </c>
    </row>
    <row r="322">
      <c r="B322" t="inlineStr">
        <is>
          <t>09BX8</t>
        </is>
      </c>
      <c r="C322" t="inlineStr">
        <is>
          <t>Livorsi Marine, Inc.</t>
        </is>
      </c>
    </row>
    <row r="323">
      <c r="B323" t="n">
        <v>63208</v>
      </c>
      <c r="C323" t="inlineStr">
        <is>
          <t>RAY R G CORP DBA</t>
        </is>
      </c>
    </row>
    <row r="324">
      <c r="B324" t="inlineStr">
        <is>
          <t>3V8T0</t>
        </is>
      </c>
      <c r="C324" t="inlineStr">
        <is>
          <t>Slate River Corporation, The</t>
        </is>
      </c>
    </row>
    <row r="325">
      <c r="B325" t="n">
        <v>12190</v>
      </c>
      <c r="C325" t="inlineStr">
        <is>
          <t>ENERTECH TECHNICAL SERVICES</t>
        </is>
      </c>
    </row>
    <row r="326">
      <c r="B326" t="inlineStr">
        <is>
          <t>R3741</t>
        </is>
      </c>
      <c r="C326" t="inlineStr">
        <is>
          <t>INVISIO COMMUNICATIONS AS R3741</t>
        </is>
      </c>
    </row>
    <row r="327">
      <c r="B327" t="n">
        <v>15645</v>
      </c>
      <c r="C327" t="inlineStr">
        <is>
          <t>COOPER CAMERON CORP COOPER CAMERON</t>
        </is>
      </c>
    </row>
    <row r="328">
      <c r="B328" t="n">
        <v>71985</v>
      </c>
      <c r="C328" t="inlineStr">
        <is>
          <t>DOW-ELCO INC DBA</t>
        </is>
      </c>
    </row>
    <row r="329">
      <c r="B329" t="inlineStr">
        <is>
          <t>2X312</t>
        </is>
      </c>
      <c r="C329" t="inlineStr">
        <is>
          <t>NUTEK AEROSPACE CORP</t>
        </is>
      </c>
    </row>
    <row r="330">
      <c r="B330" t="inlineStr">
        <is>
          <t>0PYY3</t>
        </is>
      </c>
      <c r="C330" t="inlineStr">
        <is>
          <t>J. W. Marine Equipment, Inc.</t>
        </is>
      </c>
    </row>
    <row r="331">
      <c r="B331" t="inlineStr">
        <is>
          <t>1HT24</t>
        </is>
      </c>
      <c r="C331" t="inlineStr">
        <is>
          <t>ADVANCED PNEUMATICS COMPANY, INC.</t>
        </is>
      </c>
    </row>
    <row r="332">
      <c r="B332" s="10" t="inlineStr">
        <is>
          <t>09055</t>
        </is>
      </c>
      <c r="C332" t="inlineStr">
        <is>
          <t>BAL SEAL ENGINEERING, INC.</t>
        </is>
      </c>
    </row>
    <row r="333">
      <c r="B333" s="10" t="inlineStr">
        <is>
          <t>02009</t>
        </is>
      </c>
      <c r="C333" t="inlineStr">
        <is>
          <t>RDF CORPORATION</t>
        </is>
      </c>
    </row>
    <row r="334">
      <c r="B334" t="n">
        <v>26136</v>
      </c>
      <c r="C334" t="inlineStr">
        <is>
          <t>KEARFLEX ENGINEERING COMPANY</t>
        </is>
      </c>
    </row>
    <row r="335">
      <c r="B335" t="n">
        <v>54584</v>
      </c>
      <c r="C335" t="inlineStr">
        <is>
          <t>Red Valve Company, Inc. DBA R K L</t>
        </is>
      </c>
    </row>
    <row r="336">
      <c r="B336" t="inlineStr">
        <is>
          <t>1VQY7</t>
        </is>
      </c>
      <c r="C336" t="inlineStr">
        <is>
          <t>S.P.E.P. ACQUISITION CORP. DBA</t>
        </is>
      </c>
    </row>
    <row r="337">
      <c r="B337" t="inlineStr">
        <is>
          <t>4PUW1</t>
        </is>
      </c>
      <c r="C337" t="inlineStr">
        <is>
          <t>VECTOR CONTROLS, INC.</t>
        </is>
      </c>
    </row>
    <row r="338">
      <c r="B338" t="n">
        <v>28818</v>
      </c>
      <c r="C338" t="inlineStr">
        <is>
          <t>SOUNDCOAT COMPANY, INC, THE</t>
        </is>
      </c>
    </row>
  </sheetData>
  <hyperlinks>
    <hyperlink display="arojas@aerofit.com" ref="D1" r:id="rId95"/>
    <hyperlink ref="D3" r:id="rId96"/>
    <hyperlink ref="D4" r:id="rId97"/>
    <hyperlink ref="D5" r:id="rId98"/>
    <hyperlink ref="D6" r:id="rId99"/>
    <hyperlink ref="D7" r:id="rId100"/>
    <hyperlink ref="E7" r:id="rId101"/>
    <hyperlink ref="D9" r:id="rId102"/>
    <hyperlink ref="D10" r:id="rId103"/>
    <hyperlink ref="D11" r:id="rId104"/>
    <hyperlink ref="D14" r:id="rId105"/>
    <hyperlink ref="D15" r:id="rId106"/>
    <hyperlink ref="D16" r:id="rId107"/>
    <hyperlink ref="D17" r:id="rId108"/>
    <hyperlink ref="D19" r:id="rId109"/>
    <hyperlink ref="D21" r:id="rId110"/>
    <hyperlink ref="D22" r:id="rId111"/>
    <hyperlink ref="D25" r:id="rId112"/>
    <hyperlink ref="D26" r:id="rId113"/>
    <hyperlink ref="D27" r:id="rId114"/>
    <hyperlink ref="D30" r:id="rId115"/>
    <hyperlink ref="D31" r:id="rId116"/>
    <hyperlink ref="D33" r:id="rId117"/>
    <hyperlink ref="D35" r:id="rId118"/>
    <hyperlink ref="D36" r:id="rId119"/>
    <hyperlink ref="D38" r:id="rId120"/>
    <hyperlink ref="D39" r:id="rId121"/>
    <hyperlink ref="D40" r:id="rId122"/>
    <hyperlink ref="D41" r:id="rId123"/>
    <hyperlink ref="D43" r:id="rId124"/>
    <hyperlink ref="D44" r:id="rId125"/>
    <hyperlink ref="D47" r:id="rId126"/>
    <hyperlink ref="D49" r:id="rId127"/>
    <hyperlink ref="E49" r:id="rId128"/>
    <hyperlink ref="D52" r:id="rId129"/>
    <hyperlink ref="D54" r:id="rId130"/>
    <hyperlink ref="D57" r:id="rId131"/>
    <hyperlink ref="D58" r:id="rId132"/>
    <hyperlink ref="D59" r:id="rId133"/>
    <hyperlink ref="D60" r:id="rId134"/>
    <hyperlink ref="E60" r:id="rId135"/>
    <hyperlink ref="D61" r:id="rId136"/>
    <hyperlink ref="D62" r:id="rId137"/>
    <hyperlink ref="D64" r:id="rId138"/>
    <hyperlink ref="D67" r:id="rId139"/>
    <hyperlink ref="D68" r:id="rId140"/>
    <hyperlink ref="D69" r:id="rId141"/>
    <hyperlink display="mailto:parts@KTSDI.com" ref="D70" r:id="rId142"/>
    <hyperlink ref="D73" r:id="rId143"/>
    <hyperlink ref="D78" r:id="rId144"/>
    <hyperlink ref="D80" r:id="rId145"/>
    <hyperlink ref="D84" r:id="rId146"/>
    <hyperlink ref="D85" r:id="rId147"/>
    <hyperlink ref="D86" r:id="rId148"/>
    <hyperlink ref="D87" r:id="rId149"/>
    <hyperlink ref="D88" r:id="rId150"/>
    <hyperlink ref="D89" r:id="rId151"/>
    <hyperlink ref="D90" r:id="rId152"/>
    <hyperlink ref="D91" r:id="rId153"/>
    <hyperlink ref="D92" r:id="rId154"/>
    <hyperlink ref="D94" r:id="rId155"/>
    <hyperlink ref="D95" r:id="rId156"/>
    <hyperlink ref="D96" r:id="rId157"/>
    <hyperlink ref="D97" r:id="rId158"/>
    <hyperlink ref="D98" r:id="rId159"/>
    <hyperlink ref="D102" r:id="rId160"/>
    <hyperlink ref="E103" r:id="rId161"/>
    <hyperlink ref="D109" r:id="rId162"/>
    <hyperlink ref="D110" r:id="rId163"/>
    <hyperlink display="sgalla@worldmagnetics.com" ref="C111" r:id="rId164"/>
    <hyperlink ref="D112" r:id="rId165"/>
    <hyperlink ref="D115" r:id="rId166"/>
    <hyperlink ref="D122" r:id="rId167"/>
    <hyperlink ref="D124" r:id="rId168"/>
    <hyperlink ref="D126" r:id="rId169"/>
    <hyperlink display="mailto:ht.navymail@xyleminc.com" ref="D128" r:id="rId170"/>
    <hyperlink ref="D131" r:id="rId171"/>
    <hyperlink ref="D135" r:id="rId172"/>
    <hyperlink ref="D138" r:id="rId173"/>
    <hyperlink display="mailto:DGeren@indeeco.com" ref="D143" r:id="rId174"/>
    <hyperlink ref="D147" r:id="rId175"/>
    <hyperlink ref="D151" r:id="rId176"/>
    <hyperlink ref="E154" r:id="rId177"/>
    <hyperlink ref="D157" r:id="rId178"/>
    <hyperlink ref="D158" r:id="rId179"/>
    <hyperlink ref="D159" r:id="rId180"/>
    <hyperlink ref="D161" r:id="rId181"/>
    <hyperlink ref="D181" r:id="rId182"/>
    <hyperlink ref="D192" r:id="rId183"/>
    <hyperlink ref="D193" r:id="rId184"/>
    <hyperlink ref="D198" r:id="rId185"/>
    <hyperlink ref="D202" r:id="rId186"/>
    <hyperlink ref="E202" r:id="rId187"/>
    <hyperlink ref="D248" r:id="rId188"/>
    <hyperlink display="arojas@aerofit.com" ref="D1" r:id="rId95"/>
    <hyperlink ref="D3" r:id="rId96"/>
    <hyperlink ref="D4" r:id="rId97"/>
    <hyperlink ref="D5" r:id="rId98"/>
    <hyperlink ref="D6" r:id="rId99"/>
    <hyperlink ref="D7" r:id="rId100"/>
    <hyperlink ref="E7" r:id="rId101"/>
    <hyperlink ref="D9" r:id="rId102"/>
    <hyperlink ref="D10" r:id="rId103"/>
    <hyperlink ref="D11" r:id="rId104"/>
    <hyperlink ref="D14" r:id="rId105"/>
    <hyperlink ref="D15" r:id="rId106"/>
    <hyperlink ref="D16" r:id="rId107"/>
    <hyperlink ref="D17" r:id="rId108"/>
    <hyperlink ref="D19" r:id="rId109"/>
    <hyperlink ref="D21" r:id="rId110"/>
    <hyperlink ref="D22" r:id="rId111"/>
    <hyperlink ref="D25" r:id="rId112"/>
    <hyperlink ref="D26" r:id="rId113"/>
    <hyperlink ref="D27" r:id="rId114"/>
    <hyperlink ref="D30" r:id="rId115"/>
    <hyperlink ref="D31" r:id="rId116"/>
    <hyperlink ref="D33" r:id="rId117"/>
    <hyperlink ref="D35" r:id="rId118"/>
    <hyperlink ref="D36" r:id="rId119"/>
    <hyperlink ref="D38" r:id="rId120"/>
    <hyperlink ref="D39" r:id="rId121"/>
    <hyperlink ref="D40" r:id="rId122"/>
    <hyperlink ref="D41" r:id="rId123"/>
    <hyperlink ref="D43" r:id="rId124"/>
    <hyperlink ref="D44" r:id="rId125"/>
    <hyperlink ref="D47" r:id="rId126"/>
    <hyperlink ref="D49" r:id="rId127"/>
    <hyperlink ref="E49" r:id="rId128"/>
    <hyperlink ref="D52" r:id="rId129"/>
    <hyperlink ref="D54" r:id="rId130"/>
    <hyperlink ref="D57" r:id="rId131"/>
    <hyperlink ref="D58" r:id="rId132"/>
    <hyperlink ref="D59" r:id="rId133"/>
    <hyperlink ref="D60" r:id="rId134"/>
    <hyperlink ref="E60" r:id="rId135"/>
    <hyperlink ref="D61" r:id="rId136"/>
    <hyperlink ref="D62" r:id="rId137"/>
    <hyperlink ref="D64" r:id="rId138"/>
    <hyperlink ref="D67" r:id="rId139"/>
    <hyperlink ref="D68" r:id="rId140"/>
    <hyperlink ref="D69" r:id="rId141"/>
    <hyperlink display="mailto:parts@KTSDI.com" ref="D70" r:id="rId142"/>
    <hyperlink ref="D73" r:id="rId143"/>
    <hyperlink ref="D78" r:id="rId144"/>
    <hyperlink ref="D80" r:id="rId145"/>
    <hyperlink ref="D84" r:id="rId146"/>
    <hyperlink ref="D85" r:id="rId147"/>
    <hyperlink ref="D86" r:id="rId148"/>
    <hyperlink ref="D87" r:id="rId149"/>
    <hyperlink ref="D88" r:id="rId150"/>
    <hyperlink ref="D89" r:id="rId151"/>
    <hyperlink ref="D90" r:id="rId152"/>
    <hyperlink ref="D91" r:id="rId153"/>
    <hyperlink ref="D92" r:id="rId154"/>
    <hyperlink ref="D94" r:id="rId155"/>
    <hyperlink ref="D95" r:id="rId156"/>
    <hyperlink ref="D96" r:id="rId157"/>
    <hyperlink ref="D97" r:id="rId158"/>
    <hyperlink ref="D98" r:id="rId159"/>
    <hyperlink ref="D102" r:id="rId160"/>
    <hyperlink ref="E103" r:id="rId161"/>
    <hyperlink ref="D109" r:id="rId162"/>
    <hyperlink ref="D110" r:id="rId163"/>
    <hyperlink display="sgalla@worldmagnetics.com" ref="C111" r:id="rId164"/>
    <hyperlink ref="D112" r:id="rId165"/>
    <hyperlink ref="D115" r:id="rId166"/>
    <hyperlink ref="D122" r:id="rId167"/>
    <hyperlink ref="D124" r:id="rId168"/>
    <hyperlink ref="D126" r:id="rId169"/>
    <hyperlink display="mailto:ht.navymail@xyleminc.com" ref="D128" r:id="rId170"/>
    <hyperlink ref="D131" r:id="rId171"/>
    <hyperlink ref="D135" r:id="rId172"/>
    <hyperlink ref="D138" r:id="rId173"/>
    <hyperlink display="mailto:DGeren@indeeco.com" ref="D143" r:id="rId174"/>
    <hyperlink ref="D147" r:id="rId175"/>
    <hyperlink ref="D151" r:id="rId176"/>
    <hyperlink ref="E154" r:id="rId177"/>
    <hyperlink ref="D157" r:id="rId178"/>
    <hyperlink ref="D158" r:id="rId179"/>
    <hyperlink ref="D159" r:id="rId180"/>
    <hyperlink ref="D161" r:id="rId181"/>
    <hyperlink ref="D181" r:id="rId182"/>
    <hyperlink ref="D192" r:id="rId183"/>
    <hyperlink ref="D193" r:id="rId184"/>
    <hyperlink ref="D198" r:id="rId185"/>
    <hyperlink ref="D202" r:id="rId186"/>
    <hyperlink ref="E202" r:id="rId187"/>
    <hyperlink ref="D248" r:id="rId188"/>
  </hyperlinks>
  <pageMargins bottom="0.75" footer="0.3" header="0.3" left="0.7" right="0.7" top="0.75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4:B7"/>
  <sheetViews>
    <sheetView workbookViewId="0">
      <selection activeCell="B8" sqref="B8"/>
    </sheetView>
  </sheetViews>
  <sheetFormatPr baseColWidth="8" defaultRowHeight="15" outlineLevelCol="0"/>
  <cols>
    <col customWidth="1" max="2" min="2" width="81.42578125"/>
  </cols>
  <sheetData>
    <row customHeight="1" ht="17.25" r="4">
      <c r="B4" s="167" t="inlineStr">
        <is>
          <t>U. S. Postal Service</t>
        </is>
      </c>
    </row>
    <row customHeight="1" ht="17.25" r="5">
      <c r="B5" s="168" t="inlineStr">
        <is>
          <t>Social Security Administration</t>
        </is>
      </c>
    </row>
    <row customHeight="1" ht="17.25" r="6">
      <c r="B6" s="168" t="inlineStr">
        <is>
          <t>Direct Operations Center</t>
        </is>
      </c>
    </row>
    <row customHeight="1" ht="17.25" r="7">
      <c r="B7" s="168" t="inlineStr">
        <is>
          <t>Wilkes-Barre, PA 18769-0001</t>
        </is>
      </c>
    </row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O56"/>
  <sheetViews>
    <sheetView workbookViewId="0">
      <selection activeCell="C13" sqref="C13"/>
    </sheetView>
  </sheetViews>
  <sheetFormatPr baseColWidth="8" defaultRowHeight="15" outlineLevelCol="0"/>
  <cols>
    <col bestFit="1" customWidth="1" max="1" min="1" width="13.7109375"/>
    <col customWidth="1" max="3" min="3" width="31.85546875"/>
    <col customWidth="1" max="4" min="4" width="23.28515625"/>
    <col customWidth="1" max="5" min="5" width="24.85546875"/>
    <col customWidth="1" max="6" min="6" width="11"/>
    <col customWidth="1" max="7" min="7" width="23.5703125"/>
    <col customWidth="1" max="8" min="8" width="18.5703125"/>
    <col bestFit="1" customWidth="1" max="9" min="9" width="11.5703125"/>
    <col bestFit="1" customWidth="1" max="10" min="10" width="11.7109375"/>
    <col customWidth="1" max="11" min="11" width="13"/>
    <col bestFit="1" customWidth="1" max="13" min="12" width="11.5703125"/>
    <col customWidth="1" max="14" min="14" width="13.7109375"/>
    <col bestFit="1" customWidth="1" max="15" min="15" width="11.5703125"/>
  </cols>
  <sheetData>
    <row customHeight="1" ht="15.75" r="3">
      <c r="C3" t="inlineStr">
        <is>
          <t>FLA Certificate</t>
        </is>
      </c>
      <c r="D3" s="120" t="inlineStr">
        <is>
          <t>5880170432707</t>
        </is>
      </c>
      <c r="E3" s="13" t="n"/>
      <c r="F3" s="13" t="n"/>
      <c r="G3" s="13" t="n"/>
    </row>
    <row r="4">
      <c r="C4" t="inlineStr">
        <is>
          <t>Bus Partner #</t>
        </is>
      </c>
      <c r="D4" t="n">
        <v>4929944</v>
      </c>
      <c r="E4" t="n">
        <v>4681</v>
      </c>
    </row>
    <row customHeight="1" ht="20.25" r="5">
      <c r="C5" t="inlineStr">
        <is>
          <t>Tax Id</t>
        </is>
      </c>
      <c r="D5" t="inlineStr">
        <is>
          <t>81-2329006</t>
        </is>
      </c>
      <c r="H5" s="166" t="inlineStr">
        <is>
          <t>P8STJD63</t>
        </is>
      </c>
    </row>
    <row r="6">
      <c r="C6" t="inlineStr">
        <is>
          <t>DUN</t>
        </is>
      </c>
      <c r="D6" s="10" t="inlineStr">
        <is>
          <t>080251391</t>
        </is>
      </c>
      <c r="E6" s="10" t="inlineStr">
        <is>
          <t>DIBBS user 2 with info@westsiminc.com</t>
        </is>
      </c>
      <c r="G6" s="20" t="inlineStr">
        <is>
          <t>DWG</t>
        </is>
      </c>
    </row>
    <row r="7">
      <c r="C7" t="inlineStr">
        <is>
          <t>IRS BSO ID</t>
        </is>
      </c>
      <c r="D7" s="10" t="inlineStr">
        <is>
          <t>DK9XJP9C</t>
        </is>
      </c>
      <c r="E7" s="10" t="inlineStr">
        <is>
          <t>Sukkur24</t>
        </is>
      </c>
    </row>
    <row r="8">
      <c r="D8" s="10" t="n"/>
      <c r="E8" s="10" t="n"/>
    </row>
    <row r="9">
      <c r="A9" t="inlineStr">
        <is>
          <t>DIBBS</t>
        </is>
      </c>
      <c r="B9" t="inlineStr">
        <is>
          <t>7MR6001</t>
        </is>
      </c>
      <c r="C9" t="inlineStr">
        <is>
          <t>Sign8259your%7328&amp;</t>
        </is>
      </c>
      <c r="D9" s="4" t="n">
        <v>43046</v>
      </c>
      <c r="E9" s="10" t="inlineStr">
        <is>
          <t>Nort%%1226!or74</t>
        </is>
      </c>
      <c r="F9" s="20" t="inlineStr">
        <is>
          <t>7MR6002</t>
        </is>
      </c>
      <c r="G9" s="20" t="inlineStr">
        <is>
          <t>Sukkur1988</t>
        </is>
      </c>
    </row>
    <row r="10">
      <c r="A10" s="3" t="inlineStr">
        <is>
          <t>Seaport</t>
        </is>
      </c>
      <c r="B10" s="3" t="n"/>
      <c r="C10" s="69" t="inlineStr">
        <is>
          <t>ali.kalwar@westsiminc.com</t>
        </is>
      </c>
      <c r="D10" s="3" t="inlineStr">
        <is>
          <t>Orlando1125time$east</t>
        </is>
      </c>
    </row>
    <row r="11">
      <c r="A11" t="inlineStr">
        <is>
          <t>VSM</t>
        </is>
      </c>
      <c r="C11" s="7" t="inlineStr">
        <is>
          <t>A7MR6002</t>
        </is>
      </c>
      <c r="D11" t="inlineStr">
        <is>
          <t>Formula821sams!152</t>
        </is>
      </c>
      <c r="E11" t="inlineStr">
        <is>
          <t>Annwest941hiab$188</t>
        </is>
      </c>
    </row>
    <row customHeight="1" ht="18.75" r="12">
      <c r="C12" t="inlineStr">
        <is>
          <t>Hiab</t>
        </is>
      </c>
      <c r="D12" s="100" t="inlineStr">
        <is>
          <t>sukk</t>
        </is>
      </c>
      <c r="E12" t="inlineStr">
        <is>
          <t>Ankr4041date$1226</t>
        </is>
      </c>
    </row>
    <row r="13">
      <c r="A13" t="inlineStr">
        <is>
          <t>WFF</t>
        </is>
      </c>
      <c r="B13" t="inlineStr">
        <is>
          <t>Westsim!</t>
        </is>
      </c>
      <c r="C13" t="inlineStr">
        <is>
          <t>Spring8271visa&amp;4</t>
        </is>
      </c>
      <c r="D13" s="101" t="inlineStr">
        <is>
          <t>866-618-5988</t>
        </is>
      </c>
      <c r="E13" s="7" t="inlineStr">
        <is>
          <t>disa.global.servicedesk.mbx.eb-ticket-requests@mail.mil</t>
        </is>
      </c>
    </row>
    <row r="14">
      <c r="A14" t="inlineStr">
        <is>
          <t>DFAS/Payment</t>
        </is>
      </c>
      <c r="C14" t="inlineStr">
        <is>
          <t>800-756-4571</t>
        </is>
      </c>
      <c r="D14" s="101" t="n"/>
      <c r="E14" s="7" t="inlineStr">
        <is>
          <t>Munter5042data%$</t>
        </is>
      </c>
    </row>
    <row r="15">
      <c r="A15" t="inlineStr">
        <is>
          <t>DUN</t>
        </is>
      </c>
      <c r="C15" s="7" t="inlineStr">
        <is>
          <t>ali.kalwar@westsiminc.com</t>
        </is>
      </c>
      <c r="D15" s="101" t="inlineStr">
        <is>
          <t>Sukkur%%1798</t>
        </is>
      </c>
      <c r="E15" t="inlineStr">
        <is>
          <t>Alicorp7072shaun$#</t>
        </is>
      </c>
    </row>
    <row r="16">
      <c r="A16" t="inlineStr">
        <is>
          <t>DHL</t>
        </is>
      </c>
      <c r="C16" t="n">
        <v>969646592</v>
      </c>
      <c r="D16" s="101" t="n">
        <v>8002255345</v>
      </c>
    </row>
    <row r="17">
      <c r="A17" t="inlineStr">
        <is>
          <t>UPS</t>
        </is>
      </c>
      <c r="C17" t="inlineStr">
        <is>
          <t>2Y642X</t>
        </is>
      </c>
    </row>
    <row r="19">
      <c r="A19" t="inlineStr">
        <is>
          <t>Capital</t>
        </is>
      </c>
      <c r="C19" t="inlineStr">
        <is>
          <t>WESTSIM</t>
        </is>
      </c>
      <c r="D19" t="inlineStr">
        <is>
          <t>Sukkur&amp;&amp;1798</t>
        </is>
      </c>
      <c r="E19" t="inlineStr">
        <is>
          <t>13,000 limit</t>
        </is>
      </c>
    </row>
    <row r="20">
      <c r="A20" t="inlineStr">
        <is>
          <t>Newark</t>
        </is>
      </c>
      <c r="C20" t="inlineStr">
        <is>
          <t>westsim</t>
        </is>
      </c>
      <c r="D20" t="inlineStr">
        <is>
          <t>Sukkur%%1798</t>
        </is>
      </c>
    </row>
    <row r="21">
      <c r="A21" t="inlineStr">
        <is>
          <t>Staple/aexp</t>
        </is>
      </c>
      <c r="C21" t="inlineStr">
        <is>
          <t>sindhi24</t>
        </is>
      </c>
      <c r="D21" t="inlineStr">
        <is>
          <t>Sukkur%%1798</t>
        </is>
      </c>
      <c r="G21" t="inlineStr">
        <is>
          <t>Etrade</t>
        </is>
      </c>
    </row>
    <row r="22">
      <c r="A22" s="5" t="inlineStr">
        <is>
          <t>Credit Cards</t>
        </is>
      </c>
      <c r="C22" t="inlineStr">
        <is>
          <t>Due date</t>
        </is>
      </c>
      <c r="G22" s="4" t="n">
        <v>43251</v>
      </c>
      <c r="H22" s="4" t="n">
        <v>43255</v>
      </c>
      <c r="I22" s="4" t="n">
        <v>43280</v>
      </c>
      <c r="J22" s="4" t="n">
        <v>43314</v>
      </c>
      <c r="K22" s="4" t="n">
        <v>43321</v>
      </c>
      <c r="L22" s="4" t="n">
        <v>43328</v>
      </c>
      <c r="M22" s="4" t="n">
        <v>43335</v>
      </c>
      <c r="N22" s="4" t="n">
        <v>43342</v>
      </c>
      <c r="O22" s="4" t="n">
        <v>43361</v>
      </c>
    </row>
    <row r="23">
      <c r="A23" t="inlineStr">
        <is>
          <t>AexpGold</t>
        </is>
      </c>
      <c r="C23" t="inlineStr">
        <is>
          <t>1st</t>
        </is>
      </c>
      <c r="G23" s="230" t="n">
        <v>81946.48</v>
      </c>
      <c r="H23" s="230" t="n">
        <v>81768.61</v>
      </c>
      <c r="I23" s="230" t="n">
        <v>78652</v>
      </c>
      <c r="J23" s="231" t="n">
        <v>83027</v>
      </c>
      <c r="K23" s="230" t="n">
        <v>85320</v>
      </c>
      <c r="L23" s="230" t="n">
        <v>85859</v>
      </c>
      <c r="M23" s="230" t="n">
        <v>77535</v>
      </c>
      <c r="N23" s="230" t="n">
        <v>79604</v>
      </c>
      <c r="O23" s="230" t="n">
        <v>72195</v>
      </c>
    </row>
    <row r="24">
      <c r="A24" t="inlineStr">
        <is>
          <t>AexpAli</t>
        </is>
      </c>
      <c r="I24" s="233">
        <f>G23-I23</f>
        <v/>
      </c>
      <c r="M24" s="233">
        <f>+L23-M23</f>
        <v/>
      </c>
      <c r="N24" s="233" t="n"/>
    </row>
    <row r="25">
      <c r="A25" t="inlineStr">
        <is>
          <t>AexpNas</t>
        </is>
      </c>
      <c r="G25" s="4" t="n">
        <v>43375</v>
      </c>
      <c r="H25" s="230" t="n">
        <v>76437</v>
      </c>
      <c r="I25" s="4" t="n">
        <v>43381</v>
      </c>
      <c r="J25" s="230" t="n">
        <v>71000</v>
      </c>
    </row>
    <row r="26">
      <c r="A26" t="inlineStr">
        <is>
          <t>CapitalWestsim</t>
        </is>
      </c>
      <c r="G26" s="4" t="n">
        <v>43397</v>
      </c>
      <c r="H26" s="230" t="n">
        <v>63831</v>
      </c>
    </row>
    <row r="27">
      <c r="A27" t="inlineStr">
        <is>
          <t>CapitalNasreen</t>
        </is>
      </c>
      <c r="G27" s="4" t="n">
        <v>43399</v>
      </c>
      <c r="H27" s="230" t="n">
        <v>64122</v>
      </c>
    </row>
    <row r="28">
      <c r="A28" t="inlineStr">
        <is>
          <t>Bankcard</t>
        </is>
      </c>
      <c r="G28" s="4" t="n">
        <v>43402</v>
      </c>
      <c r="H28" s="230" t="n">
        <v>64683</v>
      </c>
    </row>
    <row r="29">
      <c r="C29" t="inlineStr">
        <is>
          <t>added by contacting the VSM Support Staff at 1-800-456-5507, or E-Mail: delivery@dla.mil.</t>
        </is>
      </c>
      <c r="G29" t="inlineStr">
        <is>
          <t>10/302018</t>
        </is>
      </c>
      <c r="H29" s="230" t="n">
        <v>65419</v>
      </c>
    </row>
    <row r="30">
      <c r="C30" t="inlineStr">
        <is>
          <t>Nasreen1226</t>
        </is>
      </c>
      <c r="G30" s="4" t="n">
        <v>43405</v>
      </c>
      <c r="H30" s="230" t="n">
        <v>65552</v>
      </c>
    </row>
    <row r="31">
      <c r="A31" t="inlineStr">
        <is>
          <t>myspass</t>
        </is>
      </c>
      <c r="C31" t="inlineStr">
        <is>
          <t>Sukkur$7041</t>
        </is>
      </c>
      <c r="H31" s="230" t="n">
        <v>65862</v>
      </c>
    </row>
    <row r="32">
      <c r="G32" s="4" t="n">
        <v>43413</v>
      </c>
      <c r="H32" s="230" t="n">
        <v>66159</v>
      </c>
    </row>
    <row customHeight="1" ht="16.5" r="33">
      <c r="A33" t="inlineStr">
        <is>
          <t>SS Business Uid</t>
        </is>
      </c>
      <c r="C33" s="109" t="inlineStr">
        <is>
          <t>X59STM2X</t>
        </is>
      </c>
      <c r="G33" s="4" t="n">
        <v>43418</v>
      </c>
      <c r="H33" s="230" t="n">
        <v>66553</v>
      </c>
    </row>
    <row r="34">
      <c r="E34" t="inlineStr">
        <is>
          <t>Sukkur%%1798</t>
        </is>
      </c>
      <c r="G34" s="4" t="n">
        <v>43419</v>
      </c>
      <c r="H34" s="230" t="n">
        <v>67655</v>
      </c>
    </row>
    <row r="35">
      <c r="A35" t="inlineStr">
        <is>
          <t>FedeExp</t>
        </is>
      </c>
      <c r="C35" s="7" t="inlineStr">
        <is>
          <t>TeL:8004633339</t>
        </is>
      </c>
      <c r="D35" t="inlineStr">
        <is>
          <t>acct 812776762</t>
        </is>
      </c>
      <c r="G35" s="4" t="n">
        <v>43425</v>
      </c>
      <c r="H35" s="230" t="n">
        <v>62000</v>
      </c>
    </row>
    <row r="36">
      <c r="A36" t="inlineStr">
        <is>
          <t>SAMPASS</t>
        </is>
      </c>
      <c r="C36" t="inlineStr">
        <is>
          <t>Sindhi122goat7$</t>
        </is>
      </c>
      <c r="G36" s="4" t="n">
        <v>43432</v>
      </c>
      <c r="H36" s="230" t="n">
        <v>68942</v>
      </c>
    </row>
    <row r="37">
      <c r="A37" t="inlineStr">
        <is>
          <t>SAM PIN</t>
        </is>
      </c>
      <c r="C37" t="inlineStr">
        <is>
          <t>Sukkur165</t>
        </is>
      </c>
      <c r="G37" s="4" t="n">
        <v>43434</v>
      </c>
      <c r="H37" s="230" t="n">
        <v>68588</v>
      </c>
    </row>
    <row r="38">
      <c r="G38" s="4" t="n">
        <v>43441</v>
      </c>
      <c r="H38" s="230" t="n">
        <v>59720</v>
      </c>
    </row>
    <row r="39">
      <c r="A39" t="inlineStr">
        <is>
          <t>FIDBID</t>
        </is>
      </c>
      <c r="C39" s="7" t="inlineStr">
        <is>
          <t>ali.kalwar@westsiminc.com</t>
        </is>
      </c>
      <c r="D39" t="inlineStr">
        <is>
          <t>Sukkur%%1798</t>
        </is>
      </c>
      <c r="G39" s="4" t="n">
        <v>43460</v>
      </c>
      <c r="H39" s="230" t="n"/>
    </row>
    <row r="40">
      <c r="G40" s="4" t="n">
        <v>43462</v>
      </c>
      <c r="H40" s="230" t="n">
        <v>52458</v>
      </c>
    </row>
    <row r="41">
      <c r="A41" t="inlineStr">
        <is>
          <t>DHL</t>
        </is>
      </c>
      <c r="C41" t="inlineStr">
        <is>
          <t>800-225-5345</t>
        </is>
      </c>
      <c r="G41" s="4" t="n">
        <v>43473</v>
      </c>
      <c r="H41" s="230" t="n">
        <v>48371</v>
      </c>
    </row>
    <row r="42">
      <c r="A42" t="inlineStr">
        <is>
          <t>FEDEXP Log</t>
        </is>
      </c>
      <c r="C42" t="inlineStr">
        <is>
          <t>WestSim</t>
        </is>
      </c>
      <c r="D42" t="inlineStr">
        <is>
          <t>Sukkur%%1798</t>
        </is>
      </c>
      <c r="G42" s="4" t="n">
        <v>43496</v>
      </c>
      <c r="H42" s="230" t="n">
        <v>50684</v>
      </c>
    </row>
    <row r="43">
      <c r="G43" s="4" t="n">
        <v>43497</v>
      </c>
      <c r="H43" s="230" t="n">
        <v>54645</v>
      </c>
    </row>
    <row r="44">
      <c r="E44" s="121" t="inlineStr">
        <is>
          <t>FEDERAL SERVICE DESK</t>
        </is>
      </c>
      <c r="G44" s="4" t="n">
        <v>43509</v>
      </c>
      <c r="H44" s="230" t="n">
        <v>52575</v>
      </c>
    </row>
    <row customHeight="1" ht="19.5" r="45">
      <c r="A45" t="inlineStr">
        <is>
          <t>Nelnet</t>
        </is>
      </c>
      <c r="C45" t="inlineStr">
        <is>
          <t>Sukkur$$1798</t>
        </is>
      </c>
      <c r="E45" s="122" t="inlineStr">
        <is>
          <t>ATTN: SAM.GOV REGISTRATION PROCESSING</t>
        </is>
      </c>
    </row>
    <row r="46">
      <c r="C46" t="inlineStr">
        <is>
          <t>Sukkur12$#26</t>
        </is>
      </c>
      <c r="E46" s="122" t="inlineStr">
        <is>
          <t>460 INDUSTRIAL BLVD</t>
        </is>
      </c>
    </row>
    <row r="47">
      <c r="A47" t="inlineStr">
        <is>
          <t>Capitalone</t>
        </is>
      </c>
      <c r="B47" t="n">
        <v>8966</v>
      </c>
      <c r="E47" s="122" t="inlineStr">
        <is>
          <t>LONDON, KY 40741-7285</t>
        </is>
      </c>
    </row>
    <row r="48">
      <c r="A48" t="inlineStr">
        <is>
          <t>TransferWise</t>
        </is>
      </c>
      <c r="C48" t="inlineStr">
        <is>
          <t>Sukkur%%1798</t>
        </is>
      </c>
      <c r="E48" s="122" t="inlineStr">
        <is>
          <t>UNITED STATES OF AMERICA</t>
        </is>
      </c>
    </row>
    <row r="50">
      <c r="A50" t="inlineStr">
        <is>
          <t>GD</t>
        </is>
      </c>
      <c r="C50" t="inlineStr">
        <is>
          <t>Mehran$Rohri68!</t>
        </is>
      </c>
    </row>
    <row r="51">
      <c r="A51" t="inlineStr">
        <is>
          <t>SandiaLab</t>
        </is>
      </c>
      <c r="C51" s="7" t="inlineStr">
        <is>
          <t>ali.kalwar@westsiminc.com</t>
        </is>
      </c>
    </row>
    <row r="53">
      <c r="A53" t="inlineStr">
        <is>
          <t>GoDady</t>
        </is>
      </c>
      <c r="C53" t="inlineStr">
        <is>
          <t>Sukkur!88</t>
        </is>
      </c>
    </row>
    <row r="55">
      <c r="A55" t="inlineStr">
        <is>
          <t>citi sara</t>
        </is>
      </c>
      <c r="C55" t="inlineStr">
        <is>
          <t>sindhik</t>
        </is>
      </c>
      <c r="D55" t="inlineStr">
        <is>
          <t>Sukkur24</t>
        </is>
      </c>
    </row>
    <row r="56">
      <c r="A56" t="inlineStr">
        <is>
          <t>Nasreen FLBlue</t>
        </is>
      </c>
      <c r="C56" t="inlineStr">
        <is>
          <t>nasreenk</t>
        </is>
      </c>
      <c r="D56" t="inlineStr">
        <is>
          <t>Karachi88</t>
        </is>
      </c>
      <c r="E56" s="4" t="n">
        <v>43531</v>
      </c>
    </row>
  </sheetData>
  <hyperlinks>
    <hyperlink ref="C10" r:id="rId7"/>
    <hyperlink ref="E13" r:id="rId8"/>
    <hyperlink ref="C15" r:id="rId9"/>
    <hyperlink ref="C35" r:id="rId10"/>
    <hyperlink ref="C39" r:id="rId11"/>
    <hyperlink ref="C51" r:id="rId12"/>
    <hyperlink ref="C10" r:id="rId7"/>
    <hyperlink ref="E13" r:id="rId8"/>
    <hyperlink ref="C15" r:id="rId9"/>
    <hyperlink ref="C35" r:id="rId10"/>
    <hyperlink ref="C39" r:id="rId11"/>
    <hyperlink ref="C51" r:id="rId12"/>
  </hyperlinks>
  <pageMargins bottom="0.75" footer="0.3" header="0.3" left="0.7" right="0.7" top="0.7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975"/>
  <sheetViews>
    <sheetView topLeftCell="A899" workbookViewId="0" zoomScale="80" zoomScaleNormal="80">
      <selection activeCell="P909" sqref="P909"/>
    </sheetView>
  </sheetViews>
  <sheetFormatPr baseColWidth="8" defaultRowHeight="15" outlineLevelCol="0"/>
  <cols>
    <col customWidth="1" max="1" min="1" width="7.5703125"/>
    <col customWidth="1" max="2" min="2" width="18.140625"/>
    <col customWidth="1" hidden="1" max="3" min="3" width="4"/>
    <col customWidth="1" max="4" min="4" style="234" width="18.5703125"/>
    <col customWidth="1" max="5" min="5" width="5.7109375"/>
    <col customWidth="1" max="6" min="6" width="19.85546875"/>
    <col customWidth="1" max="7" min="7" width="11.85546875"/>
    <col customWidth="1" max="8" min="8" width="12.140625"/>
    <col customWidth="1" max="9" min="9" width="9.42578125"/>
    <col customWidth="1" max="10" min="10" width="5.7109375"/>
    <col bestFit="1" customWidth="1" max="11" min="11" width="14.7109375"/>
    <col customWidth="1" max="12" min="12" width="15.140625"/>
    <col customWidth="1" max="13" min="13" width="14.28515625"/>
    <col customWidth="1" hidden="1" max="14" min="14" width="16.140625"/>
    <col customWidth="1" max="15" min="15" width="15.28515625"/>
    <col customWidth="1" max="16" min="16" width="11.140625"/>
    <col customWidth="1" max="17" min="17" width="20.42578125"/>
    <col customWidth="1" max="18" min="18" width="10.42578125"/>
    <col customWidth="1" max="19" min="19" width="32.85546875"/>
  </cols>
  <sheetData>
    <row hidden="1" r="1">
      <c r="A1" s="5" t="inlineStr">
        <is>
          <t>NO</t>
        </is>
      </c>
      <c r="B1" s="5" t="inlineStr">
        <is>
          <t>Contract</t>
        </is>
      </c>
      <c r="C1" s="5" t="inlineStr">
        <is>
          <t>NO</t>
        </is>
      </c>
      <c r="D1" s="235" t="n"/>
      <c r="E1" s="5" t="inlineStr">
        <is>
          <t>Qty</t>
        </is>
      </c>
      <c r="F1" s="5" t="inlineStr">
        <is>
          <t>Vendor</t>
        </is>
      </c>
      <c r="G1" s="5" t="inlineStr">
        <is>
          <t>Award</t>
        </is>
      </c>
      <c r="H1" s="5" t="inlineStr">
        <is>
          <t>Delivery</t>
        </is>
      </c>
      <c r="I1" s="5" t="inlineStr">
        <is>
          <t>PO NO</t>
        </is>
      </c>
      <c r="J1" s="5" t="inlineStr">
        <is>
          <t>Order ack</t>
        </is>
      </c>
      <c r="K1" s="5" t="inlineStr">
        <is>
          <t>Amount</t>
        </is>
      </c>
      <c r="L1" s="5" t="inlineStr">
        <is>
          <t>PO Amount</t>
        </is>
      </c>
      <c r="M1" s="5" t="inlineStr">
        <is>
          <t>Gross</t>
        </is>
      </c>
      <c r="N1" s="5" t="inlineStr">
        <is>
          <t>ship Costs</t>
        </is>
      </c>
      <c r="Q1" s="5" t="n"/>
      <c r="R1" s="5" t="n"/>
      <c r="S1" s="5" t="n"/>
      <c r="T1" s="5" t="n"/>
    </row>
    <row hidden="1" r="2">
      <c r="A2" t="n">
        <v>1</v>
      </c>
      <c r="B2" t="inlineStr">
        <is>
          <t>PE7M5-16-M-A850</t>
        </is>
      </c>
      <c r="C2" t="n">
        <v>1</v>
      </c>
      <c r="E2" t="n">
        <v>7</v>
      </c>
      <c r="F2" s="49" t="inlineStr">
        <is>
          <t>TSE</t>
        </is>
      </c>
      <c r="G2" s="4" t="n">
        <v>42585</v>
      </c>
      <c r="H2" s="4" t="n"/>
      <c r="I2" s="4" t="n"/>
      <c r="J2" s="4" t="n"/>
      <c r="K2" s="236" t="n">
        <v>29253.21</v>
      </c>
      <c r="L2" s="230" t="n">
        <v>29225</v>
      </c>
      <c r="M2" s="230">
        <f>K2-L2</f>
        <v/>
      </c>
      <c r="N2" s="231" t="n">
        <v>29.82</v>
      </c>
      <c r="O2" s="233">
        <f>M2-N2</f>
        <v/>
      </c>
    </row>
    <row hidden="1" r="3">
      <c r="A3" t="n">
        <v>2</v>
      </c>
      <c r="C3" t="n">
        <v>2</v>
      </c>
      <c r="E3" t="n">
        <v>19</v>
      </c>
      <c r="F3" s="49" t="inlineStr">
        <is>
          <t>The LEE</t>
        </is>
      </c>
      <c r="G3" s="4" t="n">
        <v>42619</v>
      </c>
      <c r="H3" s="4" t="n"/>
      <c r="I3" s="4" t="n"/>
      <c r="J3" s="4" t="n"/>
      <c r="K3" s="237" t="n">
        <v>59722.89</v>
      </c>
      <c r="L3" s="231" t="n">
        <v>59299.87</v>
      </c>
      <c r="M3" s="230">
        <f>K3-L3</f>
        <v/>
      </c>
      <c r="N3" t="n">
        <v>13.58</v>
      </c>
      <c r="O3" s="233">
        <f>M3-N3</f>
        <v/>
      </c>
      <c r="P3" s="19">
        <f>(K3/L3)-1</f>
        <v/>
      </c>
    </row>
    <row hidden="1" r="4">
      <c r="A4" t="n">
        <v>3</v>
      </c>
      <c r="B4" t="inlineStr">
        <is>
          <t>SPE7M517P0085</t>
        </is>
      </c>
      <c r="C4" t="n">
        <v>3</v>
      </c>
      <c r="E4" t="n">
        <v>4</v>
      </c>
      <c r="F4" s="49" t="inlineStr">
        <is>
          <t>TSE</t>
        </is>
      </c>
      <c r="G4" s="4" t="n">
        <v>42646</v>
      </c>
      <c r="H4" s="4" t="n"/>
      <c r="I4" s="4" t="n"/>
      <c r="J4" s="4" t="n"/>
      <c r="K4" s="236" t="n">
        <v>16952</v>
      </c>
      <c r="L4" s="230" t="n">
        <v>16700</v>
      </c>
      <c r="M4" s="230">
        <f>K4-L4</f>
        <v/>
      </c>
      <c r="N4" s="230" t="n">
        <v>29.82</v>
      </c>
      <c r="O4" s="233">
        <f>M4-N4</f>
        <v/>
      </c>
      <c r="P4" s="19">
        <f>(K4/L4)-1</f>
        <v/>
      </c>
    </row>
    <row hidden="1" r="5">
      <c r="A5" t="n">
        <v>4</v>
      </c>
      <c r="C5" t="n">
        <v>4</v>
      </c>
      <c r="E5" t="n">
        <v>25</v>
      </c>
      <c r="F5" s="49" t="inlineStr">
        <is>
          <t>DataDelay</t>
        </is>
      </c>
      <c r="G5" s="4" t="n">
        <v>42656</v>
      </c>
      <c r="H5" s="4" t="n"/>
      <c r="I5" s="4" t="n"/>
      <c r="J5" s="4" t="n"/>
      <c r="K5" s="237" t="n">
        <v>4019.25</v>
      </c>
      <c r="L5" s="230" t="n">
        <v>3950</v>
      </c>
      <c r="M5" s="230">
        <f>K5-L5</f>
        <v/>
      </c>
      <c r="N5" t="n">
        <v>13</v>
      </c>
      <c r="O5" s="233">
        <f>M5-N5</f>
        <v/>
      </c>
      <c r="P5" s="19">
        <f>(K5/L5)-1</f>
        <v/>
      </c>
    </row>
    <row hidden="1" r="6">
      <c r="A6" t="n">
        <v>5</v>
      </c>
      <c r="C6" t="n">
        <v>5</v>
      </c>
      <c r="E6" t="n">
        <v>41</v>
      </c>
      <c r="F6" s="49" t="inlineStr">
        <is>
          <t>CPI</t>
        </is>
      </c>
      <c r="G6" s="4" t="n">
        <v>42654</v>
      </c>
      <c r="H6" s="4" t="n"/>
      <c r="I6" s="4" t="n"/>
      <c r="J6" s="4" t="n"/>
      <c r="K6" s="237" t="n">
        <v>15748.51</v>
      </c>
      <c r="L6" s="230" t="n">
        <v>15251.52</v>
      </c>
      <c r="M6" s="230">
        <f>K6-L6</f>
        <v/>
      </c>
      <c r="N6">
        <f>152.8+19.11</f>
        <v/>
      </c>
      <c r="O6" s="233">
        <f>M6-N6</f>
        <v/>
      </c>
      <c r="P6" s="19">
        <f>(K6/L6)-1</f>
        <v/>
      </c>
    </row>
    <row hidden="1" r="7">
      <c r="A7" t="n">
        <v>6</v>
      </c>
      <c r="B7" t="inlineStr">
        <is>
          <t>SPE5E8-17-P-0352</t>
        </is>
      </c>
      <c r="C7" t="n">
        <v>6</v>
      </c>
      <c r="F7" s="49" t="inlineStr">
        <is>
          <t>Ahler</t>
        </is>
      </c>
      <c r="G7" s="4" t="n">
        <v>42664</v>
      </c>
      <c r="H7" s="4" t="n"/>
      <c r="K7" s="237" t="n">
        <v>4547.36</v>
      </c>
      <c r="L7" s="230" t="n">
        <v>4479.2</v>
      </c>
      <c r="M7" s="230">
        <f>K7-L7</f>
        <v/>
      </c>
      <c r="N7" t="n">
        <v>14.25</v>
      </c>
      <c r="O7" s="233">
        <f>M7-N7</f>
        <v/>
      </c>
      <c r="P7" s="19">
        <f>(K7/L7)-1</f>
        <v/>
      </c>
    </row>
    <row hidden="1" r="8">
      <c r="C8" t="n">
        <v>7</v>
      </c>
      <c r="E8" t="n">
        <v>4</v>
      </c>
      <c r="F8" s="49" t="inlineStr">
        <is>
          <t>Keysight</t>
        </is>
      </c>
      <c r="G8" s="4" t="n">
        <v>42684</v>
      </c>
      <c r="H8" s="4" t="n"/>
      <c r="I8" s="4" t="n"/>
      <c r="J8" s="4" t="n"/>
      <c r="K8" s="237" t="n">
        <v>8595.08</v>
      </c>
      <c r="L8" s="230" t="n">
        <v>8144</v>
      </c>
      <c r="M8" s="230">
        <f>K8-L8</f>
        <v/>
      </c>
      <c r="N8" t="n">
        <v>0</v>
      </c>
      <c r="O8" s="233">
        <f>M8-N8</f>
        <v/>
      </c>
      <c r="P8" s="19">
        <f>(K8/L8)-1</f>
        <v/>
      </c>
    </row>
    <row hidden="1" r="9">
      <c r="C9" t="n">
        <v>8</v>
      </c>
      <c r="E9" t="n">
        <v>100</v>
      </c>
      <c r="F9" s="49" t="inlineStr">
        <is>
          <t>Lum</t>
        </is>
      </c>
      <c r="G9" s="4" t="n">
        <v>42704</v>
      </c>
      <c r="H9" s="4" t="n"/>
      <c r="I9" s="4" t="n"/>
      <c r="J9" s="4" t="n"/>
      <c r="K9" s="237" t="n">
        <v>4337</v>
      </c>
      <c r="L9" s="230" t="n">
        <v>4239</v>
      </c>
      <c r="M9" s="230">
        <f>K9-L9</f>
        <v/>
      </c>
      <c r="O9" s="233">
        <f>M9-N9</f>
        <v/>
      </c>
      <c r="P9" s="19">
        <f>(K9/L9)-1</f>
        <v/>
      </c>
    </row>
    <row hidden="1" r="10">
      <c r="C10" t="n">
        <v>9</v>
      </c>
      <c r="E10" t="n">
        <v>388</v>
      </c>
      <c r="F10" s="49" t="inlineStr">
        <is>
          <t>DIT-MCO</t>
        </is>
      </c>
      <c r="G10" s="4" t="n">
        <v>42711</v>
      </c>
      <c r="H10" s="4" t="n"/>
      <c r="I10" s="4" t="n"/>
      <c r="J10" s="4" t="n"/>
      <c r="K10" s="237" t="n">
        <v>5505.72</v>
      </c>
      <c r="L10" s="230" t="n">
        <v>5432</v>
      </c>
      <c r="M10" s="230">
        <f>K10-L10</f>
        <v/>
      </c>
      <c r="N10" t="n">
        <v>71.15000000000001</v>
      </c>
      <c r="O10" s="233">
        <f>M10-N10</f>
        <v/>
      </c>
      <c r="P10" s="19">
        <f>(K10/L10)-1</f>
        <v/>
      </c>
    </row>
    <row hidden="1" r="11">
      <c r="C11" t="n">
        <v>10</v>
      </c>
      <c r="E11" t="n">
        <v>13</v>
      </c>
      <c r="F11" s="50" t="inlineStr">
        <is>
          <t>The LEE</t>
        </is>
      </c>
      <c r="G11" s="4" t="n">
        <v>42720</v>
      </c>
      <c r="H11" s="4" t="n"/>
      <c r="K11" s="232" t="n">
        <v>0</v>
      </c>
      <c r="L11" s="233" t="n">
        <v>0</v>
      </c>
      <c r="M11" s="230" t="n">
        <v>0</v>
      </c>
      <c r="N11" t="n">
        <v>0</v>
      </c>
      <c r="O11" s="233">
        <f>M11-N11</f>
        <v/>
      </c>
    </row>
    <row hidden="1" r="12">
      <c r="C12" t="n">
        <v>11</v>
      </c>
      <c r="E12" t="n">
        <v>100</v>
      </c>
      <c r="F12" s="49" t="inlineStr">
        <is>
          <t>CTC</t>
        </is>
      </c>
      <c r="G12" s="4" t="n">
        <v>42727</v>
      </c>
      <c r="H12" s="4" t="inlineStr">
        <is>
          <t>90 days</t>
        </is>
      </c>
      <c r="K12" s="238" t="n">
        <v>2117</v>
      </c>
      <c r="L12" s="233" t="n">
        <v>2021.8</v>
      </c>
      <c r="M12" s="230">
        <f>K12-L12</f>
        <v/>
      </c>
      <c r="N12" t="n">
        <v>28.06</v>
      </c>
      <c r="O12" s="233">
        <f>M12-N12</f>
        <v/>
      </c>
      <c r="P12" s="19">
        <f>(K12/L12)-1</f>
        <v/>
      </c>
    </row>
    <row hidden="1" r="13">
      <c r="C13" t="n">
        <v>12</v>
      </c>
      <c r="E13" t="n">
        <v>6</v>
      </c>
      <c r="F13" s="49" t="inlineStr">
        <is>
          <t>GEMS</t>
        </is>
      </c>
      <c r="G13" s="4" t="n">
        <v>42734</v>
      </c>
      <c r="H13" t="inlineStr">
        <is>
          <t>120 Days</t>
        </is>
      </c>
      <c r="K13" s="237" t="n">
        <v>5532.66</v>
      </c>
      <c r="L13" s="239" t="n">
        <v>5445.26</v>
      </c>
      <c r="M13" s="230">
        <f>K13-L13</f>
        <v/>
      </c>
      <c r="O13" s="233">
        <f>M13-N13</f>
        <v/>
      </c>
      <c r="P13" s="19">
        <f>(K13/L13)-1</f>
        <v/>
      </c>
    </row>
    <row hidden="1" r="14">
      <c r="C14" t="n">
        <v>13</v>
      </c>
      <c r="E14" t="n">
        <v>26</v>
      </c>
      <c r="F14" s="49" t="inlineStr">
        <is>
          <t>DOUGLAS AUTOTECH</t>
        </is>
      </c>
      <c r="G14" s="4" t="n">
        <v>42734</v>
      </c>
      <c r="H14" t="inlineStr">
        <is>
          <t>60days</t>
        </is>
      </c>
      <c r="K14" s="237" t="n">
        <v>1270.62</v>
      </c>
      <c r="L14" s="233" t="n">
        <v>1225.9</v>
      </c>
      <c r="M14" s="230">
        <f>K14-L14</f>
        <v/>
      </c>
      <c r="N14" t="n">
        <v>22.91</v>
      </c>
      <c r="O14" s="233">
        <f>M14-N14</f>
        <v/>
      </c>
      <c r="P14" s="19">
        <f>(K14/L14)-1</f>
        <v/>
      </c>
    </row>
    <row hidden="1" r="15">
      <c r="F15" s="49" t="n"/>
      <c r="G15" s="4" t="n"/>
      <c r="K15" s="240">
        <f>SUM(K2:K14)</f>
        <v/>
      </c>
      <c r="L15" s="240">
        <f>SUM(L2:L14)</f>
        <v/>
      </c>
      <c r="M15" s="231">
        <f>SUM(M2:M14)</f>
        <v/>
      </c>
      <c r="N15" s="233">
        <f>SUM(N2:N14)</f>
        <v/>
      </c>
      <c r="O15" s="233">
        <f>M15-N15</f>
        <v/>
      </c>
      <c r="P15" s="19">
        <f>(K15/L15)-1</f>
        <v/>
      </c>
    </row>
    <row hidden="1" r="16">
      <c r="C16" t="n">
        <v>14</v>
      </c>
      <c r="E16" t="n">
        <v>2</v>
      </c>
      <c r="F16" s="49" t="inlineStr">
        <is>
          <t>HYSTAT SYSTEMS</t>
        </is>
      </c>
      <c r="G16" s="4" t="n">
        <v>42744</v>
      </c>
      <c r="H16" t="inlineStr">
        <is>
          <t>100  Days</t>
        </is>
      </c>
      <c r="K16" s="237" t="n">
        <v>7555.12</v>
      </c>
      <c r="L16" s="233" t="n">
        <v>6329.83</v>
      </c>
      <c r="M16" s="230">
        <f>K16-L16</f>
        <v/>
      </c>
      <c r="N16" t="n">
        <v>130</v>
      </c>
      <c r="O16" s="233">
        <f>M16-N16</f>
        <v/>
      </c>
      <c r="P16" s="19">
        <f>(K16/L16)-1</f>
        <v/>
      </c>
    </row>
    <row hidden="1" r="17">
      <c r="C17" t="n">
        <v>15</v>
      </c>
      <c r="E17" t="n">
        <v>77</v>
      </c>
      <c r="F17" s="49" t="inlineStr">
        <is>
          <t>Glenair</t>
        </is>
      </c>
      <c r="G17" s="4" t="n">
        <v>42760</v>
      </c>
      <c r="H17" t="n">
        <v>30</v>
      </c>
      <c r="K17" s="237" t="n">
        <v>6678.21</v>
      </c>
      <c r="L17" s="233" t="n">
        <v>6615.07</v>
      </c>
      <c r="M17" s="230">
        <f>K17-L17</f>
        <v/>
      </c>
      <c r="N17" t="n">
        <v>21.66</v>
      </c>
      <c r="O17" s="233">
        <f>M17-N17</f>
        <v/>
      </c>
      <c r="P17" s="19">
        <f>(K17/L17)-1</f>
        <v/>
      </c>
    </row>
    <row hidden="1" r="18">
      <c r="C18" t="n">
        <v>16</v>
      </c>
      <c r="E18" t="n">
        <v>14</v>
      </c>
      <c r="F18" s="49" t="inlineStr">
        <is>
          <t>GEMS</t>
        </is>
      </c>
      <c r="G18" s="4" t="n">
        <v>42768</v>
      </c>
      <c r="H18" t="n">
        <v>100</v>
      </c>
      <c r="K18" s="237" t="n">
        <v>12808.18</v>
      </c>
      <c r="L18" s="241" t="n">
        <v>12696.82</v>
      </c>
      <c r="M18" s="230">
        <f>K18-L18</f>
        <v/>
      </c>
      <c r="N18" t="n">
        <v>26.72</v>
      </c>
      <c r="O18" s="233">
        <f>M18-N18</f>
        <v/>
      </c>
      <c r="P18" s="19">
        <f>(K18/L18)-1</f>
        <v/>
      </c>
    </row>
    <row hidden="1" r="19">
      <c r="B19" t="inlineStr">
        <is>
          <t>SPE7M1-17-V-5771</t>
        </is>
      </c>
      <c r="C19" t="n">
        <v>17</v>
      </c>
      <c r="E19" t="n">
        <v>2</v>
      </c>
      <c r="F19" s="49" t="inlineStr">
        <is>
          <t>LEACH</t>
        </is>
      </c>
      <c r="G19" s="4" t="n">
        <v>42778</v>
      </c>
      <c r="H19" t="n">
        <v>40</v>
      </c>
      <c r="K19" s="236" t="n">
        <v>2286</v>
      </c>
      <c r="L19" s="233" t="n">
        <v>2200</v>
      </c>
      <c r="M19" s="230">
        <f>K19-L19</f>
        <v/>
      </c>
      <c r="N19" s="230" t="n">
        <v>34.48</v>
      </c>
      <c r="O19" s="233">
        <f>M19-N19</f>
        <v/>
      </c>
      <c r="P19" s="19">
        <f>(K19/L19)-1</f>
        <v/>
      </c>
    </row>
    <row hidden="1" r="20">
      <c r="F20" s="48" t="n"/>
      <c r="G20" s="4" t="n"/>
      <c r="K20" s="242">
        <f>SUM(K16:K19)</f>
        <v/>
      </c>
      <c r="L20" s="233">
        <f>SUM(L16:L19)</f>
        <v/>
      </c>
      <c r="M20" s="231">
        <f>SUM(M16:M19)</f>
        <v/>
      </c>
      <c r="N20" s="230" t="n"/>
      <c r="O20" s="233" t="n"/>
      <c r="P20" s="19">
        <f>(K20/L20)-1</f>
        <v/>
      </c>
    </row>
    <row hidden="1" r="21">
      <c r="B21" t="inlineStr">
        <is>
          <t>SPE7M0-17-P-2438</t>
        </is>
      </c>
      <c r="C21" t="n">
        <v>18</v>
      </c>
      <c r="E21" t="n">
        <v>1</v>
      </c>
      <c r="F21" s="49" t="inlineStr">
        <is>
          <t>PBM</t>
        </is>
      </c>
      <c r="G21" s="4" t="n">
        <v>42797</v>
      </c>
      <c r="H21" t="n">
        <v>100</v>
      </c>
      <c r="K21" s="237" t="n">
        <v>13033.44</v>
      </c>
      <c r="L21" s="233" t="n">
        <v>12668</v>
      </c>
      <c r="M21" s="230">
        <f>K21-L21</f>
        <v/>
      </c>
      <c r="N21" t="n">
        <v>52.49</v>
      </c>
      <c r="O21" s="233">
        <f>M21-N21</f>
        <v/>
      </c>
      <c r="P21" s="19">
        <f>(K21/L21)-1</f>
        <v/>
      </c>
    </row>
    <row hidden="1" r="22">
      <c r="B22" t="inlineStr">
        <is>
          <t>SPE7M1-17-P-4410</t>
        </is>
      </c>
      <c r="C22" t="n">
        <v>19</v>
      </c>
      <c r="E22" t="n">
        <v>8</v>
      </c>
      <c r="F22" s="49" t="inlineStr">
        <is>
          <t>GEMS</t>
        </is>
      </c>
      <c r="G22" s="4" t="n">
        <v>42798</v>
      </c>
      <c r="H22" t="n">
        <v>60</v>
      </c>
      <c r="K22" s="237" t="n">
        <v>2834.32</v>
      </c>
      <c r="L22" s="239" t="n">
        <v>2766</v>
      </c>
      <c r="M22" s="230">
        <f>K22-L22</f>
        <v/>
      </c>
      <c r="N22" t="n">
        <v>52.49</v>
      </c>
      <c r="O22" s="233">
        <f>M22-N22</f>
        <v/>
      </c>
      <c r="P22" s="19">
        <f>(K22/L22)-1</f>
        <v/>
      </c>
    </row>
    <row hidden="1" r="23">
      <c r="B23" t="inlineStr">
        <is>
          <t>SPE4A6-17-V-8749</t>
        </is>
      </c>
      <c r="C23" t="n">
        <v>20</v>
      </c>
      <c r="E23" t="n">
        <v>16</v>
      </c>
      <c r="F23" s="49" t="inlineStr">
        <is>
          <t>Connectronics</t>
        </is>
      </c>
      <c r="G23" s="4" t="n">
        <v>42801</v>
      </c>
      <c r="H23" t="n">
        <v>190</v>
      </c>
      <c r="I23" t="inlineStr">
        <is>
          <t>WSM003</t>
        </is>
      </c>
      <c r="K23" s="237" t="n">
        <v>17787.68</v>
      </c>
      <c r="L23" s="233" t="n">
        <v>17594</v>
      </c>
      <c r="M23" s="230">
        <f>K23-L23</f>
        <v/>
      </c>
      <c r="N23" t="n">
        <v>11.87</v>
      </c>
      <c r="O23" s="233">
        <f>M23-N23</f>
        <v/>
      </c>
      <c r="P23" s="19">
        <f>(K23/L23)-1</f>
        <v/>
      </c>
    </row>
    <row hidden="1" r="24">
      <c r="B24" t="inlineStr">
        <is>
          <t>SPE7M0-17-V-6044</t>
        </is>
      </c>
      <c r="C24" t="n">
        <v>21</v>
      </c>
      <c r="E24" t="n">
        <v>6</v>
      </c>
      <c r="F24" s="49" t="inlineStr">
        <is>
          <t>GEMS</t>
        </is>
      </c>
      <c r="G24" s="4" t="n">
        <v>42801</v>
      </c>
      <c r="H24" t="n">
        <v>120</v>
      </c>
      <c r="I24" t="inlineStr">
        <is>
          <t>WSM004</t>
        </is>
      </c>
      <c r="K24" s="237" t="n">
        <v>4300.68</v>
      </c>
      <c r="L24" s="241" t="n">
        <v>4242.5</v>
      </c>
      <c r="M24" s="230">
        <f>K24-L24</f>
        <v/>
      </c>
      <c r="N24">
        <f>13.76</f>
        <v/>
      </c>
      <c r="O24" s="233">
        <f>M24-N24</f>
        <v/>
      </c>
      <c r="P24" s="19">
        <f>(K24/L24)-1</f>
        <v/>
      </c>
    </row>
    <row hidden="1" r="25">
      <c r="B25" t="inlineStr">
        <is>
          <t>SPE7M0-17-V-6185</t>
        </is>
      </c>
      <c r="C25" t="n">
        <v>22</v>
      </c>
      <c r="E25" t="n">
        <v>4</v>
      </c>
      <c r="F25" s="49" t="inlineStr">
        <is>
          <t>Munters</t>
        </is>
      </c>
      <c r="G25" s="4" t="n">
        <v>42803</v>
      </c>
      <c r="H25" t="n">
        <v>90</v>
      </c>
      <c r="I25" t="inlineStr">
        <is>
          <t>WSM005</t>
        </is>
      </c>
      <c r="K25" s="236" t="n">
        <v>9393.559999999999</v>
      </c>
      <c r="L25" s="233" t="n">
        <v>9268</v>
      </c>
      <c r="M25" s="230">
        <f>K25-L25</f>
        <v/>
      </c>
      <c r="N25" s="230" t="n">
        <v>10.55</v>
      </c>
      <c r="O25" s="233">
        <f>M25-N25</f>
        <v/>
      </c>
      <c r="P25" s="19">
        <f>(K25/L25)-1</f>
        <v/>
      </c>
    </row>
    <row hidden="1" r="26">
      <c r="B26" t="inlineStr">
        <is>
          <t>SPE5E7-17-P-2288</t>
        </is>
      </c>
      <c r="C26" t="n">
        <v>23</v>
      </c>
      <c r="E26" t="n">
        <v>3</v>
      </c>
      <c r="F26" s="49" t="inlineStr">
        <is>
          <t>East/West</t>
        </is>
      </c>
      <c r="G26" s="4" t="n">
        <v>42814</v>
      </c>
      <c r="H26" t="n">
        <v>90</v>
      </c>
      <c r="I26" t="inlineStr">
        <is>
          <t>WSM006</t>
        </is>
      </c>
      <c r="K26" s="238" t="n">
        <v>813</v>
      </c>
      <c r="L26" s="233" t="n">
        <v>792</v>
      </c>
      <c r="M26" s="233">
        <f>K26-L26</f>
        <v/>
      </c>
      <c r="N26" t="n">
        <v>11.43</v>
      </c>
      <c r="O26" s="233">
        <f>M26-N26</f>
        <v/>
      </c>
      <c r="P26" s="19">
        <f>(K26/L26)-1</f>
        <v/>
      </c>
    </row>
    <row hidden="1" r="27">
      <c r="B27" t="inlineStr">
        <is>
          <t>SPE7L0-17-V-3851</t>
        </is>
      </c>
      <c r="C27" t="n">
        <v>24</v>
      </c>
      <c r="E27" t="n">
        <v>6</v>
      </c>
      <c r="F27" s="49" t="inlineStr">
        <is>
          <t>DOUGLAS AUTOTECH</t>
        </is>
      </c>
      <c r="G27" s="4" t="n">
        <v>42817</v>
      </c>
      <c r="H27" t="n">
        <v>60</v>
      </c>
      <c r="I27" t="inlineStr">
        <is>
          <t>WSM007</t>
        </is>
      </c>
      <c r="K27" s="237" t="n">
        <v>408</v>
      </c>
      <c r="L27" s="233" t="n">
        <v>369.96</v>
      </c>
      <c r="M27" s="232">
        <f>K27-L27</f>
        <v/>
      </c>
      <c r="N27" t="n">
        <v>16.33</v>
      </c>
      <c r="O27" s="233">
        <f>M27-N27</f>
        <v/>
      </c>
      <c r="P27" s="19">
        <f>(K27/L27)-1</f>
        <v/>
      </c>
    </row>
    <row hidden="1" r="28">
      <c r="B28" t="inlineStr">
        <is>
          <t>SPE7MC-17-V-5969</t>
        </is>
      </c>
      <c r="C28" t="n">
        <v>25</v>
      </c>
      <c r="E28" t="n">
        <v>6</v>
      </c>
      <c r="F28" t="inlineStr">
        <is>
          <t>ALLEN</t>
        </is>
      </c>
      <c r="G28" s="4" t="n">
        <v>42824</v>
      </c>
      <c r="H28" t="n">
        <v>240</v>
      </c>
      <c r="I28" t="inlineStr">
        <is>
          <t>WSM008</t>
        </is>
      </c>
      <c r="K28" s="237" t="n">
        <v>3192</v>
      </c>
      <c r="L28" s="233" t="n">
        <v>3173.38</v>
      </c>
      <c r="M28" s="233">
        <f>K28-L28</f>
        <v/>
      </c>
      <c r="N28" t="n">
        <v>12.26</v>
      </c>
      <c r="O28" s="233">
        <f>M28-N28</f>
        <v/>
      </c>
      <c r="P28" s="19">
        <f>(K28/L28)-1</f>
        <v/>
      </c>
    </row>
    <row hidden="1" r="29">
      <c r="G29" s="4" t="n"/>
      <c r="K29" s="243">
        <f>SUM(K21:K28)</f>
        <v/>
      </c>
      <c r="L29" s="232">
        <f>SUM(L21:L28)</f>
        <v/>
      </c>
      <c r="M29" s="243">
        <f>SUM(M21:M28)</f>
        <v/>
      </c>
      <c r="O29" s="233">
        <f>M29-N29</f>
        <v/>
      </c>
      <c r="P29" s="19">
        <f>(K29/L29)-1</f>
        <v/>
      </c>
    </row>
    <row hidden="1" r="30">
      <c r="B30" t="inlineStr">
        <is>
          <t>SPE7M0-17-V-7216</t>
        </is>
      </c>
      <c r="C30" t="n">
        <v>1</v>
      </c>
      <c r="E30" t="n">
        <v>6</v>
      </c>
      <c r="F30" t="inlineStr">
        <is>
          <t>ALLEN</t>
        </is>
      </c>
      <c r="G30" s="4" t="n">
        <v>42829</v>
      </c>
      <c r="H30" t="n">
        <v>240</v>
      </c>
      <c r="I30" t="inlineStr">
        <is>
          <t>WSA001</t>
        </is>
      </c>
      <c r="K30" s="232" t="n">
        <v>8053.26</v>
      </c>
      <c r="L30" s="233" t="n">
        <v>7976.16</v>
      </c>
      <c r="M30" s="233">
        <f>K30-L30</f>
        <v/>
      </c>
      <c r="O30" s="233">
        <f>M30-N30</f>
        <v/>
      </c>
      <c r="P30" s="19">
        <f>(K30/L30)-1</f>
        <v/>
      </c>
    </row>
    <row hidden="1" r="31">
      <c r="B31" t="inlineStr">
        <is>
          <t>SPE7L3-17-P-4510</t>
        </is>
      </c>
      <c r="C31" t="n">
        <v>2</v>
      </c>
      <c r="E31" t="n">
        <v>1</v>
      </c>
      <c r="F31" t="inlineStr">
        <is>
          <t>East/West</t>
        </is>
      </c>
      <c r="G31" s="4" t="n">
        <v>42832</v>
      </c>
      <c r="H31" t="n">
        <v>200</v>
      </c>
      <c r="I31" t="inlineStr">
        <is>
          <t>WSA002</t>
        </is>
      </c>
      <c r="K31" s="232" t="n">
        <v>1111.77</v>
      </c>
      <c r="L31" s="233" t="n">
        <v>1085.5</v>
      </c>
      <c r="M31" s="233">
        <f>K31-L31</f>
        <v/>
      </c>
      <c r="O31" s="233">
        <f>M31-N31</f>
        <v/>
      </c>
      <c r="P31" s="19">
        <f>(K31/L31)-1</f>
        <v/>
      </c>
    </row>
    <row hidden="1" r="32">
      <c r="B32" t="inlineStr">
        <is>
          <t>SPE7M8-17-V-0923</t>
        </is>
      </c>
      <c r="C32" t="n">
        <v>3</v>
      </c>
      <c r="E32" t="n">
        <v>1</v>
      </c>
      <c r="F32" s="49" t="inlineStr">
        <is>
          <t>PBM</t>
        </is>
      </c>
      <c r="G32" s="4" t="n">
        <v>42836</v>
      </c>
      <c r="H32" t="n">
        <v>110</v>
      </c>
      <c r="I32" t="inlineStr">
        <is>
          <t>WSA002</t>
        </is>
      </c>
      <c r="K32" s="244" t="n">
        <v>3497</v>
      </c>
      <c r="L32" s="233" t="n">
        <v>3448</v>
      </c>
      <c r="M32" s="233">
        <f>K32-L32</f>
        <v/>
      </c>
      <c r="N32" t="n">
        <v>16.99</v>
      </c>
      <c r="O32" s="233">
        <f>M32-N32</f>
        <v/>
      </c>
      <c r="P32" s="19">
        <f>(K32/L32)-1</f>
        <v/>
      </c>
    </row>
    <row hidden="1" r="33">
      <c r="B33" t="inlineStr">
        <is>
          <t>SPE7L0-17-V-4318</t>
        </is>
      </c>
      <c r="C33" t="n">
        <v>4</v>
      </c>
      <c r="E33" t="n">
        <v>1</v>
      </c>
      <c r="F33" s="49" t="inlineStr">
        <is>
          <t>DOUGLAS AUTOTECH</t>
        </is>
      </c>
      <c r="G33" s="4" t="n">
        <v>42836</v>
      </c>
      <c r="H33" t="n">
        <v>80</v>
      </c>
      <c r="I33" t="inlineStr">
        <is>
          <t>WSA003</t>
        </is>
      </c>
      <c r="K33" s="237" t="n">
        <v>599.84</v>
      </c>
      <c r="L33" s="233" t="n">
        <v>562.84</v>
      </c>
      <c r="M33" s="233">
        <f>K33-L33</f>
        <v/>
      </c>
      <c r="N33" t="n">
        <v>26.72</v>
      </c>
      <c r="O33" s="233">
        <f>M33-N33</f>
        <v/>
      </c>
      <c r="P33" s="19">
        <f>(K33/L33)-1</f>
        <v/>
      </c>
    </row>
    <row hidden="1" r="34">
      <c r="B34" t="inlineStr">
        <is>
          <t>SPE4A4-17-V-5230</t>
        </is>
      </c>
      <c r="C34" t="n">
        <v>5</v>
      </c>
      <c r="E34" t="n">
        <v>24</v>
      </c>
      <c r="F34" s="22" t="inlineStr">
        <is>
          <t>East/West</t>
        </is>
      </c>
      <c r="G34" s="4" t="n">
        <v>42837</v>
      </c>
      <c r="H34" t="n">
        <v>210</v>
      </c>
      <c r="I34" t="inlineStr">
        <is>
          <t>WSA004</t>
        </is>
      </c>
      <c r="K34" s="230" t="n">
        <v>6386.64</v>
      </c>
      <c r="L34" s="233" t="n">
        <v>6286.8</v>
      </c>
      <c r="M34" s="233">
        <f>K34-L34</f>
        <v/>
      </c>
      <c r="O34" s="233">
        <f>M34-N34</f>
        <v/>
      </c>
      <c r="P34" s="19">
        <f>(K34/L34)-1</f>
        <v/>
      </c>
    </row>
    <row hidden="1" r="35">
      <c r="B35" t="inlineStr">
        <is>
          <t>SPE7MC-17-V-7086</t>
        </is>
      </c>
      <c r="C35" t="n">
        <v>6</v>
      </c>
      <c r="E35" t="n">
        <v>4</v>
      </c>
      <c r="F35" s="49" t="inlineStr">
        <is>
          <t>PBM</t>
        </is>
      </c>
      <c r="G35" s="4" t="n">
        <v>42842</v>
      </c>
      <c r="H35" t="n">
        <v>120</v>
      </c>
      <c r="I35" t="inlineStr">
        <is>
          <t>WSA005</t>
        </is>
      </c>
      <c r="K35" s="237" t="n">
        <v>18328</v>
      </c>
      <c r="L35" s="233" t="n">
        <v>17712</v>
      </c>
      <c r="M35" s="233">
        <f>K35-L35</f>
        <v/>
      </c>
      <c r="O35" s="233">
        <f>M35-N35</f>
        <v/>
      </c>
      <c r="P35" s="19">
        <f>(K35/L35)-1</f>
        <v/>
      </c>
      <c r="Q35" s="232" t="n"/>
    </row>
    <row hidden="1" r="36">
      <c r="B36" t="inlineStr">
        <is>
          <t>SPE7MC-17-V-7184</t>
        </is>
      </c>
      <c r="C36" t="n">
        <v>7</v>
      </c>
      <c r="E36" t="n">
        <v>8</v>
      </c>
      <c r="F36" s="49" t="inlineStr">
        <is>
          <t>PBM</t>
        </is>
      </c>
      <c r="G36" s="4" t="n">
        <v>42843</v>
      </c>
      <c r="H36" t="n">
        <v>120</v>
      </c>
      <c r="I36" t="inlineStr">
        <is>
          <t>WSA006</t>
        </is>
      </c>
      <c r="K36" s="244" t="n">
        <v>4686.24</v>
      </c>
      <c r="L36" s="233" t="n">
        <v>4592</v>
      </c>
      <c r="M36" s="233">
        <f>K36-L36</f>
        <v/>
      </c>
      <c r="N36">
        <f>63.85+54.76</f>
        <v/>
      </c>
      <c r="O36" s="233">
        <f>M36-N36</f>
        <v/>
      </c>
      <c r="P36" s="19">
        <f>(K36/L36)-1</f>
        <v/>
      </c>
    </row>
    <row hidden="1" r="37">
      <c r="B37" t="inlineStr">
        <is>
          <t>SPE5E0-17-V-3348</t>
        </is>
      </c>
      <c r="C37" t="n">
        <v>8</v>
      </c>
      <c r="E37" t="n">
        <v>3</v>
      </c>
      <c r="F37" t="inlineStr">
        <is>
          <t>East/West</t>
        </is>
      </c>
      <c r="G37" s="4" t="n">
        <v>42850</v>
      </c>
      <c r="H37" t="n">
        <v>100</v>
      </c>
      <c r="I37" t="inlineStr">
        <is>
          <t>WSM001</t>
        </is>
      </c>
      <c r="K37" s="237" t="n">
        <v>1517.31</v>
      </c>
      <c r="L37" s="233" t="n">
        <v>1477.5</v>
      </c>
      <c r="M37" s="233">
        <f>K37-L37</f>
        <v/>
      </c>
      <c r="N37" t="n">
        <v>11.4</v>
      </c>
      <c r="O37" s="233">
        <f>M37-N37</f>
        <v/>
      </c>
      <c r="P37" s="19">
        <f>(K37/L37)-1</f>
        <v/>
      </c>
    </row>
    <row hidden="1" r="38">
      <c r="K38" s="243">
        <f>SUM(K30:K37)</f>
        <v/>
      </c>
      <c r="L38" s="232">
        <f>SUM(L30:L37)</f>
        <v/>
      </c>
      <c r="M38" s="243">
        <f>SUM(M30:M37)</f>
        <v/>
      </c>
      <c r="P38" s="19">
        <f>(K38/L38)-1</f>
        <v/>
      </c>
    </row>
    <row hidden="1" r="39"/>
    <row hidden="1" r="40">
      <c r="B40" t="inlineStr">
        <is>
          <t>SPE7M1-17-V-8564</t>
        </is>
      </c>
      <c r="C40" t="n">
        <v>1</v>
      </c>
      <c r="E40" t="n">
        <v>1</v>
      </c>
      <c r="F40" t="inlineStr">
        <is>
          <t>GEMS</t>
        </is>
      </c>
      <c r="G40" s="4" t="n">
        <v>42860</v>
      </c>
      <c r="H40" t="n">
        <v>110</v>
      </c>
      <c r="I40" t="inlineStr">
        <is>
          <t>WSM002</t>
        </is>
      </c>
      <c r="K40" s="237" t="n">
        <v>1031</v>
      </c>
      <c r="L40" s="241" t="n">
        <v>995</v>
      </c>
      <c r="M40" s="233">
        <f>K40-L40</f>
        <v/>
      </c>
      <c r="N40" t="n">
        <v>11.87</v>
      </c>
      <c r="P40" s="19">
        <f>(K40/L40)-1</f>
        <v/>
      </c>
    </row>
    <row hidden="1" r="41">
      <c r="B41" t="inlineStr">
        <is>
          <t>SPE7M1-17-V-8624</t>
        </is>
      </c>
      <c r="C41" t="n">
        <v>2</v>
      </c>
      <c r="E41" t="n">
        <v>8</v>
      </c>
      <c r="F41" s="49" t="inlineStr">
        <is>
          <t>Thermtrol</t>
        </is>
      </c>
      <c r="G41" s="4" t="n">
        <v>42863</v>
      </c>
      <c r="H41" t="n">
        <v>120</v>
      </c>
      <c r="I41" t="inlineStr">
        <is>
          <t>WSM003</t>
        </is>
      </c>
      <c r="K41" s="237" t="n">
        <v>663.04</v>
      </c>
      <c r="L41" s="233" t="n">
        <v>600</v>
      </c>
      <c r="M41" s="233">
        <f>K41-L41</f>
        <v/>
      </c>
      <c r="N41" t="n">
        <v>10.76</v>
      </c>
      <c r="O41" s="233">
        <f>M41-N41</f>
        <v/>
      </c>
      <c r="P41" s="19">
        <f>(K41/L41)-1</f>
        <v/>
      </c>
    </row>
    <row hidden="1" r="42">
      <c r="B42" t="inlineStr">
        <is>
          <t>SPE7M8-17-P-2511</t>
        </is>
      </c>
      <c r="C42" t="n">
        <v>3</v>
      </c>
      <c r="E42" t="n">
        <v>36</v>
      </c>
      <c r="F42" s="49" t="inlineStr">
        <is>
          <t>CPI</t>
        </is>
      </c>
      <c r="G42" s="4" t="n">
        <v>42866</v>
      </c>
      <c r="H42" t="n">
        <v>90</v>
      </c>
      <c r="I42" t="inlineStr">
        <is>
          <t>WSM004</t>
        </is>
      </c>
      <c r="K42" s="237" t="n">
        <v>10951.56</v>
      </c>
      <c r="L42" s="233" t="n">
        <v>10643.62</v>
      </c>
      <c r="M42" s="233">
        <f>K42-L42</f>
        <v/>
      </c>
      <c r="N42" t="n">
        <v>11.87</v>
      </c>
      <c r="O42" s="233">
        <f>M42-N42</f>
        <v/>
      </c>
      <c r="P42" s="19">
        <f>(K42/L42)-1</f>
        <v/>
      </c>
    </row>
    <row hidden="1" r="43">
      <c r="B43" t="inlineStr">
        <is>
          <t>SPE7M8-17-V-1242</t>
        </is>
      </c>
      <c r="C43" t="n">
        <v>4</v>
      </c>
      <c r="E43" t="n">
        <v>1</v>
      </c>
      <c r="F43" s="49" t="inlineStr">
        <is>
          <t>GEMS</t>
        </is>
      </c>
      <c r="G43" s="4" t="n">
        <v>42872</v>
      </c>
      <c r="H43" t="n">
        <v>110</v>
      </c>
      <c r="I43" t="inlineStr">
        <is>
          <t>WSM005</t>
        </is>
      </c>
      <c r="K43" s="237" t="n">
        <v>4744</v>
      </c>
      <c r="L43" s="239" t="n">
        <v>4665</v>
      </c>
      <c r="M43" s="233">
        <f>K43-L43</f>
        <v/>
      </c>
      <c r="N43">
        <f>17.35+14.64</f>
        <v/>
      </c>
      <c r="O43" s="233">
        <f>M43-N43</f>
        <v/>
      </c>
      <c r="P43" s="19">
        <f>(K43/L43)-1</f>
        <v/>
      </c>
    </row>
    <row hidden="1" r="44">
      <c r="B44" t="inlineStr">
        <is>
          <t>SPE7M1-17-V-9086</t>
        </is>
      </c>
      <c r="C44" t="n">
        <v>5</v>
      </c>
      <c r="E44" t="n">
        <v>1</v>
      </c>
      <c r="F44" t="inlineStr">
        <is>
          <t>GEMS</t>
        </is>
      </c>
      <c r="G44" s="4" t="n">
        <v>42873</v>
      </c>
      <c r="H44" t="n">
        <v>100</v>
      </c>
      <c r="I44" t="inlineStr">
        <is>
          <t>WSM006</t>
        </is>
      </c>
      <c r="K44" s="237" t="n">
        <v>2186.4</v>
      </c>
      <c r="L44" s="241" t="n">
        <v>2171.99</v>
      </c>
      <c r="M44" s="233">
        <f>K44-L44</f>
        <v/>
      </c>
      <c r="N44">
        <f>17.35</f>
        <v/>
      </c>
      <c r="O44" s="233">
        <f>M44-N44</f>
        <v/>
      </c>
      <c r="P44" s="19">
        <f>(K44/L44)-1</f>
        <v/>
      </c>
    </row>
    <row hidden="1" r="45">
      <c r="B45" t="inlineStr">
        <is>
          <t>SPE7M1-17-V-9239</t>
        </is>
      </c>
      <c r="C45" t="n">
        <v>6</v>
      </c>
      <c r="E45" t="n">
        <v>2</v>
      </c>
      <c r="F45" s="50" t="inlineStr">
        <is>
          <t>GEMS</t>
        </is>
      </c>
      <c r="G45" s="4" t="n">
        <v>42879</v>
      </c>
      <c r="H45" t="n">
        <v>90</v>
      </c>
      <c r="I45" t="inlineStr">
        <is>
          <t>WSM007</t>
        </is>
      </c>
      <c r="K45" s="232" t="n">
        <v>2278</v>
      </c>
      <c r="L45" s="241" t="n">
        <v>2242.04</v>
      </c>
      <c r="M45" s="233">
        <f>K45-L45</f>
        <v/>
      </c>
      <c r="N45">
        <f>13.28</f>
        <v/>
      </c>
      <c r="O45" s="233">
        <f>M45-N45</f>
        <v/>
      </c>
      <c r="P45" s="19">
        <f>(K45/L45)-1</f>
        <v/>
      </c>
    </row>
    <row hidden="1" r="46">
      <c r="G46" s="4" t="n"/>
      <c r="K46" s="243">
        <f>SUM(K40:K45)</f>
        <v/>
      </c>
      <c r="L46" s="233">
        <f>SUM(L40:L45)</f>
        <v/>
      </c>
      <c r="M46" s="240">
        <f>SUM(M40:M45)</f>
        <v/>
      </c>
      <c r="O46" s="233">
        <f>M46-N46</f>
        <v/>
      </c>
      <c r="P46" s="19">
        <f>(K46/L46)-1</f>
        <v/>
      </c>
    </row>
    <row hidden="1" r="47">
      <c r="B47" t="inlineStr">
        <is>
          <t>SPE7M8-17-P-2449</t>
        </is>
      </c>
      <c r="C47" t="n">
        <v>1</v>
      </c>
      <c r="E47" s="51" t="n">
        <v>6</v>
      </c>
      <c r="F47" t="inlineStr">
        <is>
          <t>GEMS</t>
        </is>
      </c>
      <c r="G47" s="4" t="n">
        <v>42887</v>
      </c>
      <c r="H47" t="n">
        <v>120</v>
      </c>
      <c r="I47" t="inlineStr">
        <is>
          <t>WSJ001</t>
        </is>
      </c>
      <c r="K47" s="237" t="n">
        <v>10192.62</v>
      </c>
      <c r="L47" s="241" t="n">
        <v>10080</v>
      </c>
      <c r="M47" s="233">
        <f>K47-L47</f>
        <v/>
      </c>
      <c r="N47">
        <f>16.99+12.04</f>
        <v/>
      </c>
      <c r="O47" s="233">
        <f>M47-N47</f>
        <v/>
      </c>
      <c r="P47" s="19">
        <f>(K47/L47)-1</f>
        <v/>
      </c>
    </row>
    <row hidden="1" r="48">
      <c r="B48" t="inlineStr">
        <is>
          <t>SPE7L3-17-P-5972</t>
        </is>
      </c>
      <c r="C48" t="n">
        <v>2</v>
      </c>
      <c r="E48" t="n">
        <v>2</v>
      </c>
      <c r="F48" s="49" t="inlineStr">
        <is>
          <t>HYSTAT</t>
        </is>
      </c>
      <c r="G48" s="4" t="n">
        <v>42888</v>
      </c>
      <c r="H48" t="n">
        <v>110</v>
      </c>
      <c r="I48" t="inlineStr">
        <is>
          <t>WSJ002</t>
        </is>
      </c>
      <c r="K48" s="237" t="n">
        <v>7266.96</v>
      </c>
      <c r="L48" s="233" t="n">
        <v>6850</v>
      </c>
      <c r="M48" s="233">
        <f>K48-L48</f>
        <v/>
      </c>
      <c r="N48" t="n">
        <v>140.63</v>
      </c>
      <c r="O48" s="233">
        <f>M48-N48</f>
        <v/>
      </c>
      <c r="P48" s="19">
        <f>(K48/L48)-1</f>
        <v/>
      </c>
    </row>
    <row hidden="1" r="49">
      <c r="B49" t="inlineStr">
        <is>
          <t>SPE7MC-17-V-9471</t>
        </is>
      </c>
      <c r="C49" t="n">
        <v>3</v>
      </c>
      <c r="E49" t="n">
        <v>31</v>
      </c>
      <c r="F49" s="49" t="inlineStr">
        <is>
          <t>CPI</t>
        </is>
      </c>
      <c r="G49" s="4" t="n">
        <v>42891</v>
      </c>
      <c r="H49" t="n">
        <v>160</v>
      </c>
      <c r="I49" t="inlineStr">
        <is>
          <t>WSJ003</t>
        </is>
      </c>
      <c r="K49" s="237" t="n">
        <v>8795.940000000001</v>
      </c>
      <c r="L49" s="233">
        <f>8662.64-173.26</f>
        <v/>
      </c>
      <c r="M49" s="233">
        <f>K49-L49</f>
        <v/>
      </c>
      <c r="N49" t="n">
        <v>11.87</v>
      </c>
      <c r="O49" s="233">
        <f>M49-N49</f>
        <v/>
      </c>
      <c r="P49" s="19">
        <f>(K49/L49)-1</f>
        <v/>
      </c>
    </row>
    <row hidden="1" r="50">
      <c r="B50" t="inlineStr">
        <is>
          <t>SPE7M8-17-V-1327</t>
        </is>
      </c>
      <c r="C50" t="n">
        <v>4</v>
      </c>
      <c r="E50" t="n">
        <v>17</v>
      </c>
      <c r="F50" s="49" t="inlineStr">
        <is>
          <t>CPI</t>
        </is>
      </c>
      <c r="G50" s="4" t="n">
        <v>42894</v>
      </c>
      <c r="H50" t="n">
        <v>90</v>
      </c>
      <c r="I50" t="inlineStr">
        <is>
          <t>WSJ004</t>
        </is>
      </c>
      <c r="K50" s="237" t="n">
        <v>7497</v>
      </c>
      <c r="L50" s="233" t="n">
        <v>7185</v>
      </c>
      <c r="M50" s="233">
        <f>K50-L50</f>
        <v/>
      </c>
      <c r="N50" t="n">
        <v>10.74</v>
      </c>
      <c r="O50" s="233">
        <f>M50-N50</f>
        <v/>
      </c>
      <c r="P50" s="19">
        <f>(K50/L50)-1</f>
        <v/>
      </c>
    </row>
    <row hidden="1" r="51">
      <c r="B51" t="inlineStr">
        <is>
          <t>SPE5E1-17-V-1599</t>
        </is>
      </c>
      <c r="C51" t="n">
        <v>5</v>
      </c>
      <c r="E51" t="n">
        <v>9</v>
      </c>
      <c r="F51" t="inlineStr">
        <is>
          <t>East/West</t>
        </is>
      </c>
      <c r="G51" s="4" t="n">
        <v>42900</v>
      </c>
      <c r="I51" t="inlineStr">
        <is>
          <t>WSJ005</t>
        </is>
      </c>
      <c r="K51" s="232" t="n">
        <v>4887</v>
      </c>
      <c r="L51" s="233" t="n">
        <v>4831.65</v>
      </c>
      <c r="M51" s="233">
        <f>K51-L51</f>
        <v/>
      </c>
      <c r="N51" t="n">
        <v>11.48</v>
      </c>
      <c r="O51" s="233">
        <f>M51-N51</f>
        <v/>
      </c>
      <c r="P51" s="19">
        <f>(K51/L51)-1</f>
        <v/>
      </c>
    </row>
    <row hidden="1" r="52">
      <c r="B52" s="22" t="inlineStr">
        <is>
          <t>SPE7M8-17-P-2861</t>
        </is>
      </c>
      <c r="C52" t="n">
        <v>6</v>
      </c>
      <c r="E52" s="51" t="n">
        <v>6</v>
      </c>
      <c r="F52" t="inlineStr">
        <is>
          <t>GEMS</t>
        </is>
      </c>
      <c r="G52" s="4" t="n">
        <v>42906</v>
      </c>
      <c r="H52" t="n">
        <v>90</v>
      </c>
      <c r="I52" t="inlineStr">
        <is>
          <t>WSJ006</t>
        </is>
      </c>
      <c r="K52" s="237" t="n">
        <v>11388</v>
      </c>
      <c r="L52" s="241" t="n">
        <v>11232</v>
      </c>
      <c r="M52" s="233">
        <f>K52-L52</f>
        <v/>
      </c>
      <c r="N52" s="51" t="n">
        <v>720</v>
      </c>
      <c r="O52" s="245">
        <f>M52-N52</f>
        <v/>
      </c>
      <c r="P52" s="19">
        <f>(K52/L52)-1</f>
        <v/>
      </c>
    </row>
    <row hidden="1" r="53">
      <c r="B53" t="inlineStr">
        <is>
          <t>SPE7L1-17-V-6225</t>
        </is>
      </c>
      <c r="C53" t="n">
        <v>7</v>
      </c>
      <c r="E53" t="n">
        <v>9</v>
      </c>
      <c r="F53" t="inlineStr">
        <is>
          <t>DOUGLAS AUTOTECH</t>
        </is>
      </c>
      <c r="G53" s="4" t="n">
        <v>42906</v>
      </c>
      <c r="H53" t="n">
        <v>60</v>
      </c>
      <c r="I53" t="inlineStr">
        <is>
          <t>WSJ007</t>
        </is>
      </c>
      <c r="K53" s="237" t="n">
        <v>426.51</v>
      </c>
      <c r="L53" s="233" t="n">
        <v>383.85</v>
      </c>
      <c r="M53" s="233">
        <f>K53-L53</f>
        <v/>
      </c>
      <c r="N53" t="n">
        <v>12.65</v>
      </c>
      <c r="O53" s="233">
        <f>M53-N53</f>
        <v/>
      </c>
      <c r="P53" s="19">
        <f>(K53/L53)-1</f>
        <v/>
      </c>
    </row>
    <row hidden="1" r="54">
      <c r="B54" t="inlineStr">
        <is>
          <t>SPE5E8-17-V-6749</t>
        </is>
      </c>
      <c r="C54" t="n">
        <v>8</v>
      </c>
      <c r="E54" t="n">
        <v>114</v>
      </c>
      <c r="F54" t="inlineStr">
        <is>
          <t>DOUGLAS AUTOTECH</t>
        </is>
      </c>
      <c r="G54" s="4" t="n">
        <v>42906</v>
      </c>
      <c r="H54" t="n">
        <v>60</v>
      </c>
      <c r="I54" t="inlineStr">
        <is>
          <t>WSJ008</t>
        </is>
      </c>
      <c r="K54" s="237" t="n">
        <v>1039.68</v>
      </c>
      <c r="L54" s="233" t="n">
        <v>974.7</v>
      </c>
      <c r="M54" s="233">
        <f>K54-L54</f>
        <v/>
      </c>
      <c r="N54" t="n">
        <v>13.1</v>
      </c>
      <c r="O54" s="233">
        <f>M54-N54</f>
        <v/>
      </c>
      <c r="P54" s="19">
        <f>(K54/L54)-1</f>
        <v/>
      </c>
    </row>
    <row hidden="1" r="55">
      <c r="B55" t="inlineStr">
        <is>
          <t>SPE7M5-17-V-6940</t>
        </is>
      </c>
      <c r="C55" t="n">
        <v>9</v>
      </c>
      <c r="E55" t="n">
        <v>7</v>
      </c>
      <c r="F55" t="inlineStr">
        <is>
          <t>R. KERN</t>
        </is>
      </c>
      <c r="G55" s="4" t="n">
        <v>42906</v>
      </c>
      <c r="H55" t="n">
        <v>100</v>
      </c>
      <c r="I55" t="inlineStr">
        <is>
          <t>WSJ009</t>
        </is>
      </c>
      <c r="K55" s="237" t="n">
        <v>571.66</v>
      </c>
      <c r="L55" s="233" t="n">
        <v>536.97</v>
      </c>
      <c r="M55" s="233">
        <f>K55-L55</f>
        <v/>
      </c>
      <c r="N55" t="n">
        <v>11.06</v>
      </c>
      <c r="O55" s="233">
        <f>M55-N55</f>
        <v/>
      </c>
      <c r="P55" s="19">
        <f>(K55/L55)-1</f>
        <v/>
      </c>
    </row>
    <row hidden="1" r="56">
      <c r="B56" t="inlineStr">
        <is>
          <t>SPE7MC-17-V-A125</t>
        </is>
      </c>
      <c r="C56" t="n">
        <v>10</v>
      </c>
      <c r="E56" t="n">
        <v>1</v>
      </c>
      <c r="F56" t="inlineStr">
        <is>
          <t>GEMS</t>
        </is>
      </c>
      <c r="G56" s="4" t="n">
        <v>42907</v>
      </c>
      <c r="H56" t="n">
        <v>120</v>
      </c>
      <c r="I56" t="inlineStr">
        <is>
          <t>WSJ010</t>
        </is>
      </c>
      <c r="K56" s="236" t="n">
        <v>6266.88</v>
      </c>
      <c r="L56" s="239" t="n">
        <v>6179.34</v>
      </c>
      <c r="M56" s="233">
        <f>K56-L56</f>
        <v/>
      </c>
      <c r="N56" s="233" t="n">
        <v>19.92</v>
      </c>
      <c r="O56" s="233">
        <f>M56-N56</f>
        <v/>
      </c>
      <c r="P56" s="19">
        <f>(K56/L56)-1</f>
        <v/>
      </c>
    </row>
    <row hidden="1" r="57">
      <c r="B57" t="inlineStr">
        <is>
          <t>SPE7M0-17-V-A128</t>
        </is>
      </c>
      <c r="C57" t="n">
        <v>11</v>
      </c>
      <c r="E57" t="n">
        <v>1</v>
      </c>
      <c r="F57" t="inlineStr">
        <is>
          <t>ALLEN</t>
        </is>
      </c>
      <c r="G57" s="4" t="n">
        <v>42909</v>
      </c>
      <c r="H57" t="n">
        <v>230</v>
      </c>
      <c r="I57" t="inlineStr">
        <is>
          <t>WSJ011</t>
        </is>
      </c>
      <c r="K57" s="237" t="n">
        <v>7354</v>
      </c>
      <c r="L57" s="233" t="n">
        <v>7272</v>
      </c>
      <c r="M57" s="233">
        <f>K57-L57</f>
        <v/>
      </c>
      <c r="O57" s="233">
        <f>M57-N57</f>
        <v/>
      </c>
      <c r="P57" s="19">
        <f>(K57/L57)-1</f>
        <v/>
      </c>
    </row>
    <row hidden="1" r="58">
      <c r="B58" t="inlineStr">
        <is>
          <t>SPE7M5-17-V-7160</t>
        </is>
      </c>
      <c r="C58" t="n">
        <v>12</v>
      </c>
      <c r="E58" t="n">
        <v>250</v>
      </c>
      <c r="F58" s="49" t="inlineStr">
        <is>
          <t>Glenair</t>
        </is>
      </c>
      <c r="G58" s="4" t="n">
        <v>42915</v>
      </c>
      <c r="I58" t="inlineStr">
        <is>
          <t>WSJ012</t>
        </is>
      </c>
      <c r="K58" s="246" t="n">
        <v>5220</v>
      </c>
      <c r="L58" s="233" t="n">
        <v>5165</v>
      </c>
      <c r="M58" s="233">
        <f>K58-L58</f>
        <v/>
      </c>
      <c r="N58" t="n">
        <v>15.86</v>
      </c>
      <c r="O58" s="233">
        <f>M58-N58</f>
        <v/>
      </c>
      <c r="P58" s="19">
        <f>(K58/L58)-1</f>
        <v/>
      </c>
    </row>
    <row hidden="1" r="59">
      <c r="K59" s="243">
        <f>SUM(K47:K58)</f>
        <v/>
      </c>
      <c r="L59" s="233">
        <f>SUM(L47:L58)</f>
        <v/>
      </c>
      <c r="M59" s="240">
        <f>SUM(M47:M58)</f>
        <v/>
      </c>
      <c r="O59" s="233" t="n"/>
      <c r="P59" s="19">
        <f>(K59/L59)-1</f>
        <v/>
      </c>
    </row>
    <row hidden="1" r="60">
      <c r="B60" t="inlineStr">
        <is>
          <t>SPE7M5-17-V-7267</t>
        </is>
      </c>
      <c r="C60" t="n">
        <v>1</v>
      </c>
      <c r="E60" t="n">
        <v>11</v>
      </c>
      <c r="F60" t="inlineStr">
        <is>
          <t>R. KERN</t>
        </is>
      </c>
      <c r="G60" s="4" t="n">
        <v>42919</v>
      </c>
      <c r="H60" t="n">
        <v>90</v>
      </c>
      <c r="I60" t="inlineStr">
        <is>
          <t>WSJY01</t>
        </is>
      </c>
      <c r="K60" s="236" t="n">
        <v>1460.69</v>
      </c>
      <c r="L60" s="233" t="n">
        <v>1425.27</v>
      </c>
      <c r="M60" s="233">
        <f>K60-L60</f>
        <v/>
      </c>
      <c r="N60" s="233" t="n">
        <v>12.26</v>
      </c>
      <c r="O60" s="233">
        <f>M60-N60</f>
        <v/>
      </c>
      <c r="P60" s="19">
        <f>(K60/L60)-1</f>
        <v/>
      </c>
    </row>
    <row hidden="1" r="61">
      <c r="B61" t="inlineStr">
        <is>
          <t>SPE7M1-17-V-A184</t>
        </is>
      </c>
      <c r="C61" t="n">
        <v>2</v>
      </c>
      <c r="E61" t="n">
        <v>2</v>
      </c>
      <c r="F61" t="inlineStr">
        <is>
          <t>ALLEN</t>
        </is>
      </c>
      <c r="G61" s="4" t="n">
        <v>42919</v>
      </c>
      <c r="H61" t="n">
        <v>220</v>
      </c>
      <c r="I61" t="inlineStr">
        <is>
          <t>WSJY02</t>
        </is>
      </c>
      <c r="K61" s="236" t="n">
        <v>1459.24</v>
      </c>
      <c r="L61" s="233" t="n">
        <v>1434</v>
      </c>
      <c r="M61" s="233">
        <f>K61-L61</f>
        <v/>
      </c>
      <c r="N61" s="233" t="n">
        <v>12.23</v>
      </c>
      <c r="O61" s="233">
        <f>M61-N61</f>
        <v/>
      </c>
      <c r="P61" s="19">
        <f>(K61/L61)-1</f>
        <v/>
      </c>
    </row>
    <row hidden="1" r="62">
      <c r="B62" t="inlineStr">
        <is>
          <t>SPE7M5-17-V-7313</t>
        </is>
      </c>
      <c r="C62" t="n">
        <v>3</v>
      </c>
      <c r="E62" t="n">
        <v>6</v>
      </c>
      <c r="F62" t="inlineStr">
        <is>
          <t>CSANTENA</t>
        </is>
      </c>
      <c r="G62" s="4" t="n">
        <v>42922</v>
      </c>
      <c r="H62" t="n">
        <v>90</v>
      </c>
      <c r="I62" t="inlineStr">
        <is>
          <t>WSJY03</t>
        </is>
      </c>
      <c r="K62" s="232" t="n">
        <v>3153.6</v>
      </c>
      <c r="L62" s="233" t="n">
        <v>3120</v>
      </c>
      <c r="M62" s="233">
        <f>K62-L62</f>
        <v/>
      </c>
      <c r="O62" s="233">
        <f>M62-N62</f>
        <v/>
      </c>
      <c r="P62" s="19">
        <f>(K62/L62)-1</f>
        <v/>
      </c>
    </row>
    <row hidden="1" r="63">
      <c r="B63" t="inlineStr">
        <is>
          <t>SPE7M5-17-V-7348</t>
        </is>
      </c>
      <c r="C63" t="n">
        <v>4</v>
      </c>
      <c r="E63" t="n">
        <v>1</v>
      </c>
      <c r="F63" t="inlineStr">
        <is>
          <t>CSANTENA</t>
        </is>
      </c>
      <c r="G63" s="4" t="n">
        <v>42922</v>
      </c>
      <c r="H63" t="n">
        <v>90</v>
      </c>
      <c r="I63" t="inlineStr">
        <is>
          <t>WSJY04</t>
        </is>
      </c>
      <c r="K63" s="237" t="n">
        <v>1561.3</v>
      </c>
      <c r="L63" s="233" t="n">
        <v>1533.82</v>
      </c>
      <c r="M63" s="233">
        <f>K63-L63</f>
        <v/>
      </c>
      <c r="O63" s="233">
        <f>M63-N63</f>
        <v/>
      </c>
      <c r="P63" s="19">
        <f>(K63/L63)-1</f>
        <v/>
      </c>
    </row>
    <row hidden="1" r="64">
      <c r="B64" t="inlineStr">
        <is>
          <t>SPE7M5-17-V-7399</t>
        </is>
      </c>
      <c r="C64" t="n">
        <v>5</v>
      </c>
      <c r="E64" t="n">
        <v>11</v>
      </c>
      <c r="F64" t="inlineStr">
        <is>
          <t>R. KERN</t>
        </is>
      </c>
      <c r="G64" s="4" t="n">
        <v>42923</v>
      </c>
      <c r="H64" t="n">
        <v>100</v>
      </c>
      <c r="I64" s="51" t="inlineStr">
        <is>
          <t>WSJY05</t>
        </is>
      </c>
      <c r="J64" s="51" t="n"/>
      <c r="K64" s="236" t="n">
        <v>899.58</v>
      </c>
      <c r="L64" s="233" t="n">
        <v>863.83</v>
      </c>
      <c r="M64" s="233">
        <f>K64-L64</f>
        <v/>
      </c>
      <c r="N64" s="233" t="n">
        <v>9.640000000000001</v>
      </c>
      <c r="O64" s="233">
        <f>M64-N64</f>
        <v/>
      </c>
      <c r="P64" s="19">
        <f>(K64/L64)-1</f>
        <v/>
      </c>
    </row>
    <row hidden="1" r="65">
      <c r="B65" t="inlineStr">
        <is>
          <t>SPE4A5-17-V-3722</t>
        </is>
      </c>
      <c r="C65" t="n">
        <v>6</v>
      </c>
      <c r="E65" s="51" t="n">
        <v>8</v>
      </c>
      <c r="F65" t="inlineStr">
        <is>
          <t>GEMS</t>
        </is>
      </c>
      <c r="G65" s="4" t="n">
        <v>42923</v>
      </c>
      <c r="H65" t="n">
        <v>60</v>
      </c>
      <c r="I65" t="inlineStr">
        <is>
          <t>WSJY06</t>
        </is>
      </c>
      <c r="K65" s="236" t="n">
        <v>6976</v>
      </c>
      <c r="L65" s="241" t="n">
        <v>6880</v>
      </c>
      <c r="M65" s="233">
        <f>K65-L65</f>
        <v/>
      </c>
      <c r="N65" s="233">
        <f>29.89+24.83</f>
        <v/>
      </c>
      <c r="O65" s="233">
        <f>M65-N65</f>
        <v/>
      </c>
      <c r="P65" s="19">
        <f>(K65/L65)-1</f>
        <v/>
      </c>
    </row>
    <row hidden="1" r="66">
      <c r="B66" t="inlineStr">
        <is>
          <t>SPE7M0-17-V-A734</t>
        </is>
      </c>
      <c r="C66" t="n">
        <v>7</v>
      </c>
      <c r="E66" t="n">
        <v>18</v>
      </c>
      <c r="F66" t="inlineStr">
        <is>
          <t>Pasternack</t>
        </is>
      </c>
      <c r="G66" s="4" t="n">
        <v>42926</v>
      </c>
      <c r="H66" t="n">
        <v>40</v>
      </c>
      <c r="I66" t="inlineStr">
        <is>
          <t>WSJY07</t>
        </is>
      </c>
      <c r="K66" s="238" t="n">
        <v>768.0599999999999</v>
      </c>
      <c r="L66" s="233" t="n">
        <v>730.62</v>
      </c>
      <c r="M66" s="233">
        <f>K66-L66</f>
        <v/>
      </c>
      <c r="O66" s="233">
        <f>M66-N66</f>
        <v/>
      </c>
      <c r="P66" s="19">
        <f>(K66/L66)-1</f>
        <v/>
      </c>
    </row>
    <row hidden="1" r="67">
      <c r="B67" t="inlineStr">
        <is>
          <t>SPE7M5-17-V-7498</t>
        </is>
      </c>
      <c r="C67" t="n">
        <v>8</v>
      </c>
      <c r="E67" t="n">
        <v>16</v>
      </c>
      <c r="F67" s="49" t="inlineStr">
        <is>
          <t>Data Delay</t>
        </is>
      </c>
      <c r="G67" s="4" t="n">
        <v>42927</v>
      </c>
      <c r="H67" t="n">
        <v>70</v>
      </c>
      <c r="I67" t="inlineStr">
        <is>
          <t>WSJY08</t>
        </is>
      </c>
      <c r="K67" s="237" t="n">
        <v>815.04</v>
      </c>
      <c r="L67" s="233" t="n">
        <v>784</v>
      </c>
      <c r="M67" s="233">
        <f>K67-L67</f>
        <v/>
      </c>
      <c r="N67" t="n">
        <v>12.61</v>
      </c>
      <c r="O67" s="233">
        <f>M67-N67</f>
        <v/>
      </c>
      <c r="P67" s="19">
        <f>(K67/L67)-1</f>
        <v/>
      </c>
    </row>
    <row hidden="1" r="68">
      <c r="B68" s="22" t="inlineStr">
        <is>
          <t>SPE4A6-17-P-H181</t>
        </is>
      </c>
      <c r="C68" t="n">
        <v>9</v>
      </c>
      <c r="E68" t="n">
        <v>20</v>
      </c>
      <c r="F68" t="inlineStr">
        <is>
          <t>GEMS</t>
        </is>
      </c>
      <c r="G68" s="4" t="n">
        <v>42928</v>
      </c>
      <c r="H68" t="n">
        <v>90</v>
      </c>
      <c r="I68" s="51" t="inlineStr">
        <is>
          <t>WSJY09</t>
        </is>
      </c>
      <c r="J68" s="51" t="n"/>
      <c r="K68" s="232" t="n">
        <v>0</v>
      </c>
      <c r="L68" s="233" t="n">
        <v>0</v>
      </c>
      <c r="M68" s="233">
        <f>K68-L68</f>
        <v/>
      </c>
      <c r="O68" s="233">
        <f>M68-N68</f>
        <v/>
      </c>
      <c r="P68" s="19" t="inlineStr">
        <is>
          <t>Cancelled</t>
        </is>
      </c>
    </row>
    <row hidden="1" r="69">
      <c r="B69" t="inlineStr">
        <is>
          <t>SPE4A6-17-P-H261</t>
        </is>
      </c>
      <c r="C69" t="n">
        <v>10</v>
      </c>
      <c r="E69" t="n">
        <v>111</v>
      </c>
      <c r="F69" t="inlineStr">
        <is>
          <t>Newport</t>
        </is>
      </c>
      <c r="H69" t="n">
        <v>60</v>
      </c>
      <c r="I69" t="inlineStr">
        <is>
          <t>WSJY10</t>
        </is>
      </c>
      <c r="K69" s="237" t="n">
        <v>16899.75</v>
      </c>
      <c r="L69" s="233" t="n">
        <v>16566</v>
      </c>
      <c r="M69" s="233">
        <f>K69-L69</f>
        <v/>
      </c>
      <c r="N69" t="n">
        <v>0</v>
      </c>
      <c r="O69" s="233">
        <f>M69-N69</f>
        <v/>
      </c>
      <c r="P69" s="19">
        <f>(K69/L69)-1</f>
        <v/>
      </c>
    </row>
    <row hidden="1" r="70">
      <c r="B70" t="inlineStr">
        <is>
          <t>SPE7M8-17-P-2980</t>
        </is>
      </c>
      <c r="C70" t="n">
        <v>11</v>
      </c>
      <c r="E70" t="n">
        <v>3</v>
      </c>
      <c r="F70" t="inlineStr">
        <is>
          <t>GEMS</t>
        </is>
      </c>
      <c r="G70" s="4" t="n">
        <v>42933</v>
      </c>
      <c r="H70" t="n">
        <v>110</v>
      </c>
      <c r="I70" t="inlineStr">
        <is>
          <t>WSJY11</t>
        </is>
      </c>
      <c r="K70" s="237" t="n">
        <v>5513.82</v>
      </c>
      <c r="L70" s="239" t="n">
        <v>5448.94</v>
      </c>
      <c r="M70" s="233">
        <f>K70-L70</f>
        <v/>
      </c>
      <c r="N70" t="n">
        <v>22.59</v>
      </c>
      <c r="O70" s="233">
        <f>M70-N70</f>
        <v/>
      </c>
      <c r="P70" s="19">
        <f>(K70/L70)-1</f>
        <v/>
      </c>
    </row>
    <row hidden="1" r="71">
      <c r="B71" t="inlineStr">
        <is>
          <t>SPE7M5-17-V-7674</t>
        </is>
      </c>
      <c r="C71" t="n">
        <v>12</v>
      </c>
      <c r="E71" t="n">
        <v>26</v>
      </c>
      <c r="F71" t="inlineStr">
        <is>
          <t>R. KERN</t>
        </is>
      </c>
      <c r="G71" s="4" t="n">
        <v>42934</v>
      </c>
      <c r="H71" t="n">
        <v>100</v>
      </c>
      <c r="I71" t="inlineStr">
        <is>
          <t>WSJY12</t>
        </is>
      </c>
      <c r="K71" s="236" t="n">
        <v>3532.62</v>
      </c>
      <c r="L71" s="233" t="n">
        <v>3484.26</v>
      </c>
      <c r="M71" s="233">
        <f>K71-L71</f>
        <v/>
      </c>
      <c r="N71" s="233" t="n">
        <v>12.26</v>
      </c>
      <c r="O71" s="233">
        <f>M71-N71</f>
        <v/>
      </c>
      <c r="P71" s="19">
        <f>(K71/L71)-1</f>
        <v/>
      </c>
    </row>
    <row hidden="1" r="72">
      <c r="B72" t="inlineStr">
        <is>
          <t>SPE7L1-17-V-6747</t>
        </is>
      </c>
      <c r="C72" t="n">
        <v>13</v>
      </c>
      <c r="E72" t="n">
        <v>20</v>
      </c>
      <c r="F72" t="inlineStr">
        <is>
          <t>PG</t>
        </is>
      </c>
      <c r="H72" t="n">
        <v>90</v>
      </c>
      <c r="I72" t="inlineStr">
        <is>
          <t>WSJY13</t>
        </is>
      </c>
      <c r="K72" s="85" t="n">
        <v>6588</v>
      </c>
      <c r="L72" s="230">
        <f>325.46*20</f>
        <v/>
      </c>
      <c r="M72" s="233">
        <f>K72-L72</f>
        <v/>
      </c>
      <c r="N72">
        <f>23.89+23.89</f>
        <v/>
      </c>
      <c r="O72" s="233">
        <f>M72-N72</f>
        <v/>
      </c>
      <c r="P72" s="19">
        <f>(K72/L72)-1</f>
        <v/>
      </c>
    </row>
    <row hidden="1" r="73">
      <c r="B73" t="inlineStr">
        <is>
          <t>SPE7M1-17-V-A589</t>
        </is>
      </c>
      <c r="C73" t="n">
        <v>14</v>
      </c>
      <c r="E73" t="n">
        <v>1</v>
      </c>
      <c r="F73" t="inlineStr">
        <is>
          <t>GEMS</t>
        </is>
      </c>
      <c r="G73" s="4" t="n">
        <v>42936</v>
      </c>
      <c r="H73" t="n">
        <v>70</v>
      </c>
      <c r="I73" t="inlineStr">
        <is>
          <t>WSJY14</t>
        </is>
      </c>
      <c r="K73" t="n">
        <v>888.24</v>
      </c>
      <c r="L73" s="239" t="n">
        <v>869.5</v>
      </c>
      <c r="M73" s="233">
        <f>K73-L73</f>
        <v/>
      </c>
      <c r="N73">
        <f>19.97+3.45</f>
        <v/>
      </c>
      <c r="O73" s="233">
        <f>M73-N73</f>
        <v/>
      </c>
      <c r="P73" s="19">
        <f>(K73/L73)-1</f>
        <v/>
      </c>
      <c r="Q73" t="inlineStr">
        <is>
          <t>WSNV001</t>
        </is>
      </c>
      <c r="R73" t="inlineStr">
        <is>
          <t>WSNVI001</t>
        </is>
      </c>
      <c r="S73" t="inlineStr">
        <is>
          <t>2F120374D523630000000058</t>
        </is>
      </c>
    </row>
    <row hidden="1" r="74">
      <c r="B74" t="inlineStr">
        <is>
          <t>SPE7M5-17-V-7826</t>
        </is>
      </c>
      <c r="C74" t="n">
        <v>15</v>
      </c>
      <c r="E74" t="n">
        <v>14</v>
      </c>
      <c r="F74" s="49" t="inlineStr">
        <is>
          <t>Digi</t>
        </is>
      </c>
      <c r="G74" s="4" t="n">
        <v>42937</v>
      </c>
      <c r="H74" t="n">
        <v>40</v>
      </c>
      <c r="I74" t="inlineStr">
        <is>
          <t>WSJY15</t>
        </is>
      </c>
      <c r="K74" s="237" t="n">
        <v>484.68</v>
      </c>
      <c r="L74" s="233" t="n">
        <v>447.3</v>
      </c>
      <c r="M74" s="233">
        <f>K74-L74</f>
        <v/>
      </c>
      <c r="O74" s="233">
        <f>M74-N74</f>
        <v/>
      </c>
      <c r="P74" s="19">
        <f>(K74/L74)-1</f>
        <v/>
      </c>
    </row>
    <row hidden="1" r="75">
      <c r="B75" t="inlineStr">
        <is>
          <t>SPE4A6-17-P-J097</t>
        </is>
      </c>
      <c r="C75" t="n">
        <v>16</v>
      </c>
      <c r="E75" t="n">
        <v>2</v>
      </c>
      <c r="F75" t="inlineStr">
        <is>
          <t>GEMS</t>
        </is>
      </c>
      <c r="G75" s="4" t="n">
        <v>42941</v>
      </c>
      <c r="H75" t="n">
        <v>100</v>
      </c>
      <c r="I75" t="inlineStr">
        <is>
          <t>WSJY16</t>
        </is>
      </c>
      <c r="K75" s="237" t="n">
        <v>4474.6</v>
      </c>
      <c r="L75" s="239" t="n">
        <v>4435.37</v>
      </c>
      <c r="M75" s="233">
        <f>K75-L75</f>
        <v/>
      </c>
      <c r="N75" t="n">
        <v>37.7</v>
      </c>
      <c r="O75" s="233">
        <f>M75-N75</f>
        <v/>
      </c>
      <c r="P75" s="19">
        <f>(K75/L75)-1</f>
        <v/>
      </c>
    </row>
    <row hidden="1" r="76">
      <c r="B76" t="inlineStr">
        <is>
          <t>SPE7M5-17-V-7903</t>
        </is>
      </c>
      <c r="C76" t="n">
        <v>17</v>
      </c>
      <c r="E76" t="n">
        <v>104</v>
      </c>
      <c r="F76" t="inlineStr">
        <is>
          <t>Glenair</t>
        </is>
      </c>
      <c r="G76" s="4" t="n">
        <v>42941</v>
      </c>
      <c r="H76" t="n">
        <v>70</v>
      </c>
      <c r="I76" t="inlineStr">
        <is>
          <t>WSJY17</t>
        </is>
      </c>
      <c r="K76" s="85" t="n">
        <v>1847.04</v>
      </c>
      <c r="L76" s="247" t="n">
        <v>1780.48</v>
      </c>
      <c r="M76" s="233">
        <f>K76-L76</f>
        <v/>
      </c>
      <c r="N76" t="n">
        <v>13.11</v>
      </c>
      <c r="O76" s="233">
        <f>M76-N76</f>
        <v/>
      </c>
      <c r="P76" s="19">
        <f>(K76/L76)-1</f>
        <v/>
      </c>
    </row>
    <row hidden="1" r="77">
      <c r="B77" t="inlineStr">
        <is>
          <t>SPE7M0-17-P-4545</t>
        </is>
      </c>
      <c r="C77" t="n">
        <v>18</v>
      </c>
      <c r="E77" t="n">
        <v>6</v>
      </c>
      <c r="F77" s="49" t="inlineStr">
        <is>
          <t>MUNTER</t>
        </is>
      </c>
      <c r="G77" s="4" t="n">
        <v>42942</v>
      </c>
      <c r="H77" t="n">
        <v>70</v>
      </c>
      <c r="I77" t="inlineStr">
        <is>
          <t>WSJY18</t>
        </is>
      </c>
      <c r="K77" s="237" t="n">
        <v>1827.36</v>
      </c>
      <c r="L77" s="233" t="n">
        <v>1794</v>
      </c>
      <c r="M77" s="233">
        <f>K77-L77</f>
        <v/>
      </c>
      <c r="N77" t="n">
        <v>11.19</v>
      </c>
      <c r="O77" s="233">
        <f>M77-N77</f>
        <v/>
      </c>
      <c r="P77" s="19">
        <f>(K77/L77)-1</f>
        <v/>
      </c>
    </row>
    <row hidden="1" r="78">
      <c r="B78" t="inlineStr">
        <is>
          <t>SPE7M5-17-P-C447</t>
        </is>
      </c>
      <c r="C78" t="n">
        <v>19</v>
      </c>
      <c r="E78" t="n">
        <v>10</v>
      </c>
      <c r="F78" t="inlineStr">
        <is>
          <t>EMPOWER</t>
        </is>
      </c>
      <c r="G78" s="4" t="n">
        <v>42942</v>
      </c>
      <c r="H78" t="n">
        <v>70</v>
      </c>
      <c r="I78" t="inlineStr">
        <is>
          <t>WSJY19</t>
        </is>
      </c>
      <c r="K78" s="237" t="n">
        <v>40636</v>
      </c>
      <c r="L78" s="230" t="n">
        <v>40000</v>
      </c>
      <c r="M78" s="233">
        <f>K78-L78</f>
        <v/>
      </c>
      <c r="N78" t="n">
        <v>25</v>
      </c>
      <c r="O78" s="233">
        <f>M78-N78</f>
        <v/>
      </c>
      <c r="P78" s="19">
        <f>(K78/L78)-1</f>
        <v/>
      </c>
    </row>
    <row hidden="1" r="79">
      <c r="K79" s="240">
        <f>SUM(K60:K78)</f>
        <v/>
      </c>
      <c r="L79" s="233">
        <f>SUM(L60:L78)</f>
        <v/>
      </c>
      <c r="M79" s="240">
        <f>SUM(M60:M78)</f>
        <v/>
      </c>
      <c r="O79" s="233" t="n"/>
      <c r="P79" s="92">
        <f>(K79/L79)-1</f>
        <v/>
      </c>
    </row>
    <row hidden="1" r="80">
      <c r="B80" t="inlineStr">
        <is>
          <t>SPE7MC-17-V-B556</t>
        </is>
      </c>
      <c r="C80" t="n">
        <v>1</v>
      </c>
      <c r="E80" t="n">
        <v>1</v>
      </c>
      <c r="F80" t="inlineStr">
        <is>
          <t>GRISWOLD</t>
        </is>
      </c>
      <c r="G80" s="4" t="n">
        <v>42948</v>
      </c>
      <c r="H80" t="n">
        <v>120</v>
      </c>
      <c r="I80" t="inlineStr">
        <is>
          <t>WSAU01</t>
        </is>
      </c>
      <c r="K80" s="237" t="n">
        <v>78</v>
      </c>
      <c r="L80" s="247" t="n">
        <v>110</v>
      </c>
      <c r="M80" s="233">
        <f>K80-L80</f>
        <v/>
      </c>
      <c r="N80" t="n">
        <v>11.06</v>
      </c>
      <c r="O80" s="233">
        <f>M80-N80</f>
        <v/>
      </c>
      <c r="P80" s="19">
        <f>(K80/L80)-1</f>
        <v/>
      </c>
    </row>
    <row hidden="1" r="81">
      <c r="B81" s="95" t="inlineStr">
        <is>
          <t>SPE5E8-17-V-7702</t>
        </is>
      </c>
      <c r="C81" t="n">
        <v>2</v>
      </c>
      <c r="E81" t="n">
        <v>11</v>
      </c>
      <c r="F81" t="inlineStr">
        <is>
          <t>East/West Industries</t>
        </is>
      </c>
      <c r="G81" s="4" t="n">
        <v>42951</v>
      </c>
      <c r="H81" t="n">
        <v>180</v>
      </c>
      <c r="I81" t="inlineStr">
        <is>
          <t>WSAU02</t>
        </is>
      </c>
      <c r="K81" s="232" t="n">
        <v>3804.57</v>
      </c>
      <c r="L81" s="233" t="n">
        <v>3762</v>
      </c>
      <c r="M81" s="233">
        <f>K81-L81</f>
        <v/>
      </c>
      <c r="N81" t="n">
        <v>11.9</v>
      </c>
      <c r="O81" s="233">
        <f>M81-N81</f>
        <v/>
      </c>
      <c r="P81" s="19">
        <f>(K81/L81)-1</f>
        <v/>
      </c>
    </row>
    <row hidden="1" r="82">
      <c r="B82" t="inlineStr">
        <is>
          <t>SPE4A6-17-P-J869</t>
        </is>
      </c>
      <c r="C82" t="n">
        <v>3</v>
      </c>
      <c r="E82" t="n">
        <v>1</v>
      </c>
      <c r="F82" t="inlineStr">
        <is>
          <t>GEMS SENSORS INC</t>
        </is>
      </c>
      <c r="G82" s="4" t="n">
        <v>42951</v>
      </c>
      <c r="H82" t="n">
        <v>100</v>
      </c>
      <c r="I82" t="inlineStr">
        <is>
          <t>WSAU03</t>
        </is>
      </c>
      <c r="K82" s="237" t="n">
        <v>6161.34</v>
      </c>
      <c r="L82" s="233" t="n">
        <v>6099.04</v>
      </c>
      <c r="M82" s="233">
        <f>K82-L82</f>
        <v/>
      </c>
      <c r="N82" t="n">
        <v>46.38</v>
      </c>
      <c r="O82" s="233">
        <f>M82-N82</f>
        <v/>
      </c>
      <c r="P82" s="19">
        <f>(K82/L82)-1</f>
        <v/>
      </c>
    </row>
    <row hidden="1" r="83">
      <c r="B83" t="inlineStr">
        <is>
          <t>SPE7M0-17-P-4702</t>
        </is>
      </c>
      <c r="C83" t="n">
        <v>4</v>
      </c>
      <c r="E83" t="n">
        <v>1</v>
      </c>
      <c r="F83" t="inlineStr">
        <is>
          <t>CAMERON</t>
        </is>
      </c>
      <c r="G83" s="4" t="n">
        <v>42951</v>
      </c>
      <c r="H83" t="n">
        <v>180</v>
      </c>
      <c r="I83" t="inlineStr">
        <is>
          <t>WSAU04</t>
        </is>
      </c>
      <c r="K83" s="237" t="n">
        <v>5086.68</v>
      </c>
      <c r="L83" s="248" t="n">
        <v>4968</v>
      </c>
      <c r="M83" s="233">
        <f>K83-L83</f>
        <v/>
      </c>
      <c r="O83" s="233">
        <f>M83-N83</f>
        <v/>
      </c>
      <c r="P83" s="19">
        <f>(K83/L83)-1</f>
        <v/>
      </c>
    </row>
    <row hidden="1" r="84">
      <c r="B84" t="inlineStr">
        <is>
          <t>SPE7M5-17-V-8287</t>
        </is>
      </c>
      <c r="C84" t="n">
        <v>5</v>
      </c>
      <c r="E84" t="n">
        <v>3</v>
      </c>
      <c r="F84" t="inlineStr">
        <is>
          <t>Glenair</t>
        </is>
      </c>
      <c r="G84" s="4" t="n">
        <v>42954</v>
      </c>
      <c r="H84" t="n">
        <v>60</v>
      </c>
      <c r="I84" t="inlineStr">
        <is>
          <t>WSAU05</t>
        </is>
      </c>
      <c r="K84" s="236" t="n">
        <v>476.82</v>
      </c>
      <c r="L84" s="249" t="n">
        <v>450.33</v>
      </c>
      <c r="M84" s="230">
        <f>K84-L84</f>
        <v/>
      </c>
      <c r="N84" t="n">
        <v>9.619999999999999</v>
      </c>
      <c r="O84" s="233">
        <f>M84-N84</f>
        <v/>
      </c>
      <c r="P84" s="19">
        <f>(K84/L84)-1</f>
        <v/>
      </c>
    </row>
    <row hidden="1" r="85">
      <c r="B85" t="inlineStr">
        <is>
          <t>SPE5E0-17-V-4974</t>
        </is>
      </c>
      <c r="C85" t="n">
        <v>6</v>
      </c>
      <c r="E85" t="n">
        <v>1</v>
      </c>
      <c r="F85" t="inlineStr">
        <is>
          <t>CSANTENNA</t>
        </is>
      </c>
      <c r="G85" s="4" t="n">
        <v>42955</v>
      </c>
      <c r="H85" t="n">
        <v>60</v>
      </c>
      <c r="I85" t="inlineStr">
        <is>
          <t>WSAU06</t>
        </is>
      </c>
      <c r="K85" s="236" t="n">
        <v>404.89</v>
      </c>
      <c r="L85" s="230" t="n">
        <v>387.75</v>
      </c>
      <c r="M85" s="230">
        <f>K85-L85</f>
        <v/>
      </c>
      <c r="O85" s="233">
        <f>M85-N85</f>
        <v/>
      </c>
      <c r="P85" s="19">
        <f>(K85/L85)-1</f>
        <v/>
      </c>
    </row>
    <row hidden="1" r="86">
      <c r="B86" t="inlineStr">
        <is>
          <t>SPE7M1-17-P-7567</t>
        </is>
      </c>
      <c r="C86" t="n">
        <v>7</v>
      </c>
      <c r="E86" t="n">
        <v>2</v>
      </c>
      <c r="F86" t="inlineStr">
        <is>
          <t>GEMS SENSORS INC</t>
        </is>
      </c>
      <c r="G86" s="4" t="n">
        <v>42956</v>
      </c>
      <c r="H86" t="n">
        <v>120</v>
      </c>
      <c r="I86" t="inlineStr">
        <is>
          <t>WSAU07</t>
        </is>
      </c>
      <c r="J86" s="51" t="inlineStr">
        <is>
          <t>NOPAID</t>
        </is>
      </c>
      <c r="K86" s="230" t="n">
        <v>4672.54</v>
      </c>
      <c r="L86" s="250" t="n">
        <v>4622.78</v>
      </c>
      <c r="M86" s="230">
        <f>K86-L86</f>
        <v/>
      </c>
      <c r="N86" t="n">
        <v>14.73</v>
      </c>
      <c r="O86" s="233">
        <f>M86-N86</f>
        <v/>
      </c>
      <c r="P86" s="19">
        <f>(K86/L86)-1</f>
        <v/>
      </c>
    </row>
    <row hidden="1" r="87">
      <c r="B87" t="inlineStr">
        <is>
          <t>SPE7M0-17-P-4771</t>
        </is>
      </c>
      <c r="C87" t="n">
        <v>8</v>
      </c>
      <c r="E87" t="n">
        <v>2</v>
      </c>
      <c r="F87" t="inlineStr">
        <is>
          <t>GEMS SENSORS INC</t>
        </is>
      </c>
      <c r="G87" s="4" t="n">
        <v>42956</v>
      </c>
      <c r="H87" t="n">
        <v>60</v>
      </c>
      <c r="I87" s="51" t="inlineStr">
        <is>
          <t>WSAU08</t>
        </is>
      </c>
      <c r="K87" s="230" t="n">
        <v>1513.88</v>
      </c>
      <c r="L87" s="251" t="n">
        <v>1470</v>
      </c>
      <c r="M87" s="230">
        <f>K87-L87</f>
        <v/>
      </c>
      <c r="O87" s="233">
        <f>M87-N87</f>
        <v/>
      </c>
      <c r="P87" s="19">
        <f>(K87/L87)-1</f>
        <v/>
      </c>
    </row>
    <row hidden="1" r="88">
      <c r="B88" t="inlineStr">
        <is>
          <t>SPE7L2-17-V-1691</t>
        </is>
      </c>
      <c r="C88" t="n">
        <v>9</v>
      </c>
      <c r="E88" t="n">
        <v>16</v>
      </c>
      <c r="F88" t="inlineStr">
        <is>
          <t>MORPAC</t>
        </is>
      </c>
      <c r="G88" s="4" t="n">
        <v>42956</v>
      </c>
      <c r="H88" t="n">
        <v>120</v>
      </c>
      <c r="I88" t="inlineStr">
        <is>
          <t>WSAU09</t>
        </is>
      </c>
      <c r="K88" s="236" t="n">
        <v>649.92</v>
      </c>
      <c r="L88" s="249" t="n">
        <v>614.1799999999999</v>
      </c>
      <c r="M88" s="230">
        <f>K88-L88</f>
        <v/>
      </c>
      <c r="N88" t="n">
        <v>9.619999999999999</v>
      </c>
      <c r="O88" s="233">
        <f>M88-N88</f>
        <v/>
      </c>
      <c r="P88" s="19">
        <f>(K88/L88)-1</f>
        <v/>
      </c>
    </row>
    <row hidden="1" r="89">
      <c r="B89" t="inlineStr">
        <is>
          <t>SPE7MC-17-V-B755</t>
        </is>
      </c>
      <c r="C89" t="n">
        <v>10</v>
      </c>
      <c r="E89" t="n">
        <v>14</v>
      </c>
      <c r="F89" t="inlineStr">
        <is>
          <t>MORPAC</t>
        </is>
      </c>
      <c r="G89" s="4" t="n">
        <v>42956</v>
      </c>
      <c r="H89" t="n">
        <v>120</v>
      </c>
      <c r="I89" t="inlineStr">
        <is>
          <t>WSAU10</t>
        </is>
      </c>
      <c r="K89" s="236" t="n">
        <v>4152.12</v>
      </c>
      <c r="L89" s="230" t="n">
        <v>4081.42</v>
      </c>
      <c r="M89" s="230">
        <f>K89-L89</f>
        <v/>
      </c>
      <c r="N89" s="230" t="n">
        <v>18.07</v>
      </c>
      <c r="O89" s="233">
        <f>M89-N89</f>
        <v/>
      </c>
      <c r="P89" s="19">
        <f>(K89/L89)-1</f>
        <v/>
      </c>
    </row>
    <row hidden="1" r="90">
      <c r="B90" t="inlineStr">
        <is>
          <t>SPE7L1-17-V-7185</t>
        </is>
      </c>
      <c r="C90" t="n">
        <v>11</v>
      </c>
      <c r="E90" t="n">
        <v>7</v>
      </c>
      <c r="F90" t="inlineStr">
        <is>
          <t>MORPAC</t>
        </is>
      </c>
      <c r="G90" s="4" t="n">
        <v>42956</v>
      </c>
      <c r="H90" t="n">
        <v>120</v>
      </c>
      <c r="I90" t="inlineStr">
        <is>
          <t>WSAU11</t>
        </is>
      </c>
      <c r="K90" s="236" t="n">
        <v>1496.11</v>
      </c>
      <c r="L90" s="230" t="n">
        <v>1464.82</v>
      </c>
      <c r="M90" s="230">
        <f>K90-L90</f>
        <v/>
      </c>
      <c r="N90" s="230" t="n">
        <v>17.07</v>
      </c>
      <c r="O90" s="233">
        <f>M90-N90</f>
        <v/>
      </c>
      <c r="P90" s="19">
        <f>(K90/L90)-1</f>
        <v/>
      </c>
    </row>
    <row hidden="1" r="91">
      <c r="B91" t="inlineStr">
        <is>
          <t>SPE7M8-17-V-1568</t>
        </is>
      </c>
      <c r="C91" t="n">
        <v>12</v>
      </c>
      <c r="E91" t="n">
        <v>1</v>
      </c>
      <c r="F91" t="inlineStr">
        <is>
          <t>GEMS SENSORS INC</t>
        </is>
      </c>
      <c r="G91" s="4" t="n">
        <v>42957</v>
      </c>
      <c r="H91" t="n">
        <v>120</v>
      </c>
      <c r="I91" s="48" t="inlineStr">
        <is>
          <t>WSAU12</t>
        </is>
      </c>
      <c r="J91" s="48" t="n"/>
      <c r="K91" s="236" t="n">
        <v>1107.68</v>
      </c>
      <c r="L91" s="250" t="n">
        <v>1076.38</v>
      </c>
      <c r="M91" s="230">
        <f>K91-L91</f>
        <v/>
      </c>
      <c r="N91" t="n">
        <v>11.96</v>
      </c>
      <c r="O91" s="233">
        <f>M91-N91</f>
        <v/>
      </c>
      <c r="P91" s="19">
        <f>(K91/L91)-1</f>
        <v/>
      </c>
    </row>
    <row hidden="1" r="92">
      <c r="B92" t="inlineStr">
        <is>
          <t>SPE5EK-17-V-6042</t>
        </is>
      </c>
      <c r="C92" t="n">
        <v>13</v>
      </c>
      <c r="E92" t="n">
        <v>22</v>
      </c>
      <c r="F92" t="inlineStr">
        <is>
          <t>CSANTENNA</t>
        </is>
      </c>
      <c r="G92" s="4" t="n">
        <v>42958</v>
      </c>
      <c r="H92" t="n">
        <v>60</v>
      </c>
      <c r="I92" s="67" t="inlineStr">
        <is>
          <t>WSAU13</t>
        </is>
      </c>
      <c r="J92" s="67" t="n"/>
      <c r="K92" s="236" t="n">
        <v>3182.96</v>
      </c>
      <c r="L92" s="230" t="n">
        <v>3143.14</v>
      </c>
      <c r="M92" s="230">
        <f>K92-L92</f>
        <v/>
      </c>
      <c r="O92" s="233">
        <f>M92-N92</f>
        <v/>
      </c>
      <c r="P92" s="19">
        <f>(K92/L92)-1</f>
        <v/>
      </c>
    </row>
    <row hidden="1" r="93">
      <c r="B93" t="inlineStr">
        <is>
          <t>SPE7M5-17-V-8610</t>
        </is>
      </c>
      <c r="C93" t="n">
        <v>14</v>
      </c>
      <c r="E93" t="n">
        <v>1</v>
      </c>
      <c r="F93" s="71" t="inlineStr">
        <is>
          <t>Digi</t>
        </is>
      </c>
      <c r="G93" s="4" t="n">
        <v>42959</v>
      </c>
      <c r="H93" t="n">
        <v>30</v>
      </c>
      <c r="I93" t="inlineStr">
        <is>
          <t>WSAU14</t>
        </is>
      </c>
      <c r="K93" s="236" t="n">
        <v>59.87</v>
      </c>
      <c r="L93" s="230" t="n">
        <v>31.95</v>
      </c>
      <c r="M93" s="230">
        <f>K93-L93</f>
        <v/>
      </c>
      <c r="N93" s="230" t="n">
        <v>9.029999999999999</v>
      </c>
      <c r="O93" s="233">
        <f>M93-N93</f>
        <v/>
      </c>
      <c r="P93" s="19">
        <f>(K93/L93)-1</f>
        <v/>
      </c>
    </row>
    <row hidden="1" r="94">
      <c r="B94" t="inlineStr">
        <is>
          <t>SPE7MC-17-V-B839</t>
        </is>
      </c>
      <c r="C94" t="n">
        <v>15</v>
      </c>
      <c r="E94" t="n">
        <v>14</v>
      </c>
      <c r="F94" t="inlineStr">
        <is>
          <t>PBM</t>
        </is>
      </c>
      <c r="G94" s="4" t="n">
        <v>42961</v>
      </c>
      <c r="H94" t="n">
        <v>60</v>
      </c>
      <c r="I94" t="inlineStr">
        <is>
          <t>WSAU15</t>
        </is>
      </c>
      <c r="K94" s="236" t="n">
        <v>1595.16</v>
      </c>
      <c r="L94" s="230" t="n">
        <v>1470</v>
      </c>
      <c r="M94" s="230">
        <f>K94-L94</f>
        <v/>
      </c>
      <c r="N94" s="230">
        <f>8.65+10.76</f>
        <v/>
      </c>
      <c r="O94" s="233">
        <f>M94-N94</f>
        <v/>
      </c>
      <c r="P94" s="19">
        <f>(K94/L94)-1</f>
        <v/>
      </c>
    </row>
    <row hidden="1" r="95">
      <c r="B95" t="inlineStr">
        <is>
          <t>SPE7L3-17-V-9475</t>
        </is>
      </c>
      <c r="C95" t="n">
        <v>16</v>
      </c>
      <c r="E95" t="n">
        <v>40</v>
      </c>
      <c r="F95" t="inlineStr">
        <is>
          <t>DOUGlAS Auto</t>
        </is>
      </c>
      <c r="G95" s="4" t="n">
        <v>42962</v>
      </c>
      <c r="H95" t="n">
        <v>80</v>
      </c>
      <c r="I95" t="inlineStr">
        <is>
          <t>WSAU16</t>
        </is>
      </c>
      <c r="K95" s="236" t="n">
        <v>2437.2</v>
      </c>
      <c r="L95" s="230" t="n">
        <v>2361.6</v>
      </c>
      <c r="M95" s="230">
        <f>K95-L95</f>
        <v/>
      </c>
      <c r="N95" s="230" t="n">
        <v>22.49</v>
      </c>
      <c r="O95" s="233">
        <f>M95-N95</f>
        <v/>
      </c>
      <c r="P95" s="19">
        <f>(K95/L95)-1</f>
        <v/>
      </c>
    </row>
    <row hidden="1" r="96">
      <c r="B96" t="inlineStr">
        <is>
          <t>SPE4A0-17-V-0829</t>
        </is>
      </c>
      <c r="C96" t="n">
        <v>17</v>
      </c>
      <c r="E96" t="n">
        <v>11</v>
      </c>
      <c r="F96" t="inlineStr">
        <is>
          <t>AIROFIT</t>
        </is>
      </c>
      <c r="G96" s="4" t="n">
        <v>42963</v>
      </c>
      <c r="H96" t="n">
        <v>150</v>
      </c>
      <c r="I96" s="51" t="inlineStr">
        <is>
          <t>WSAU17</t>
        </is>
      </c>
      <c r="J96" s="51" t="n"/>
      <c r="K96" s="230" t="n">
        <v>0</v>
      </c>
      <c r="L96" s="230" t="n">
        <v>0</v>
      </c>
      <c r="M96" s="230">
        <f>K96-L96</f>
        <v/>
      </c>
      <c r="O96" s="233">
        <f>M96-N96</f>
        <v/>
      </c>
    </row>
    <row hidden="1" r="97">
      <c r="B97" t="inlineStr">
        <is>
          <t>SPE7MC-17-V-B948</t>
        </is>
      </c>
      <c r="C97" t="n">
        <v>18</v>
      </c>
      <c r="E97" t="n">
        <v>2</v>
      </c>
      <c r="F97" t="inlineStr">
        <is>
          <t>ALLEN</t>
        </is>
      </c>
      <c r="G97" s="4" t="n">
        <v>42964</v>
      </c>
      <c r="H97" t="n">
        <v>220</v>
      </c>
      <c r="I97" s="58" t="inlineStr">
        <is>
          <t>WSAU18</t>
        </is>
      </c>
      <c r="J97" s="58" t="n"/>
      <c r="K97" s="230" t="n">
        <v>1516.72</v>
      </c>
      <c r="L97" s="230" t="n">
        <v>1483.64</v>
      </c>
      <c r="M97" s="230">
        <f>K97-L97</f>
        <v/>
      </c>
      <c r="N97" s="230" t="n">
        <v>12.32</v>
      </c>
      <c r="O97" s="233">
        <f>M97-N97</f>
        <v/>
      </c>
      <c r="P97" s="19">
        <f>(K97/L97)-1</f>
        <v/>
      </c>
    </row>
    <row hidden="1" r="98">
      <c r="B98" t="inlineStr">
        <is>
          <t>SPE5E8-17-P-4025</t>
        </is>
      </c>
      <c r="C98" t="n">
        <v>19</v>
      </c>
      <c r="E98" t="n">
        <v>1</v>
      </c>
      <c r="F98" t="inlineStr">
        <is>
          <t>MORPAC</t>
        </is>
      </c>
      <c r="G98" s="4" t="n">
        <v>42969</v>
      </c>
      <c r="H98" t="n">
        <v>90</v>
      </c>
      <c r="I98" s="58" t="inlineStr">
        <is>
          <t>WSAU19</t>
        </is>
      </c>
      <c r="J98" s="58" t="n"/>
      <c r="K98" s="237" t="n">
        <v>528.36</v>
      </c>
      <c r="L98" s="230" t="n">
        <v>485.4</v>
      </c>
      <c r="M98" s="230">
        <f>K98-L98</f>
        <v/>
      </c>
      <c r="N98" t="n">
        <v>22.6</v>
      </c>
      <c r="O98" s="233">
        <f>M98-N98</f>
        <v/>
      </c>
      <c r="P98" s="19">
        <f>(K98/L98)-1</f>
        <v/>
      </c>
    </row>
    <row hidden="1" r="99">
      <c r="B99" t="inlineStr">
        <is>
          <t>SPE7MC-17-V-C037</t>
        </is>
      </c>
      <c r="C99" t="n">
        <v>20</v>
      </c>
      <c r="E99" t="n">
        <v>18</v>
      </c>
      <c r="F99" t="inlineStr">
        <is>
          <t>ALLEN</t>
        </is>
      </c>
      <c r="G99" s="4" t="n">
        <v>42970</v>
      </c>
      <c r="H99" t="n">
        <v>240</v>
      </c>
      <c r="I99" s="58" t="inlineStr">
        <is>
          <t>WSAU20</t>
        </is>
      </c>
      <c r="J99" s="58" t="n"/>
      <c r="K99" s="230" t="n">
        <v>2500.74</v>
      </c>
      <c r="L99" s="230" t="n">
        <v>2454</v>
      </c>
      <c r="M99" s="230">
        <f>K99-L99</f>
        <v/>
      </c>
      <c r="N99" s="230" t="n">
        <v>12.32</v>
      </c>
      <c r="O99" s="233">
        <f>M99-N99</f>
        <v/>
      </c>
      <c r="P99" s="19">
        <f>(QuoteCal!D5/QuoteCal!E5)-1</f>
        <v/>
      </c>
    </row>
    <row hidden="1" r="100">
      <c r="B100" t="inlineStr">
        <is>
          <t>SPE7M0-17-V-C189</t>
        </is>
      </c>
      <c r="C100" t="n">
        <v>21</v>
      </c>
      <c r="E100" t="n">
        <v>1</v>
      </c>
      <c r="F100" t="inlineStr">
        <is>
          <t>Glenair</t>
        </is>
      </c>
      <c r="G100" s="4" t="n">
        <v>42970</v>
      </c>
      <c r="H100" t="n">
        <v>40</v>
      </c>
      <c r="I100" t="inlineStr">
        <is>
          <t>WSAU21</t>
        </is>
      </c>
      <c r="K100" s="237" t="n">
        <v>2673.64</v>
      </c>
      <c r="L100" s="78" t="n">
        <v>2631.34</v>
      </c>
      <c r="M100" s="230">
        <f>K100-L100</f>
        <v/>
      </c>
      <c r="N100" t="n">
        <v>9.640000000000001</v>
      </c>
      <c r="O100" s="233">
        <f>M100-N100</f>
        <v/>
      </c>
      <c r="P100" s="19">
        <f>(QuoteCal!D6/QuoteCal!E6)-1</f>
        <v/>
      </c>
    </row>
    <row hidden="1" r="101">
      <c r="B101" s="71" t="inlineStr">
        <is>
          <t>SPE7M0-17-V-C409</t>
        </is>
      </c>
      <c r="C101" t="n">
        <v>22</v>
      </c>
      <c r="E101" t="n">
        <v>1</v>
      </c>
      <c r="F101" t="inlineStr">
        <is>
          <t>PREECE</t>
        </is>
      </c>
      <c r="G101" s="4" t="n">
        <v>42976</v>
      </c>
      <c r="H101" t="n">
        <v>160</v>
      </c>
      <c r="I101" t="inlineStr">
        <is>
          <t>WSAU22</t>
        </is>
      </c>
      <c r="K101" s="232" t="n">
        <v>2324.54</v>
      </c>
      <c r="L101" s="230" t="n">
        <v>2285</v>
      </c>
      <c r="M101" s="230">
        <f>K101-L101</f>
        <v/>
      </c>
      <c r="N101" s="230" t="n">
        <v>15.91</v>
      </c>
      <c r="O101" s="233">
        <f>M101-N101</f>
        <v/>
      </c>
      <c r="P101" s="19">
        <f>(QuoteCal!D7/QuoteCal!E7)-1</f>
        <v/>
      </c>
    </row>
    <row hidden="1" r="102">
      <c r="B102" t="inlineStr">
        <is>
          <t>SPE7M5-17-P-E874</t>
        </is>
      </c>
      <c r="C102" t="n">
        <v>23</v>
      </c>
      <c r="E102" t="n">
        <v>60</v>
      </c>
      <c r="F102" t="inlineStr">
        <is>
          <t>Data Delay</t>
        </is>
      </c>
      <c r="G102" s="4" t="n">
        <v>42978</v>
      </c>
      <c r="H102" t="n">
        <v>140</v>
      </c>
      <c r="I102" t="inlineStr">
        <is>
          <t>WSAU23</t>
        </is>
      </c>
      <c r="K102" s="237" t="n">
        <v>12428.4</v>
      </c>
      <c r="L102" s="230" t="n">
        <v>12300</v>
      </c>
      <c r="M102" s="230">
        <f>K102-L102</f>
        <v/>
      </c>
      <c r="N102" t="n">
        <v>14.7</v>
      </c>
      <c r="O102" s="233">
        <f>M102-N102</f>
        <v/>
      </c>
      <c r="P102" s="19">
        <f>(K102/L102)-1</f>
        <v/>
      </c>
    </row>
    <row hidden="1" r="103">
      <c r="B103" t="inlineStr">
        <is>
          <t>SPE7M0-17-V-C529</t>
        </is>
      </c>
      <c r="C103" t="n">
        <v>24</v>
      </c>
      <c r="E103" t="n">
        <v>25</v>
      </c>
      <c r="F103" t="inlineStr">
        <is>
          <t>Pasternack</t>
        </is>
      </c>
      <c r="G103" s="4" t="n">
        <v>42978</v>
      </c>
      <c r="H103" t="n">
        <v>30</v>
      </c>
      <c r="I103" s="58" t="inlineStr">
        <is>
          <t>WSAU24</t>
        </is>
      </c>
      <c r="J103" s="58" t="n"/>
      <c r="K103" s="237" t="n">
        <v>627.75</v>
      </c>
      <c r="L103" s="249" t="n">
        <v>601.75</v>
      </c>
      <c r="M103" s="230">
        <f>K103-L103</f>
        <v/>
      </c>
      <c r="O103" s="233">
        <f>M103-N103</f>
        <v/>
      </c>
      <c r="P103" s="19">
        <f>(K103/L103)-1</f>
        <v/>
      </c>
    </row>
    <row hidden="1" r="104">
      <c r="B104" t="inlineStr">
        <is>
          <t>SPE7M0-17-V-C551</t>
        </is>
      </c>
      <c r="C104" t="n">
        <v>25</v>
      </c>
      <c r="E104" t="n">
        <v>1</v>
      </c>
      <c r="F104" t="inlineStr">
        <is>
          <t>DRUCK</t>
        </is>
      </c>
      <c r="G104" s="4" t="n">
        <v>42978</v>
      </c>
      <c r="H104" t="n">
        <v>100</v>
      </c>
      <c r="I104" s="58" t="inlineStr">
        <is>
          <t>WSAU25</t>
        </is>
      </c>
      <c r="J104" s="58" t="n"/>
      <c r="K104" s="85" t="n">
        <v>1411</v>
      </c>
      <c r="L104" s="230" t="n">
        <v>1396</v>
      </c>
      <c r="M104" s="230">
        <f>K104-L104</f>
        <v/>
      </c>
      <c r="O104" s="233">
        <f>M104-N104</f>
        <v/>
      </c>
      <c r="P104" s="19">
        <f>(K104/L104)-1</f>
        <v/>
      </c>
    </row>
    <row hidden="1" r="105">
      <c r="K105" s="243">
        <f>SUM(K80:K104)</f>
        <v/>
      </c>
      <c r="L105" s="233">
        <f>SUM(L80:L104)</f>
        <v/>
      </c>
      <c r="M105" s="240">
        <f>SUM(M81:M104)</f>
        <v/>
      </c>
      <c r="O105" s="233" t="n"/>
      <c r="P105" s="92">
        <f>(K105/L105)-1</f>
        <v/>
      </c>
    </row>
    <row hidden="1" r="106"/>
    <row hidden="1" r="107">
      <c r="A107" t="n">
        <v>1</v>
      </c>
      <c r="B107" t="inlineStr">
        <is>
          <t>SPE7M4-17-V-3241</t>
        </is>
      </c>
      <c r="C107" t="n">
        <v>1</v>
      </c>
      <c r="E107" t="n">
        <v>4</v>
      </c>
      <c r="F107" t="inlineStr">
        <is>
          <t>GRISWOLD</t>
        </is>
      </c>
      <c r="G107" s="4" t="n">
        <v>42979</v>
      </c>
      <c r="H107" t="n">
        <v>60</v>
      </c>
      <c r="I107" t="inlineStr">
        <is>
          <t>WSSE01</t>
        </is>
      </c>
      <c r="K107" s="237" t="n">
        <v>2373.6</v>
      </c>
      <c r="L107" s="233" t="n">
        <v>2324</v>
      </c>
      <c r="M107" s="230">
        <f>K107-L107</f>
        <v/>
      </c>
      <c r="N107" t="n">
        <v>16.95</v>
      </c>
      <c r="O107" s="233">
        <f>M107-N107</f>
        <v/>
      </c>
      <c r="P107" s="19">
        <f>(K107/L107)-1</f>
        <v/>
      </c>
    </row>
    <row hidden="1" r="108">
      <c r="A108" t="n">
        <v>2</v>
      </c>
      <c r="B108" t="inlineStr">
        <is>
          <t>SPE7L0-17-V-7359</t>
        </is>
      </c>
      <c r="C108" t="n">
        <v>2</v>
      </c>
      <c r="E108" t="n">
        <v>15</v>
      </c>
      <c r="F108" t="inlineStr">
        <is>
          <t>DOUGLAS AUTOTECH</t>
        </is>
      </c>
      <c r="G108" s="4" t="n">
        <v>42983</v>
      </c>
      <c r="H108" t="n">
        <v>90</v>
      </c>
      <c r="I108" t="inlineStr">
        <is>
          <t>WSSE02</t>
        </is>
      </c>
      <c r="K108" s="236" t="n">
        <v>561.3</v>
      </c>
      <c r="L108" s="233" t="n">
        <v>525.45</v>
      </c>
      <c r="M108" s="230">
        <f>K108-L108</f>
        <v/>
      </c>
      <c r="N108" t="n">
        <v>18.31</v>
      </c>
      <c r="O108" s="233">
        <f>M108-N108</f>
        <v/>
      </c>
      <c r="P108" s="19">
        <f>(K108/L108)-1</f>
        <v/>
      </c>
    </row>
    <row hidden="1" r="109">
      <c r="A109" t="n">
        <v>3</v>
      </c>
      <c r="B109" t="inlineStr">
        <is>
          <t>SPE5E8-17-V-8587</t>
        </is>
      </c>
      <c r="C109" t="n">
        <v>3</v>
      </c>
      <c r="E109" t="n">
        <v>2</v>
      </c>
      <c r="F109" t="inlineStr">
        <is>
          <t>CSANTENNA</t>
        </is>
      </c>
      <c r="G109" s="4" t="n">
        <v>42983</v>
      </c>
      <c r="H109" t="n">
        <v>70</v>
      </c>
      <c r="I109" t="inlineStr">
        <is>
          <t>WSSE03</t>
        </is>
      </c>
      <c r="K109" s="237" t="n">
        <v>806.72</v>
      </c>
      <c r="L109" s="230" t="n">
        <v>775.5</v>
      </c>
      <c r="M109" s="230">
        <f>K109-L109</f>
        <v/>
      </c>
      <c r="O109" s="233">
        <f>M109-N109</f>
        <v/>
      </c>
      <c r="P109" s="19">
        <f>(K109/L109)-1</f>
        <v/>
      </c>
    </row>
    <row hidden="1" r="110">
      <c r="A110" t="n">
        <v>4</v>
      </c>
      <c r="B110" t="inlineStr">
        <is>
          <t>SPE4A1-17-P-1323</t>
        </is>
      </c>
      <c r="C110" t="n">
        <v>4</v>
      </c>
      <c r="E110" t="n">
        <v>65</v>
      </c>
      <c r="F110" t="inlineStr">
        <is>
          <t>ASTRO</t>
        </is>
      </c>
      <c r="G110" s="4" t="n">
        <v>42984</v>
      </c>
      <c r="H110" t="n">
        <v>120</v>
      </c>
      <c r="I110" s="58" t="inlineStr">
        <is>
          <t>WSSE04</t>
        </is>
      </c>
      <c r="J110" s="58" t="n"/>
      <c r="K110" s="232" t="n">
        <v>8077.55</v>
      </c>
      <c r="L110" s="230" t="n">
        <v>7948.85</v>
      </c>
      <c r="M110" s="230">
        <f>K110-L110</f>
        <v/>
      </c>
      <c r="N110" t="n">
        <v>50.64</v>
      </c>
      <c r="O110" s="233">
        <f>M110-N110</f>
        <v/>
      </c>
      <c r="P110" s="19">
        <f>(K110/L110)-1</f>
        <v/>
      </c>
    </row>
    <row hidden="1" r="111">
      <c r="A111" t="n">
        <v>5</v>
      </c>
      <c r="B111" t="inlineStr">
        <is>
          <t>SPE7M5-17-V-9309</t>
        </is>
      </c>
      <c r="C111" t="n">
        <v>5</v>
      </c>
      <c r="E111" t="n">
        <v>12</v>
      </c>
      <c r="F111" t="inlineStr">
        <is>
          <t>Glenair</t>
        </is>
      </c>
      <c r="G111" s="4" t="n">
        <v>42986</v>
      </c>
      <c r="H111" t="n">
        <v>40</v>
      </c>
      <c r="I111" t="inlineStr">
        <is>
          <t>WSSE05</t>
        </is>
      </c>
      <c r="K111" s="85" t="n">
        <v>1635.36</v>
      </c>
      <c r="L111" s="230" t="n">
        <v>1585.68</v>
      </c>
      <c r="M111" s="230">
        <f>K111-L111</f>
        <v/>
      </c>
      <c r="N111" t="n">
        <v>11.11</v>
      </c>
      <c r="O111" s="233">
        <f>M111-N111</f>
        <v/>
      </c>
      <c r="P111" s="19">
        <f>(K111/L111)-1</f>
        <v/>
      </c>
    </row>
    <row hidden="1" r="112">
      <c r="A112" t="n">
        <v>6</v>
      </c>
      <c r="B112" t="inlineStr">
        <is>
          <t>SPE7M8-17-V-1669</t>
        </is>
      </c>
      <c r="C112" t="n">
        <v>6</v>
      </c>
      <c r="E112" t="n">
        <v>11</v>
      </c>
      <c r="F112" t="inlineStr">
        <is>
          <t>ALLEN</t>
        </is>
      </c>
      <c r="G112" s="4" t="n">
        <v>42986</v>
      </c>
      <c r="H112" t="n">
        <v>260</v>
      </c>
      <c r="I112" s="58" t="inlineStr">
        <is>
          <t>WSSE06</t>
        </is>
      </c>
      <c r="J112" s="58" t="n"/>
      <c r="K112" s="46" t="n">
        <v>7806.04</v>
      </c>
      <c r="L112" s="230" t="n">
        <v>7722</v>
      </c>
      <c r="M112" s="230">
        <f>K112-L112</f>
        <v/>
      </c>
      <c r="O112" s="233">
        <f>M112-N112</f>
        <v/>
      </c>
      <c r="P112" s="19">
        <f>(K112/L112)-1</f>
        <v/>
      </c>
    </row>
    <row hidden="1" r="113">
      <c r="A113" t="n">
        <v>7</v>
      </c>
      <c r="B113" t="inlineStr">
        <is>
          <t>SPE7M5-17-V-9505</t>
        </is>
      </c>
      <c r="C113" t="n">
        <v>7</v>
      </c>
      <c r="E113" t="n">
        <v>30</v>
      </c>
      <c r="F113" t="inlineStr">
        <is>
          <t>Rohde Schwarz</t>
        </is>
      </c>
      <c r="G113" s="4" t="n">
        <v>42989</v>
      </c>
      <c r="H113" t="n">
        <v>40</v>
      </c>
      <c r="I113" t="inlineStr">
        <is>
          <t>WSSE07</t>
        </is>
      </c>
      <c r="K113" s="237" t="n">
        <v>6056.4</v>
      </c>
      <c r="L113" s="230" t="n">
        <v>6000</v>
      </c>
      <c r="M113" s="230">
        <f>K113-L113</f>
        <v/>
      </c>
      <c r="N113" t="n">
        <v>44.5</v>
      </c>
      <c r="O113" s="233">
        <f>M113-N113</f>
        <v/>
      </c>
      <c r="P113" s="19">
        <f>(K113/L113)-1</f>
        <v/>
      </c>
    </row>
    <row hidden="1" r="114">
      <c r="A114" t="n">
        <v>8</v>
      </c>
      <c r="B114" t="inlineStr">
        <is>
          <t>SPE7M5-17-V-9524</t>
        </is>
      </c>
      <c r="C114" t="n">
        <v>8</v>
      </c>
      <c r="E114" t="n">
        <v>1</v>
      </c>
      <c r="F114" t="inlineStr">
        <is>
          <t>Glenair</t>
        </is>
      </c>
      <c r="G114" s="4" t="n">
        <v>42989</v>
      </c>
      <c r="H114" t="n">
        <v>40</v>
      </c>
      <c r="I114" t="inlineStr">
        <is>
          <t>WSSE08</t>
        </is>
      </c>
      <c r="K114" s="237" t="n">
        <v>156.88</v>
      </c>
      <c r="L114" s="252" t="n">
        <v>122.72</v>
      </c>
      <c r="M114" s="230">
        <f>K114-L114</f>
        <v/>
      </c>
      <c r="N114" t="n">
        <v>9.67</v>
      </c>
      <c r="O114" s="233">
        <f>M114-N114</f>
        <v/>
      </c>
      <c r="P114" s="19">
        <f>(K114/L114)-1</f>
        <v/>
      </c>
    </row>
    <row hidden="1" r="115">
      <c r="A115" t="n">
        <v>9</v>
      </c>
      <c r="B115" t="inlineStr">
        <is>
          <t>SPE7M5-17-V-9574</t>
        </is>
      </c>
      <c r="C115" t="n">
        <v>9</v>
      </c>
      <c r="E115" t="n">
        <v>60</v>
      </c>
      <c r="F115" t="inlineStr">
        <is>
          <t>Glenair</t>
        </is>
      </c>
      <c r="G115" s="4" t="n">
        <v>42990</v>
      </c>
      <c r="H115" t="n">
        <v>60</v>
      </c>
      <c r="I115" t="inlineStr">
        <is>
          <t>WSSE09</t>
        </is>
      </c>
      <c r="K115" s="85" t="n">
        <v>4111.8</v>
      </c>
      <c r="L115" s="230" t="n">
        <v>4040.4</v>
      </c>
      <c r="M115" s="230">
        <f>K115-L115</f>
        <v/>
      </c>
      <c r="N115" t="n">
        <v>13.89</v>
      </c>
      <c r="O115" s="233">
        <f>M115-N115</f>
        <v/>
      </c>
      <c r="P115" s="19">
        <f>(K115/L115)-1</f>
        <v/>
      </c>
    </row>
    <row hidden="1" r="116">
      <c r="A116" t="n">
        <v>10</v>
      </c>
      <c r="B116" t="inlineStr">
        <is>
          <t>SPE7M8-17-P-3684</t>
        </is>
      </c>
      <c r="C116" t="n">
        <v>10</v>
      </c>
      <c r="E116" t="n">
        <v>16</v>
      </c>
      <c r="F116" t="inlineStr">
        <is>
          <t>GEMS</t>
        </is>
      </c>
      <c r="G116" s="4" t="n">
        <v>42991</v>
      </c>
      <c r="H116" t="n">
        <v>100</v>
      </c>
      <c r="I116" t="inlineStr">
        <is>
          <t>WSSE10</t>
        </is>
      </c>
      <c r="K116" s="253" t="n">
        <v>14637.12</v>
      </c>
      <c r="L116" s="230" t="n">
        <v>14503.61</v>
      </c>
      <c r="M116" s="230">
        <f>K116-L116</f>
        <v/>
      </c>
      <c r="N116" t="n">
        <v>29.81</v>
      </c>
      <c r="O116" s="233">
        <f>M116-N116</f>
        <v/>
      </c>
      <c r="P116" s="19">
        <f>(K116/L116)-1</f>
        <v/>
      </c>
    </row>
    <row hidden="1" r="117">
      <c r="A117" t="n">
        <v>11</v>
      </c>
      <c r="B117" t="inlineStr">
        <is>
          <t>SPE7M0-17-V-C791</t>
        </is>
      </c>
      <c r="C117" t="n">
        <v>11</v>
      </c>
      <c r="E117" t="n">
        <v>140</v>
      </c>
      <c r="F117" t="inlineStr">
        <is>
          <t>Glenair</t>
        </is>
      </c>
      <c r="G117" s="4" t="n">
        <v>42991</v>
      </c>
      <c r="H117" t="n">
        <v>40</v>
      </c>
      <c r="I117" t="inlineStr">
        <is>
          <t>WSSE11</t>
        </is>
      </c>
      <c r="K117" s="237" t="n">
        <v>415.8</v>
      </c>
      <c r="L117" s="230" t="n">
        <v>341.6</v>
      </c>
      <c r="M117" s="230">
        <f>K117-L117</f>
        <v/>
      </c>
      <c r="N117" t="n">
        <v>9.67</v>
      </c>
      <c r="O117" s="233">
        <f>M117-N117</f>
        <v/>
      </c>
      <c r="P117" s="19">
        <f>(K117/L117)-1</f>
        <v/>
      </c>
    </row>
    <row hidden="1" r="118">
      <c r="A118" t="n">
        <v>12</v>
      </c>
      <c r="B118" t="inlineStr">
        <is>
          <t>SPE7M5-17-V-9616</t>
        </is>
      </c>
      <c r="C118" t="n">
        <v>12</v>
      </c>
      <c r="E118" t="n">
        <v>13</v>
      </c>
      <c r="F118" t="inlineStr">
        <is>
          <t>Glenair</t>
        </is>
      </c>
      <c r="G118" s="4" t="n">
        <v>42991</v>
      </c>
      <c r="H118" t="n">
        <v>40</v>
      </c>
      <c r="I118" t="inlineStr">
        <is>
          <t>WSSE12</t>
        </is>
      </c>
      <c r="K118" s="232" t="n">
        <v>2107.3</v>
      </c>
      <c r="L118" s="230" t="n">
        <v>2052.31</v>
      </c>
      <c r="M118" s="230">
        <f>K118-L118</f>
        <v/>
      </c>
      <c r="N118" t="n">
        <v>12.46</v>
      </c>
      <c r="O118" s="233">
        <f>M118-N118</f>
        <v/>
      </c>
      <c r="P118" s="19">
        <f>(K118/L118)-1</f>
        <v/>
      </c>
    </row>
    <row hidden="1" r="119">
      <c r="A119" t="n">
        <v>13</v>
      </c>
      <c r="B119" t="inlineStr">
        <is>
          <t>SPE7L3-17-V-A236</t>
        </is>
      </c>
      <c r="C119" t="n">
        <v>13</v>
      </c>
      <c r="E119" t="n">
        <v>19</v>
      </c>
      <c r="F119" t="inlineStr">
        <is>
          <t>WESCON</t>
        </is>
      </c>
      <c r="G119" s="4" t="n">
        <v>42991</v>
      </c>
      <c r="H119" t="n">
        <v>130</v>
      </c>
      <c r="I119" s="58" t="inlineStr">
        <is>
          <t>WSSE13</t>
        </is>
      </c>
      <c r="J119" s="58" t="n"/>
      <c r="K119" s="230" t="n">
        <v>1626.59</v>
      </c>
      <c r="L119" s="230" t="n">
        <v>1590.11</v>
      </c>
      <c r="M119" s="230">
        <f>K119-L119</f>
        <v/>
      </c>
      <c r="N119" t="n">
        <v>81.79000000000001</v>
      </c>
      <c r="O119" s="233">
        <f>M119-N119</f>
        <v/>
      </c>
      <c r="P119" s="19">
        <f>(K119/L119)-1</f>
        <v/>
      </c>
    </row>
    <row hidden="1" r="120">
      <c r="A120" t="n">
        <v>14</v>
      </c>
      <c r="B120" t="inlineStr">
        <is>
          <t>SPE7M2-17-P-2195</t>
        </is>
      </c>
      <c r="C120" t="n">
        <v>14</v>
      </c>
      <c r="E120" t="n">
        <v>172</v>
      </c>
      <c r="F120" t="inlineStr">
        <is>
          <t>Munter</t>
        </is>
      </c>
      <c r="G120" s="4" t="n">
        <v>42993</v>
      </c>
      <c r="H120" t="n">
        <v>130</v>
      </c>
      <c r="I120" t="inlineStr">
        <is>
          <t>WSSE14</t>
        </is>
      </c>
      <c r="K120" s="232" t="n">
        <v>19260.56</v>
      </c>
      <c r="L120" s="230" t="n">
        <v>19092</v>
      </c>
      <c r="M120" s="230">
        <f>K120-L120</f>
        <v/>
      </c>
      <c r="N120" t="n">
        <v>0</v>
      </c>
      <c r="O120" s="233">
        <f>M120-N120</f>
        <v/>
      </c>
      <c r="P120" s="19">
        <f>(K120/L120)-1</f>
        <v/>
      </c>
    </row>
    <row hidden="1" r="121">
      <c r="A121" t="n">
        <v>15</v>
      </c>
      <c r="B121" t="inlineStr">
        <is>
          <t>SPE7M8-17-V-1710</t>
        </is>
      </c>
      <c r="C121" t="n">
        <v>15</v>
      </c>
      <c r="E121" t="n">
        <v>1</v>
      </c>
      <c r="F121" t="inlineStr">
        <is>
          <t>GEMS</t>
        </is>
      </c>
      <c r="G121" s="4" t="n">
        <v>42993</v>
      </c>
      <c r="H121" t="n">
        <v>120</v>
      </c>
      <c r="I121" t="inlineStr">
        <is>
          <t>WSSE15</t>
        </is>
      </c>
      <c r="K121" s="253" t="n">
        <v>2573.9</v>
      </c>
      <c r="L121" s="230" t="n">
        <v>2531.7</v>
      </c>
      <c r="M121" s="230">
        <f>K121-L121</f>
        <v/>
      </c>
      <c r="N121" t="n">
        <v>13.19</v>
      </c>
      <c r="O121" s="233">
        <f>M121-N121</f>
        <v/>
      </c>
      <c r="P121" s="19">
        <f>(K121/L121)-1</f>
        <v/>
      </c>
    </row>
    <row hidden="1" r="122">
      <c r="A122" t="n">
        <v>16</v>
      </c>
      <c r="B122" t="inlineStr">
        <is>
          <t>SPE7M1-17-V-C378</t>
        </is>
      </c>
      <c r="C122" t="n">
        <v>16</v>
      </c>
      <c r="E122" t="n">
        <v>6</v>
      </c>
      <c r="F122" t="inlineStr">
        <is>
          <t>PBM</t>
        </is>
      </c>
      <c r="G122" s="4" t="n">
        <v>42997</v>
      </c>
      <c r="H122" t="n">
        <v>110</v>
      </c>
      <c r="I122" t="inlineStr">
        <is>
          <t>WSSE16</t>
        </is>
      </c>
      <c r="K122" s="237" t="n">
        <v>4236</v>
      </c>
      <c r="L122" s="230" t="n">
        <v>4116</v>
      </c>
      <c r="M122" s="230">
        <f>K122-L122</f>
        <v/>
      </c>
      <c r="O122" s="233">
        <f>M122-N122</f>
        <v/>
      </c>
      <c r="P122" s="19">
        <f>(K122/L122)-1</f>
        <v/>
      </c>
    </row>
    <row hidden="1" r="123">
      <c r="A123" t="n">
        <v>17</v>
      </c>
      <c r="B123" t="inlineStr">
        <is>
          <t>SPE5E7-17-P-5120</t>
        </is>
      </c>
      <c r="C123" t="n">
        <v>17</v>
      </c>
      <c r="E123" t="n">
        <v>114</v>
      </c>
      <c r="F123" t="inlineStr">
        <is>
          <t>PBM</t>
        </is>
      </c>
      <c r="G123" s="4" t="n">
        <v>42997</v>
      </c>
      <c r="H123" t="n">
        <v>40</v>
      </c>
      <c r="I123" t="inlineStr">
        <is>
          <t>WSSE17</t>
        </is>
      </c>
      <c r="K123" s="232" t="n">
        <v>733.02</v>
      </c>
      <c r="L123" s="230" t="n">
        <v>621.3</v>
      </c>
      <c r="M123" s="230">
        <f>K123-L123</f>
        <v/>
      </c>
      <c r="N123" t="n">
        <v>11.59</v>
      </c>
      <c r="O123" s="233">
        <f>M123-N123</f>
        <v/>
      </c>
      <c r="P123" s="19">
        <f>(K123/L123)-1</f>
        <v/>
      </c>
    </row>
    <row hidden="1" r="124">
      <c r="A124" t="n">
        <v>18</v>
      </c>
      <c r="B124" t="inlineStr">
        <is>
          <t>SPE4A4-17-V-9933</t>
        </is>
      </c>
      <c r="C124" t="n">
        <v>18</v>
      </c>
      <c r="E124" t="n">
        <v>28</v>
      </c>
      <c r="F124" t="inlineStr">
        <is>
          <t>National Ins</t>
        </is>
      </c>
      <c r="G124" s="4" t="n">
        <v>42998</v>
      </c>
      <c r="H124" t="n">
        <v>60</v>
      </c>
      <c r="I124" t="inlineStr">
        <is>
          <t>WSSE18</t>
        </is>
      </c>
      <c r="K124" s="237" t="n">
        <v>1707.44</v>
      </c>
      <c r="L124" s="230" t="n">
        <v>1680</v>
      </c>
      <c r="M124" s="230">
        <f>K124-L124</f>
        <v/>
      </c>
      <c r="N124" t="n">
        <v>0</v>
      </c>
      <c r="O124" s="233">
        <f>M124-N124</f>
        <v/>
      </c>
      <c r="P124" s="19">
        <f>(K124/L124)-1</f>
        <v/>
      </c>
    </row>
    <row hidden="1" r="125">
      <c r="A125" t="n">
        <v>19</v>
      </c>
      <c r="B125" t="inlineStr">
        <is>
          <t>SPE4A6-17-V-K691</t>
        </is>
      </c>
      <c r="C125" t="n">
        <v>19</v>
      </c>
      <c r="E125" t="n">
        <v>82</v>
      </c>
      <c r="F125" t="inlineStr">
        <is>
          <t>SCIENTIFIC-DIGI</t>
        </is>
      </c>
      <c r="G125" s="4" t="n">
        <v>42998</v>
      </c>
      <c r="H125" t="n">
        <v>40</v>
      </c>
      <c r="I125" t="inlineStr">
        <is>
          <t>WSSE19</t>
        </is>
      </c>
      <c r="K125" s="236" t="n">
        <v>8784.66</v>
      </c>
      <c r="L125" s="230" t="n">
        <v>8687.9</v>
      </c>
      <c r="M125" s="230">
        <f>K125-L125</f>
        <v/>
      </c>
      <c r="N125" t="n">
        <v>27.39</v>
      </c>
      <c r="O125" s="233">
        <f>M125-N125</f>
        <v/>
      </c>
      <c r="P125" s="19">
        <f>(K125/L125)-1</f>
        <v/>
      </c>
    </row>
    <row hidden="1" r="126">
      <c r="A126" t="n">
        <v>20</v>
      </c>
      <c r="B126" t="inlineStr">
        <is>
          <t>SPE7M5-17-V-9810</t>
        </is>
      </c>
      <c r="C126" t="n">
        <v>20</v>
      </c>
      <c r="E126" t="n">
        <v>5</v>
      </c>
      <c r="F126" t="inlineStr">
        <is>
          <t>Glenair</t>
        </is>
      </c>
      <c r="G126" s="4" t="n"/>
      <c r="H126" t="n">
        <v>40</v>
      </c>
      <c r="I126" t="inlineStr">
        <is>
          <t>WSSE20</t>
        </is>
      </c>
      <c r="K126" s="232" t="n">
        <v>1898.9</v>
      </c>
      <c r="L126" s="233" t="n">
        <v>1830.5</v>
      </c>
      <c r="M126" s="233">
        <f>K126-L126</f>
        <v/>
      </c>
      <c r="N126" t="n">
        <v>11.62</v>
      </c>
      <c r="O126" s="233">
        <f>M126-N126</f>
        <v/>
      </c>
      <c r="P126" s="19">
        <f>(K126/L126)-1</f>
        <v/>
      </c>
    </row>
    <row hidden="1" r="127">
      <c r="A127" t="n">
        <v>21</v>
      </c>
      <c r="B127" t="inlineStr">
        <is>
          <t>SPE7M2-17-P-2246</t>
        </is>
      </c>
      <c r="C127" t="n">
        <v>21</v>
      </c>
      <c r="E127" t="n">
        <v>29</v>
      </c>
      <c r="F127" t="inlineStr">
        <is>
          <t>Glenair</t>
        </is>
      </c>
      <c r="G127" s="4" t="n">
        <v>43005</v>
      </c>
      <c r="H127" t="n">
        <v>70</v>
      </c>
      <c r="I127" t="inlineStr">
        <is>
          <t>WSSE21</t>
        </is>
      </c>
      <c r="K127" s="237" t="n">
        <v>10145.36</v>
      </c>
      <c r="L127" s="233" t="n">
        <v>10035.45</v>
      </c>
      <c r="M127" s="233">
        <f>K127-L127</f>
        <v/>
      </c>
      <c r="N127" t="n">
        <v>18.16</v>
      </c>
      <c r="O127" s="233">
        <f>M127-N127</f>
        <v/>
      </c>
      <c r="P127" s="19">
        <f>(K127/L127)-1</f>
        <v/>
      </c>
    </row>
    <row hidden="1" r="128">
      <c r="A128" t="n">
        <v>22</v>
      </c>
      <c r="B128" t="inlineStr">
        <is>
          <t>SPE4A6-17-P-N566</t>
        </is>
      </c>
      <c r="C128" t="n">
        <v>22</v>
      </c>
      <c r="E128" t="n">
        <v>220</v>
      </c>
      <c r="F128" t="inlineStr">
        <is>
          <t>Newport</t>
        </is>
      </c>
      <c r="G128" s="4" t="n">
        <v>43006</v>
      </c>
      <c r="H128" t="n">
        <v>60</v>
      </c>
      <c r="I128" t="inlineStr">
        <is>
          <t>WSSE22</t>
        </is>
      </c>
      <c r="K128" s="237" t="n">
        <v>33400.4</v>
      </c>
      <c r="L128" s="233" t="n">
        <v>32834</v>
      </c>
      <c r="M128" s="233">
        <f>K128-L128</f>
        <v/>
      </c>
      <c r="N128" t="n">
        <v>0</v>
      </c>
      <c r="O128" s="233">
        <f>M128-N128</f>
        <v/>
      </c>
      <c r="P128" s="19">
        <f>(K128/L128)-1</f>
        <v/>
      </c>
    </row>
    <row hidden="1" r="129">
      <c r="A129" t="n">
        <v>23</v>
      </c>
      <c r="B129" t="inlineStr">
        <is>
          <t>SPE5EK-17-V-6956</t>
        </is>
      </c>
      <c r="C129" t="n">
        <v>23</v>
      </c>
      <c r="E129" t="n">
        <v>10</v>
      </c>
      <c r="F129" t="inlineStr">
        <is>
          <t>Cameron</t>
        </is>
      </c>
      <c r="G129" s="4" t="n"/>
      <c r="H129" t="n">
        <v>70</v>
      </c>
      <c r="I129" t="inlineStr">
        <is>
          <t>WSSE23</t>
        </is>
      </c>
      <c r="K129" s="236" t="n">
        <v>358.2</v>
      </c>
      <c r="L129" s="233" t="n">
        <v>330</v>
      </c>
      <c r="M129" s="233">
        <f>K129-L129</f>
        <v/>
      </c>
      <c r="N129" t="n">
        <v>9.69</v>
      </c>
      <c r="O129" s="233">
        <f>M129-N129</f>
        <v/>
      </c>
      <c r="P129" s="19">
        <f>(K129/L129)-1</f>
        <v/>
      </c>
    </row>
    <row hidden="1" r="130">
      <c r="K130" s="243">
        <f>SUM(K107:K129)</f>
        <v/>
      </c>
      <c r="L130" s="233">
        <f>SUM(L107:L129)</f>
        <v/>
      </c>
      <c r="M130" s="240">
        <f>SUM(M107:M129)</f>
        <v/>
      </c>
      <c r="O130" s="233">
        <f>M130-N130</f>
        <v/>
      </c>
      <c r="P130" s="92">
        <f>(K130/L130)-1</f>
        <v/>
      </c>
    </row>
    <row r="131">
      <c r="B131" t="inlineStr">
        <is>
          <t>SPE4A6-18-P-0208</t>
        </is>
      </c>
      <c r="E131" t="n">
        <v>1</v>
      </c>
      <c r="F131" s="51" t="inlineStr">
        <is>
          <t>Klute</t>
        </is>
      </c>
      <c r="G131" s="4" t="n">
        <v>43010</v>
      </c>
      <c r="H131" t="n">
        <v>310</v>
      </c>
      <c r="I131" t="inlineStr">
        <is>
          <t>WSOC01</t>
        </is>
      </c>
      <c r="K131" s="232" t="n">
        <v>1902.48</v>
      </c>
      <c r="L131" s="233" t="n">
        <v>1866</v>
      </c>
      <c r="M131" s="233">
        <f>K131-L131</f>
        <v/>
      </c>
      <c r="O131" s="233">
        <f>M131-N131</f>
        <v/>
      </c>
      <c r="P131" s="19">
        <f>(K131/L131)-1</f>
        <v/>
      </c>
    </row>
    <row r="132">
      <c r="A132" t="n">
        <v>2</v>
      </c>
      <c r="B132" t="inlineStr">
        <is>
          <t>SPE7M1-18-V-0019</t>
        </is>
      </c>
      <c r="E132" t="n">
        <v>12</v>
      </c>
      <c r="F132" t="inlineStr">
        <is>
          <t>Chromalox</t>
        </is>
      </c>
      <c r="G132" s="4" t="n">
        <v>43010</v>
      </c>
      <c r="H132" t="n">
        <v>40</v>
      </c>
      <c r="I132" t="inlineStr">
        <is>
          <t>WSOC02</t>
        </is>
      </c>
      <c r="K132" s="237" t="n">
        <v>486.12</v>
      </c>
      <c r="L132" s="233" t="n">
        <v>442.92</v>
      </c>
      <c r="M132" s="233">
        <f>K132-L132</f>
        <v/>
      </c>
      <c r="N132" t="n">
        <v>10.6</v>
      </c>
      <c r="O132" s="233">
        <f>M132-N132</f>
        <v/>
      </c>
      <c r="P132" s="19">
        <f>(K132/L132)-1</f>
        <v/>
      </c>
    </row>
    <row r="133">
      <c r="A133" t="n">
        <v>3</v>
      </c>
      <c r="B133" t="inlineStr">
        <is>
          <t>SPE7M5-18-P-0270</t>
        </is>
      </c>
      <c r="E133" t="n">
        <v>1</v>
      </c>
      <c r="F133" t="inlineStr">
        <is>
          <t>Glenair</t>
        </is>
      </c>
      <c r="G133" s="4" t="n">
        <v>43011</v>
      </c>
      <c r="H133" t="n">
        <v>40</v>
      </c>
      <c r="I133" t="inlineStr">
        <is>
          <t>WSOC03</t>
        </is>
      </c>
      <c r="J133" s="80" t="n"/>
      <c r="K133" s="232" t="n">
        <v>486.34</v>
      </c>
      <c r="L133" t="n">
        <v>452.75</v>
      </c>
      <c r="M133" s="233">
        <f>K133-L133</f>
        <v/>
      </c>
      <c r="N133" t="n">
        <v>10.51</v>
      </c>
      <c r="O133" s="233">
        <f>M133-N133</f>
        <v/>
      </c>
      <c r="P133" s="19">
        <f>(K133/L133)-1</f>
        <v/>
      </c>
    </row>
    <row r="134">
      <c r="A134" t="n">
        <v>4</v>
      </c>
      <c r="B134" t="inlineStr">
        <is>
          <t>SPE5E0-18-V-0016</t>
        </is>
      </c>
      <c r="E134" t="n">
        <v>18</v>
      </c>
      <c r="F134" t="inlineStr">
        <is>
          <t>AVBANC</t>
        </is>
      </c>
      <c r="G134" s="4" t="n">
        <v>43011</v>
      </c>
      <c r="H134" t="n">
        <v>110</v>
      </c>
      <c r="I134" t="inlineStr">
        <is>
          <t>WSOC04</t>
        </is>
      </c>
      <c r="J134" s="80" t="n"/>
      <c r="K134" s="46" t="n">
        <v>1283.22</v>
      </c>
      <c r="L134" t="n">
        <v>1250.28</v>
      </c>
      <c r="M134" s="233">
        <f>K134-L134</f>
        <v/>
      </c>
      <c r="N134" t="n">
        <v>15.36</v>
      </c>
      <c r="O134" s="233">
        <f>M134-N134</f>
        <v/>
      </c>
      <c r="P134" s="19">
        <f>(K134/L134)-1</f>
        <v/>
      </c>
    </row>
    <row r="135">
      <c r="A135" t="n">
        <v>5</v>
      </c>
      <c r="B135" t="inlineStr">
        <is>
          <t>SPE7M2-18-P-0017</t>
        </is>
      </c>
      <c r="E135" t="n">
        <v>68</v>
      </c>
      <c r="F135" t="inlineStr">
        <is>
          <t>Munter</t>
        </is>
      </c>
      <c r="G135" s="4" t="n">
        <v>43012</v>
      </c>
      <c r="H135" t="n">
        <v>100</v>
      </c>
      <c r="I135" s="84" t="inlineStr">
        <is>
          <t>WSOC05</t>
        </is>
      </c>
      <c r="J135" s="102" t="n"/>
      <c r="K135" s="232" t="n">
        <v>0</v>
      </c>
      <c r="L135" s="233" t="n">
        <v>0</v>
      </c>
      <c r="M135" s="233" t="n">
        <v>0</v>
      </c>
      <c r="O135" s="233">
        <f>M135-N135</f>
        <v/>
      </c>
      <c r="P135" s="19">
        <f>(K135/L135)-1</f>
        <v/>
      </c>
    </row>
    <row r="136">
      <c r="A136" t="n">
        <v>6</v>
      </c>
      <c r="B136" t="inlineStr">
        <is>
          <t>SPE7M4-18-V-0179</t>
        </is>
      </c>
      <c r="E136" t="n">
        <v>3</v>
      </c>
      <c r="F136" t="inlineStr">
        <is>
          <t>PREECE</t>
        </is>
      </c>
      <c r="G136" s="4" t="n">
        <v>43012</v>
      </c>
      <c r="H136" t="n">
        <v>200</v>
      </c>
      <c r="I136" s="48" t="inlineStr">
        <is>
          <t>WSOC06</t>
        </is>
      </c>
      <c r="J136" s="103" t="inlineStr">
        <is>
          <t>Yes</t>
        </is>
      </c>
      <c r="K136" s="46" t="n">
        <v>3133.8</v>
      </c>
      <c r="L136" s="233" t="n">
        <v>3045</v>
      </c>
      <c r="M136" s="233">
        <f>K136-L136</f>
        <v/>
      </c>
      <c r="O136" s="233">
        <f>M136-N136</f>
        <v/>
      </c>
      <c r="P136" s="19">
        <f>(K136/L136)-1</f>
        <v/>
      </c>
    </row>
    <row r="137">
      <c r="A137" t="n">
        <v>7</v>
      </c>
      <c r="B137" t="inlineStr">
        <is>
          <t>SPE7MC-18-V-0322</t>
        </is>
      </c>
      <c r="E137" t="n">
        <v>6</v>
      </c>
      <c r="F137" t="inlineStr">
        <is>
          <t>GEMS</t>
        </is>
      </c>
      <c r="G137" s="4" t="n">
        <v>43014</v>
      </c>
      <c r="H137" t="n">
        <v>100</v>
      </c>
      <c r="I137" s="48" t="inlineStr">
        <is>
          <t>WSOC07</t>
        </is>
      </c>
      <c r="J137" s="103" t="n"/>
      <c r="K137" s="46" t="n">
        <v>4894.38</v>
      </c>
      <c r="L137" s="233" t="n">
        <v>4810.99</v>
      </c>
      <c r="M137" s="233">
        <f>K137-L137</f>
        <v/>
      </c>
      <c r="N137" t="n">
        <v>12.06</v>
      </c>
      <c r="O137" s="233">
        <f>M137-N137</f>
        <v/>
      </c>
      <c r="P137" s="19">
        <f>(K137/L137)-1</f>
        <v/>
      </c>
    </row>
    <row r="138">
      <c r="A138" t="n">
        <v>8</v>
      </c>
      <c r="B138" t="inlineStr">
        <is>
          <t>SPE8ED-18-P-0059</t>
        </is>
      </c>
      <c r="E138" t="n">
        <v>19</v>
      </c>
      <c r="F138" t="inlineStr">
        <is>
          <t>CSANTENNA</t>
        </is>
      </c>
      <c r="G138" s="4" t="n">
        <v>43015</v>
      </c>
      <c r="H138" t="n">
        <v>100</v>
      </c>
      <c r="I138" s="48" t="inlineStr">
        <is>
          <t>WSOC08</t>
        </is>
      </c>
      <c r="J138" s="103" t="n"/>
      <c r="K138" s="237" t="n">
        <v>1949.02</v>
      </c>
      <c r="L138" s="230" t="n">
        <v>1900</v>
      </c>
      <c r="M138" s="233">
        <f>K138-L138</f>
        <v/>
      </c>
      <c r="O138" s="233">
        <f>M138-N138</f>
        <v/>
      </c>
      <c r="P138" s="19">
        <f>(K138/L138)-1</f>
        <v/>
      </c>
      <c r="Q138" t="inlineStr">
        <is>
          <t>WSNV003</t>
        </is>
      </c>
      <c r="R138" t="inlineStr">
        <is>
          <t>WSNVI004</t>
        </is>
      </c>
      <c r="S138" t="inlineStr">
        <is>
          <t>2F120374D52363000000005A</t>
        </is>
      </c>
    </row>
    <row r="139">
      <c r="A139" t="n">
        <v>9</v>
      </c>
      <c r="B139" t="inlineStr">
        <is>
          <t>SPE8E7-18-P-0119</t>
        </is>
      </c>
      <c r="E139" t="n">
        <v>10</v>
      </c>
      <c r="F139" t="inlineStr">
        <is>
          <t>Leddynamics</t>
        </is>
      </c>
      <c r="G139" s="4" t="n">
        <v>43018</v>
      </c>
      <c r="H139" t="n">
        <v>90</v>
      </c>
      <c r="I139" s="48" t="inlineStr">
        <is>
          <t>WSOC09</t>
        </is>
      </c>
      <c r="J139" s="103" t="n"/>
      <c r="K139" s="237" t="n">
        <v>905.8</v>
      </c>
      <c r="L139" s="230" t="n">
        <v>850</v>
      </c>
      <c r="M139" s="233">
        <f>K139-L139</f>
        <v/>
      </c>
      <c r="N139">
        <f>22.9+10.85</f>
        <v/>
      </c>
      <c r="O139" s="233">
        <f>M139-N139</f>
        <v/>
      </c>
      <c r="P139" s="19">
        <f>(K139/L139)-1</f>
        <v/>
      </c>
    </row>
    <row r="140">
      <c r="A140" t="n">
        <v>10</v>
      </c>
      <c r="B140" t="inlineStr">
        <is>
          <t>SPE7M0-18-V-0294</t>
        </is>
      </c>
      <c r="E140" t="n">
        <v>2</v>
      </c>
      <c r="F140" t="inlineStr">
        <is>
          <t>Glenair</t>
        </is>
      </c>
      <c r="G140" s="4" t="n">
        <v>43019</v>
      </c>
      <c r="H140" t="n">
        <v>40</v>
      </c>
      <c r="I140" t="inlineStr">
        <is>
          <t>WSOC10</t>
        </is>
      </c>
      <c r="J140" s="80" t="n"/>
      <c r="K140" s="232" t="n">
        <v>1820.84</v>
      </c>
      <c r="L140" s="230" t="n">
        <v>1781.24</v>
      </c>
      <c r="M140" s="233">
        <f>K140-L140</f>
        <v/>
      </c>
      <c r="N140">
        <f>9.69+1.45</f>
        <v/>
      </c>
      <c r="O140" s="233">
        <f>M140-N140</f>
        <v/>
      </c>
      <c r="P140" s="19">
        <f>(K140/L140)-1</f>
        <v/>
      </c>
    </row>
    <row r="141">
      <c r="A141" t="n">
        <v>11</v>
      </c>
      <c r="B141" t="inlineStr">
        <is>
          <t>SPE7L0-18-V-0375</t>
        </is>
      </c>
      <c r="E141" t="n">
        <v>1</v>
      </c>
      <c r="F141" t="inlineStr">
        <is>
          <t>Timken</t>
        </is>
      </c>
      <c r="G141" s="4" t="n">
        <v>43019</v>
      </c>
      <c r="H141" t="n">
        <v>90</v>
      </c>
      <c r="I141" t="inlineStr">
        <is>
          <t>WSOC11</t>
        </is>
      </c>
      <c r="J141" t="inlineStr">
        <is>
          <t>Yes</t>
        </is>
      </c>
      <c r="K141" s="46" t="n">
        <v>3783.74</v>
      </c>
      <c r="L141" s="230" t="n">
        <v>3739</v>
      </c>
      <c r="M141" s="233">
        <f>K141-L141</f>
        <v/>
      </c>
      <c r="O141" s="233">
        <f>M141-N141</f>
        <v/>
      </c>
      <c r="P141" s="19">
        <f>(K141/L141)-1</f>
        <v/>
      </c>
    </row>
    <row r="142">
      <c r="A142" t="n">
        <v>12</v>
      </c>
      <c r="B142" t="inlineStr">
        <is>
          <t>SPE7M8-18-P-0031</t>
        </is>
      </c>
      <c r="E142" t="n">
        <v>3</v>
      </c>
      <c r="F142" t="inlineStr">
        <is>
          <t>CPI</t>
        </is>
      </c>
      <c r="G142" s="4" t="n">
        <v>43024</v>
      </c>
      <c r="H142" t="n">
        <v>40</v>
      </c>
      <c r="I142" t="inlineStr">
        <is>
          <t>WSOC12</t>
        </is>
      </c>
      <c r="J142" t="inlineStr">
        <is>
          <t>Yes</t>
        </is>
      </c>
      <c r="K142" s="237" t="n">
        <v>11658.99</v>
      </c>
      <c r="L142" s="230" t="n">
        <v>11274.31</v>
      </c>
      <c r="M142" s="233">
        <f>K142-L142</f>
        <v/>
      </c>
      <c r="N142" t="n">
        <v>52.51</v>
      </c>
      <c r="O142" s="233">
        <f>M142-N142</f>
        <v/>
      </c>
      <c r="P142" s="19">
        <f>(K142/L142)-1</f>
        <v/>
      </c>
    </row>
    <row r="143">
      <c r="A143" t="n">
        <v>13</v>
      </c>
      <c r="B143" t="inlineStr">
        <is>
          <t>SPE7MC-18-V-0502</t>
        </is>
      </c>
      <c r="E143" t="n">
        <v>1</v>
      </c>
      <c r="F143" t="inlineStr">
        <is>
          <t>ERA</t>
        </is>
      </c>
      <c r="G143" s="4" t="n">
        <v>43024</v>
      </c>
      <c r="H143" t="n">
        <v>240</v>
      </c>
      <c r="I143" t="inlineStr">
        <is>
          <t>WSOC13</t>
        </is>
      </c>
      <c r="J143" t="inlineStr">
        <is>
          <t>Yes</t>
        </is>
      </c>
      <c r="K143" s="232" t="n">
        <v>1842.66</v>
      </c>
      <c r="L143" s="230" t="n">
        <v>1796.31</v>
      </c>
      <c r="M143" s="233">
        <f>K143-L143</f>
        <v/>
      </c>
      <c r="O143" s="233">
        <f>M143-N143</f>
        <v/>
      </c>
      <c r="P143" s="19">
        <f>(K143/L143)-1</f>
        <v/>
      </c>
    </row>
    <row r="144">
      <c r="A144" t="n">
        <v>14</v>
      </c>
      <c r="B144" t="inlineStr">
        <is>
          <t>SPE7M2-18-V-0090</t>
        </is>
      </c>
      <c r="E144" t="n">
        <v>3</v>
      </c>
      <c r="F144" t="inlineStr">
        <is>
          <t>Glenair</t>
        </is>
      </c>
      <c r="G144" s="4" t="n">
        <v>43024</v>
      </c>
      <c r="H144" t="n">
        <v>40</v>
      </c>
      <c r="I144" t="inlineStr">
        <is>
          <t>WSOC14</t>
        </is>
      </c>
      <c r="J144" t="inlineStr">
        <is>
          <t>Yes</t>
        </is>
      </c>
      <c r="K144" s="237" t="n">
        <v>987.63</v>
      </c>
      <c r="L144" s="230" t="n">
        <v>950.97</v>
      </c>
      <c r="M144" s="233">
        <f>K144-L144</f>
        <v/>
      </c>
      <c r="N144">
        <f>11.14+2.75</f>
        <v/>
      </c>
      <c r="O144" s="233">
        <f>M144-N144</f>
        <v/>
      </c>
      <c r="P144" s="19">
        <f>(K144/L144)-1</f>
        <v/>
      </c>
    </row>
    <row r="145">
      <c r="A145" t="n">
        <v>15</v>
      </c>
      <c r="B145" s="3" t="inlineStr">
        <is>
          <t>SPE7M4-18-P-0236</t>
        </is>
      </c>
      <c r="E145" t="n">
        <v>4</v>
      </c>
      <c r="F145" t="inlineStr">
        <is>
          <t>Prece</t>
        </is>
      </c>
      <c r="G145" s="4" t="n">
        <v>43027</v>
      </c>
      <c r="H145" t="n">
        <v>210</v>
      </c>
      <c r="I145" t="inlineStr">
        <is>
          <t>WSOC15</t>
        </is>
      </c>
      <c r="J145" t="inlineStr">
        <is>
          <t>Yes</t>
        </is>
      </c>
      <c r="K145" s="232" t="n">
        <v>20902.4</v>
      </c>
      <c r="L145" s="230" t="n">
        <v>20516</v>
      </c>
      <c r="M145" s="233">
        <f>K145-L145</f>
        <v/>
      </c>
      <c r="N145" t="n">
        <v>35.77</v>
      </c>
      <c r="O145" s="233">
        <f>M145-N145</f>
        <v/>
      </c>
      <c r="P145" s="19">
        <f>(K145/L145)-1</f>
        <v/>
      </c>
    </row>
    <row r="146">
      <c r="A146" t="n">
        <v>16</v>
      </c>
      <c r="B146" t="inlineStr">
        <is>
          <t>SPE7M1-18-V-0723</t>
        </is>
      </c>
      <c r="E146" t="n">
        <v>1</v>
      </c>
      <c r="F146" t="inlineStr">
        <is>
          <t>MIRADA</t>
        </is>
      </c>
      <c r="G146" s="4" t="n">
        <v>43027</v>
      </c>
      <c r="H146" t="n">
        <v>60</v>
      </c>
      <c r="I146" t="inlineStr">
        <is>
          <t>WSOC16</t>
        </is>
      </c>
      <c r="J146" t="inlineStr">
        <is>
          <t>Yes</t>
        </is>
      </c>
      <c r="K146" s="237" t="n">
        <v>99.7</v>
      </c>
      <c r="L146" s="230" t="n">
        <v>50</v>
      </c>
      <c r="M146" s="233">
        <f>K146-L146</f>
        <v/>
      </c>
      <c r="N146">
        <f>9.41+1.19</f>
        <v/>
      </c>
      <c r="O146" s="233">
        <f>M146-N146</f>
        <v/>
      </c>
      <c r="P146" s="19">
        <f>(K146/L146)-1</f>
        <v/>
      </c>
      <c r="Q146" t="inlineStr">
        <is>
          <t>WSNV004</t>
        </is>
      </c>
      <c r="R146" t="inlineStr">
        <is>
          <t>WSNVI005</t>
        </is>
      </c>
      <c r="S146" t="inlineStr">
        <is>
          <t>2F120374D52363000000005B</t>
        </is>
      </c>
    </row>
    <row r="147">
      <c r="A147" t="n">
        <v>17</v>
      </c>
      <c r="B147" t="inlineStr">
        <is>
          <t>SPE4A6-18-V-1232</t>
        </is>
      </c>
      <c r="E147" t="n">
        <v>82</v>
      </c>
      <c r="F147" t="inlineStr">
        <is>
          <t>Circuit Systems</t>
        </is>
      </c>
      <c r="G147" s="4" t="n">
        <v>43028</v>
      </c>
      <c r="H147" t="n">
        <v>80</v>
      </c>
      <c r="I147" t="inlineStr">
        <is>
          <t>WSOC17</t>
        </is>
      </c>
      <c r="J147" t="inlineStr">
        <is>
          <t>Yes</t>
        </is>
      </c>
      <c r="K147" s="232" t="n">
        <v>661.74</v>
      </c>
      <c r="L147" s="230" t="n">
        <v>615</v>
      </c>
      <c r="M147" s="233">
        <f>K147-L147</f>
        <v/>
      </c>
      <c r="O147" s="233">
        <f>M147-N147</f>
        <v/>
      </c>
      <c r="P147" s="19">
        <f>(K147/L147)-1</f>
        <v/>
      </c>
    </row>
    <row r="148">
      <c r="A148" t="n">
        <v>18</v>
      </c>
      <c r="B148" t="inlineStr">
        <is>
          <t>SPE4A6-18-V-1274</t>
        </is>
      </c>
      <c r="E148" t="n">
        <v>5</v>
      </c>
      <c r="F148" t="inlineStr">
        <is>
          <t>Glenair</t>
        </is>
      </c>
      <c r="G148" s="4" t="n">
        <v>43028</v>
      </c>
      <c r="H148" t="n">
        <v>40</v>
      </c>
      <c r="I148" t="inlineStr">
        <is>
          <t>WSOC18</t>
        </is>
      </c>
      <c r="J148" t="inlineStr">
        <is>
          <t>Yes</t>
        </is>
      </c>
      <c r="K148" s="232" t="n">
        <v>2306</v>
      </c>
      <c r="L148" s="230" t="n">
        <v>2260.8</v>
      </c>
      <c r="M148" s="233">
        <f>K148-L148</f>
        <v/>
      </c>
      <c r="N148" t="n">
        <v>11.14</v>
      </c>
      <c r="O148" s="233">
        <f>M148-N148</f>
        <v/>
      </c>
      <c r="P148" s="19">
        <f>(K148/L148)-1</f>
        <v/>
      </c>
    </row>
    <row r="149">
      <c r="A149" t="n">
        <v>19</v>
      </c>
      <c r="B149" t="inlineStr">
        <is>
          <t>SPE7M0-18-P-0288</t>
        </is>
      </c>
      <c r="E149" t="n">
        <v>4</v>
      </c>
      <c r="F149" t="inlineStr">
        <is>
          <t>National Ins</t>
        </is>
      </c>
      <c r="G149" s="4" t="n">
        <v>43031</v>
      </c>
      <c r="H149" t="n">
        <v>60</v>
      </c>
      <c r="I149" t="inlineStr">
        <is>
          <t>WSOC19</t>
        </is>
      </c>
      <c r="J149" t="inlineStr">
        <is>
          <t>Yes</t>
        </is>
      </c>
      <c r="K149" s="237" t="n">
        <v>2236.4</v>
      </c>
      <c r="L149" s="233" t="n">
        <v>2160</v>
      </c>
      <c r="M149" s="233">
        <f>K149-L149</f>
        <v/>
      </c>
      <c r="N149" t="n">
        <v>0</v>
      </c>
      <c r="O149" s="233">
        <f>M149-N149</f>
        <v/>
      </c>
      <c r="P149" s="19">
        <f>(K149/L149)-1</f>
        <v/>
      </c>
      <c r="Q149" t="inlineStr">
        <is>
          <t>WSNV002</t>
        </is>
      </c>
      <c r="R149" t="inlineStr">
        <is>
          <t>WSNVI002</t>
        </is>
      </c>
      <c r="S149" t="inlineStr">
        <is>
          <t>2F120374D523630000000059</t>
        </is>
      </c>
    </row>
    <row r="150">
      <c r="A150" t="n">
        <v>20</v>
      </c>
      <c r="B150" t="inlineStr">
        <is>
          <t>SPE7M1-17-P-7230</t>
        </is>
      </c>
      <c r="E150" t="n">
        <v>1</v>
      </c>
      <c r="F150" t="inlineStr">
        <is>
          <t>GEMS</t>
        </is>
      </c>
      <c r="G150" s="89" t="n">
        <v>43031</v>
      </c>
      <c r="H150" t="n">
        <v>100</v>
      </c>
      <c r="I150" t="inlineStr">
        <is>
          <t>WSOC20</t>
        </is>
      </c>
      <c r="J150" t="inlineStr">
        <is>
          <t>Yes</t>
        </is>
      </c>
      <c r="K150" s="232" t="n">
        <v>942</v>
      </c>
      <c r="L150" s="233" t="n">
        <v>905</v>
      </c>
      <c r="M150" s="233">
        <f>K150-L150</f>
        <v/>
      </c>
      <c r="N150" t="n">
        <v>12.06</v>
      </c>
      <c r="O150" s="233">
        <f>M150-N150</f>
        <v/>
      </c>
      <c r="P150" s="19">
        <f>(K150/L150)-1</f>
        <v/>
      </c>
    </row>
    <row r="151">
      <c r="A151" t="n">
        <v>21</v>
      </c>
      <c r="B151" t="inlineStr">
        <is>
          <t>SPE4A4-18-V-0639</t>
        </is>
      </c>
      <c r="E151" t="n">
        <v>2</v>
      </c>
      <c r="F151" t="inlineStr">
        <is>
          <t>USBGEAR</t>
        </is>
      </c>
      <c r="G151" s="4" t="n">
        <v>43031</v>
      </c>
      <c r="H151" t="n">
        <v>40</v>
      </c>
      <c r="I151" t="inlineStr">
        <is>
          <t>WSOC21</t>
        </is>
      </c>
      <c r="J151" t="inlineStr">
        <is>
          <t>Yes</t>
        </is>
      </c>
      <c r="K151" s="237" t="n">
        <v>91.78</v>
      </c>
      <c r="L151" s="233" t="n">
        <v>54</v>
      </c>
      <c r="M151" s="233">
        <f>K151-L151</f>
        <v/>
      </c>
      <c r="O151" s="233">
        <f>M151-N151</f>
        <v/>
      </c>
      <c r="P151" s="19">
        <f>(K151/L151)-1</f>
        <v/>
      </c>
      <c r="Q151" t="inlineStr">
        <is>
          <t>WSNV006</t>
        </is>
      </c>
      <c r="R151" t="inlineStr">
        <is>
          <t>WSNVI006</t>
        </is>
      </c>
      <c r="S151" t="inlineStr">
        <is>
          <t>2F120374D52363000000005C</t>
        </is>
      </c>
    </row>
    <row r="152">
      <c r="A152" t="n">
        <v>22</v>
      </c>
      <c r="B152" t="inlineStr">
        <is>
          <t>SPE5E8-18-V-0639</t>
        </is>
      </c>
      <c r="E152" t="n">
        <v>142</v>
      </c>
      <c r="F152" t="inlineStr">
        <is>
          <t>SEASTROM</t>
        </is>
      </c>
      <c r="G152" s="4" t="n">
        <v>43031</v>
      </c>
      <c r="H152" t="n">
        <v>130</v>
      </c>
      <c r="I152" t="inlineStr">
        <is>
          <t>WSOC22</t>
        </is>
      </c>
      <c r="J152" t="inlineStr">
        <is>
          <t>Yes</t>
        </is>
      </c>
      <c r="K152" s="237" t="n">
        <v>1821.86</v>
      </c>
      <c r="L152" s="233" t="n">
        <v>1779.57</v>
      </c>
      <c r="M152" s="233">
        <f>K152-L152</f>
        <v/>
      </c>
      <c r="N152" t="n">
        <v>22.71</v>
      </c>
      <c r="O152" s="233">
        <f>M152-N152</f>
        <v/>
      </c>
      <c r="P152" s="19">
        <f>(K152/L152)-1</f>
        <v/>
      </c>
    </row>
    <row r="153">
      <c r="A153" t="n">
        <v>23</v>
      </c>
      <c r="B153" t="inlineStr">
        <is>
          <t>SPE7M4-18-V-0677</t>
        </is>
      </c>
      <c r="E153" t="n">
        <v>6</v>
      </c>
      <c r="F153" t="inlineStr">
        <is>
          <t>PREECE</t>
        </is>
      </c>
      <c r="G153" s="4" t="n">
        <v>43031</v>
      </c>
      <c r="H153" t="n">
        <v>200</v>
      </c>
      <c r="I153" t="inlineStr">
        <is>
          <t>WSOC23</t>
        </is>
      </c>
      <c r="J153" t="inlineStr">
        <is>
          <t>Yes</t>
        </is>
      </c>
      <c r="K153" s="230" t="n">
        <v>7538.76</v>
      </c>
      <c r="L153" s="230" t="n">
        <v>7410</v>
      </c>
      <c r="M153" s="233">
        <f>K153-L153</f>
        <v/>
      </c>
      <c r="O153" s="233">
        <f>M153-N153</f>
        <v/>
      </c>
      <c r="P153" s="19">
        <f>(K153/L153)-1</f>
        <v/>
      </c>
    </row>
    <row r="154">
      <c r="A154" t="n">
        <v>24</v>
      </c>
      <c r="B154" t="inlineStr">
        <is>
          <t>SPE7M018P0299</t>
        </is>
      </c>
      <c r="E154" t="n">
        <v>2</v>
      </c>
      <c r="F154" t="inlineStr">
        <is>
          <t>GEMS</t>
        </is>
      </c>
      <c r="G154" s="4" t="n">
        <v>43032</v>
      </c>
      <c r="H154" t="n">
        <v>170</v>
      </c>
      <c r="I154" t="inlineStr">
        <is>
          <t>WSOC24</t>
        </is>
      </c>
      <c r="J154" t="inlineStr">
        <is>
          <t>Yes</t>
        </is>
      </c>
      <c r="K154" s="232" t="n">
        <v>3148.6</v>
      </c>
      <c r="L154" s="230">
        <f>3066+39.03</f>
        <v/>
      </c>
      <c r="M154" s="233">
        <f>K154-L154</f>
        <v/>
      </c>
      <c r="N154" t="n">
        <v>40.51</v>
      </c>
      <c r="O154" s="233">
        <f>M154-N154</f>
        <v/>
      </c>
      <c r="P154" s="19">
        <f>(K154/L154)-1</f>
        <v/>
      </c>
    </row>
    <row r="155">
      <c r="A155" t="n">
        <v>25</v>
      </c>
      <c r="B155" t="inlineStr">
        <is>
          <t>SPE7M0-18-V-0786</t>
        </is>
      </c>
      <c r="E155" t="n">
        <v>6</v>
      </c>
      <c r="F155" t="inlineStr">
        <is>
          <t>PBM</t>
        </is>
      </c>
      <c r="G155" s="4" t="n">
        <v>43032</v>
      </c>
      <c r="H155" t="n">
        <v>100</v>
      </c>
      <c r="I155" t="inlineStr">
        <is>
          <t>WSOC25</t>
        </is>
      </c>
      <c r="J155" t="inlineStr">
        <is>
          <t>Yes</t>
        </is>
      </c>
      <c r="K155" s="232" t="n">
        <v>5385.3</v>
      </c>
      <c r="L155" s="230" t="n">
        <v>5214</v>
      </c>
      <c r="M155" s="233">
        <f>K155-L155</f>
        <v/>
      </c>
      <c r="N155" t="n">
        <v>40.55</v>
      </c>
      <c r="O155" s="233">
        <f>M155-N155</f>
        <v/>
      </c>
      <c r="P155" s="19">
        <f>(K155/L155)-1</f>
        <v/>
      </c>
    </row>
    <row r="156">
      <c r="A156" t="n">
        <v>26</v>
      </c>
      <c r="B156" t="inlineStr">
        <is>
          <t>SPE7M0-17-P-4771</t>
        </is>
      </c>
      <c r="E156" t="n">
        <v>2</v>
      </c>
      <c r="F156" t="inlineStr">
        <is>
          <t>GEMS</t>
        </is>
      </c>
      <c r="G156" s="89" t="n">
        <v>43033</v>
      </c>
      <c r="I156" t="inlineStr">
        <is>
          <t>WSOC26</t>
        </is>
      </c>
      <c r="J156" t="inlineStr">
        <is>
          <t>Yes</t>
        </is>
      </c>
      <c r="K156" s="232" t="n">
        <v>1513.88</v>
      </c>
      <c r="L156" s="230" t="n">
        <v>1482.87</v>
      </c>
      <c r="M156" s="233">
        <f>K156-L156</f>
        <v/>
      </c>
      <c r="N156" t="n">
        <v>14.68</v>
      </c>
      <c r="O156" s="233">
        <f>M156-N156</f>
        <v/>
      </c>
      <c r="P156" s="19">
        <f>(K156/L156)-1</f>
        <v/>
      </c>
    </row>
    <row r="157">
      <c r="A157" t="n">
        <v>27</v>
      </c>
      <c r="B157" t="inlineStr">
        <is>
          <t>SPE7L0-18-V-0775</t>
        </is>
      </c>
      <c r="E157" t="n">
        <v>1</v>
      </c>
      <c r="F157" t="inlineStr">
        <is>
          <t>MORRIS MATERIAL</t>
        </is>
      </c>
      <c r="G157" s="4" t="n">
        <v>43033</v>
      </c>
      <c r="H157" t="n">
        <v>160</v>
      </c>
      <c r="I157" t="inlineStr">
        <is>
          <t>WSOC27</t>
        </is>
      </c>
      <c r="J157" t="inlineStr">
        <is>
          <t>Yes</t>
        </is>
      </c>
      <c r="K157" s="230" t="n">
        <v>2092.78</v>
      </c>
      <c r="L157" s="230" t="n">
        <v>2023</v>
      </c>
      <c r="M157" s="233">
        <f>K157-L157</f>
        <v/>
      </c>
      <c r="N157" t="n">
        <v>44.63</v>
      </c>
      <c r="O157" s="233">
        <f>M157-N157</f>
        <v/>
      </c>
      <c r="P157" s="19">
        <f>(K157/L157)-1</f>
        <v/>
      </c>
    </row>
    <row r="158">
      <c r="A158" t="n">
        <v>28</v>
      </c>
      <c r="B158" t="inlineStr">
        <is>
          <t>SPE7M5-18-V-0859</t>
        </is>
      </c>
      <c r="E158" t="n">
        <v>10</v>
      </c>
      <c r="F158" t="inlineStr">
        <is>
          <t>Phoenix Logis</t>
        </is>
      </c>
      <c r="G158" s="4" t="n">
        <v>43033</v>
      </c>
      <c r="H158" t="n">
        <v>100</v>
      </c>
      <c r="I158" t="inlineStr">
        <is>
          <t>WSOC28</t>
        </is>
      </c>
      <c r="J158" t="inlineStr">
        <is>
          <t>Yes</t>
        </is>
      </c>
      <c r="K158" s="232" t="n">
        <v>1056.2</v>
      </c>
      <c r="L158" s="230" t="n">
        <v>967</v>
      </c>
      <c r="M158" s="233">
        <f>K158-L158</f>
        <v/>
      </c>
      <c r="N158" t="n">
        <v>13.92</v>
      </c>
      <c r="O158" s="233">
        <f>M158-N158</f>
        <v/>
      </c>
      <c r="P158" s="19">
        <f>(K158/L158)-1</f>
        <v/>
      </c>
    </row>
    <row r="159">
      <c r="A159" t="n">
        <v>29</v>
      </c>
      <c r="B159" t="inlineStr">
        <is>
          <t>SPE7M5-18-V-0867</t>
        </is>
      </c>
      <c r="E159" t="n">
        <v>2</v>
      </c>
      <c r="F159" s="51" t="inlineStr">
        <is>
          <t>Glenair Adj Profit</t>
        </is>
      </c>
      <c r="G159" s="4" t="n">
        <v>43033</v>
      </c>
      <c r="H159" t="n">
        <v>120</v>
      </c>
      <c r="I159" s="3" t="inlineStr">
        <is>
          <t>WSOC29</t>
        </is>
      </c>
      <c r="J159" s="3" t="inlineStr">
        <is>
          <t>Yes</t>
        </is>
      </c>
      <c r="K159" s="243" t="n">
        <v>4239.2</v>
      </c>
      <c r="L159" s="231" t="n">
        <v>4197.46</v>
      </c>
      <c r="M159" s="233">
        <f>K159-L159</f>
        <v/>
      </c>
      <c r="N159" t="n">
        <v>11.67</v>
      </c>
      <c r="O159" s="233">
        <f>M159-N159</f>
        <v/>
      </c>
      <c r="P159" s="19">
        <f>(K159/L159)-1</f>
        <v/>
      </c>
    </row>
    <row r="160">
      <c r="A160" t="n">
        <v>30</v>
      </c>
      <c r="B160" t="inlineStr">
        <is>
          <t>SPE7M5-18-P-1196</t>
        </is>
      </c>
      <c r="E160" t="n">
        <v>24</v>
      </c>
      <c r="F160" t="inlineStr">
        <is>
          <t>Atrex Energy</t>
        </is>
      </c>
      <c r="G160" s="4" t="n">
        <v>43034</v>
      </c>
      <c r="H160" t="n">
        <v>90</v>
      </c>
      <c r="I160" t="inlineStr">
        <is>
          <t>WSOC30</t>
        </is>
      </c>
      <c r="J160" t="inlineStr">
        <is>
          <t>Yes</t>
        </is>
      </c>
      <c r="K160" s="237" t="n">
        <v>4059.36</v>
      </c>
      <c r="L160" s="230" t="n">
        <v>4008</v>
      </c>
      <c r="M160" s="233">
        <f>K160-L160</f>
        <v/>
      </c>
      <c r="O160" s="233">
        <f>M160-N160</f>
        <v/>
      </c>
      <c r="P160" s="19">
        <f>(K160/L160)-1</f>
        <v/>
      </c>
    </row>
    <row r="161">
      <c r="A161" t="n">
        <v>31</v>
      </c>
      <c r="B161" t="inlineStr">
        <is>
          <t>SPE7M5-18-V-0894</t>
        </is>
      </c>
      <c r="E161" t="n">
        <v>71</v>
      </c>
      <c r="F161" t="inlineStr">
        <is>
          <t>Glenair</t>
        </is>
      </c>
      <c r="G161" s="4" t="n">
        <v>43034</v>
      </c>
      <c r="H161" t="n">
        <v>90</v>
      </c>
      <c r="I161" t="inlineStr">
        <is>
          <t>WSOC31</t>
        </is>
      </c>
      <c r="J161" t="inlineStr">
        <is>
          <t>Yes</t>
        </is>
      </c>
      <c r="K161" s="230" t="n">
        <v>3665.73</v>
      </c>
      <c r="L161" s="230" t="n">
        <v>3587.63</v>
      </c>
      <c r="M161" s="233">
        <f>K161-L161</f>
        <v/>
      </c>
      <c r="O161" s="233">
        <f>M161-N161</f>
        <v/>
      </c>
      <c r="P161" s="19">
        <f>(K161/L161)-1</f>
        <v/>
      </c>
    </row>
    <row r="162">
      <c r="A162" t="n">
        <v>32</v>
      </c>
      <c r="B162" t="inlineStr">
        <is>
          <t>SPE7M5-18-P-1531</t>
        </is>
      </c>
      <c r="E162" t="n">
        <v>1</v>
      </c>
      <c r="F162" t="inlineStr">
        <is>
          <t>GEMS</t>
        </is>
      </c>
      <c r="G162" s="4" t="n">
        <v>43038</v>
      </c>
      <c r="H162" t="n">
        <v>120</v>
      </c>
      <c r="I162" s="58" t="inlineStr">
        <is>
          <t>WSOC32</t>
        </is>
      </c>
      <c r="J162" t="inlineStr">
        <is>
          <t>Yes</t>
        </is>
      </c>
      <c r="K162" s="232" t="n">
        <v>1308.58</v>
      </c>
      <c r="L162" s="230" t="n">
        <v>1285.07</v>
      </c>
      <c r="M162" s="233">
        <f>K162-L162</f>
        <v/>
      </c>
      <c r="N162" t="n">
        <v>11.35</v>
      </c>
      <c r="O162" s="233">
        <f>M162-N162</f>
        <v/>
      </c>
      <c r="P162" s="19">
        <f>(K162/L162)-1</f>
        <v/>
      </c>
    </row>
    <row r="163">
      <c r="A163" t="n">
        <v>33</v>
      </c>
      <c r="B163" t="inlineStr">
        <is>
          <t>SPE7L0-18-V-0955</t>
        </is>
      </c>
      <c r="E163" t="n">
        <v>40</v>
      </c>
      <c r="F163" t="inlineStr">
        <is>
          <t>GRISWOLD</t>
        </is>
      </c>
      <c r="G163" s="4" t="n">
        <v>43039</v>
      </c>
      <c r="H163" t="n">
        <v>70</v>
      </c>
      <c r="I163" s="58" t="inlineStr">
        <is>
          <t>WSOC33</t>
        </is>
      </c>
      <c r="J163" t="inlineStr">
        <is>
          <t>Yes</t>
        </is>
      </c>
      <c r="K163" s="237" t="n">
        <v>3288</v>
      </c>
      <c r="L163" s="230" t="n">
        <v>3200</v>
      </c>
      <c r="M163" s="233">
        <f>K163-L163</f>
        <v/>
      </c>
      <c r="N163" t="n">
        <v>13.24</v>
      </c>
      <c r="O163" s="233">
        <f>M163-N163</f>
        <v/>
      </c>
      <c r="P163" s="19">
        <f>(K163/L163)-1</f>
        <v/>
      </c>
    </row>
    <row r="164">
      <c r="A164" t="n">
        <v>34</v>
      </c>
      <c r="B164" t="inlineStr">
        <is>
          <t>SPE4A6-18-P-1820</t>
        </is>
      </c>
      <c r="E164" t="n">
        <v>3</v>
      </c>
      <c r="F164" t="inlineStr">
        <is>
          <t>GEMS</t>
        </is>
      </c>
      <c r="G164" s="4" t="n">
        <v>43039</v>
      </c>
      <c r="H164" t="n">
        <v>120</v>
      </c>
      <c r="I164" s="58" t="inlineStr">
        <is>
          <t>WSOC34</t>
        </is>
      </c>
      <c r="J164" t="inlineStr">
        <is>
          <t>Yes</t>
        </is>
      </c>
      <c r="K164" s="232" t="n">
        <v>19158</v>
      </c>
      <c r="L164" s="230">
        <f>18825+20.08</f>
        <v/>
      </c>
      <c r="M164" s="233">
        <f>K164-L164</f>
        <v/>
      </c>
      <c r="N164" t="n">
        <v>42.34</v>
      </c>
      <c r="O164" s="233">
        <f>M164-N164</f>
        <v/>
      </c>
      <c r="P164" s="19">
        <f>(K164/L164)-1</f>
        <v/>
      </c>
    </row>
    <row r="165">
      <c r="A165" t="n">
        <v>35</v>
      </c>
      <c r="B165" t="inlineStr">
        <is>
          <t>SPE4A4-18-V-0940</t>
        </is>
      </c>
      <c r="E165" t="n">
        <v>19</v>
      </c>
      <c r="F165" t="inlineStr">
        <is>
          <t>ERA</t>
        </is>
      </c>
      <c r="G165" s="4" t="n">
        <v>43039</v>
      </c>
      <c r="H165" t="n">
        <v>280</v>
      </c>
      <c r="I165" t="inlineStr">
        <is>
          <t>WSOC35</t>
        </is>
      </c>
      <c r="J165" t="inlineStr">
        <is>
          <t>Yes</t>
        </is>
      </c>
      <c r="K165" s="232" t="n">
        <v>4024.39</v>
      </c>
      <c r="L165" s="230" t="n">
        <v>3951.81</v>
      </c>
      <c r="M165" s="233">
        <f>K165-L165</f>
        <v/>
      </c>
      <c r="N165" t="n">
        <v>12.83</v>
      </c>
      <c r="O165" s="233">
        <f>M165-N165</f>
        <v/>
      </c>
      <c r="P165" s="19">
        <f>(K165/L165)-1</f>
        <v/>
      </c>
    </row>
    <row r="166">
      <c r="A166" t="n">
        <v>36</v>
      </c>
      <c r="B166" t="inlineStr">
        <is>
          <t>SPE7M5-18-V-0992</t>
        </is>
      </c>
      <c r="E166" t="n">
        <v>17</v>
      </c>
      <c r="F166" t="inlineStr">
        <is>
          <t>CONNECTIVE</t>
        </is>
      </c>
      <c r="G166" s="4" t="n">
        <v>43039</v>
      </c>
      <c r="H166" t="n">
        <v>90</v>
      </c>
      <c r="I166" t="inlineStr">
        <is>
          <t>WSOC36</t>
        </is>
      </c>
      <c r="J166" t="inlineStr">
        <is>
          <t>Yes</t>
        </is>
      </c>
      <c r="K166" s="237" t="n">
        <v>1757.46</v>
      </c>
      <c r="L166" s="230" t="n">
        <v>1700</v>
      </c>
      <c r="M166" s="233">
        <f>K166-L166</f>
        <v/>
      </c>
      <c r="O166" s="233">
        <f>M166-N166</f>
        <v/>
      </c>
      <c r="P166" s="19">
        <f>(K166/L166)-1</f>
        <v/>
      </c>
    </row>
    <row r="167">
      <c r="K167" s="243">
        <f>SUM(K131:K166)</f>
        <v/>
      </c>
      <c r="L167" s="240">
        <f>SUM(L131:L166)</f>
        <v/>
      </c>
      <c r="M167" s="240">
        <f>SUM(M131:M166)</f>
        <v/>
      </c>
      <c r="O167" s="233">
        <f>M167-N167</f>
        <v/>
      </c>
      <c r="P167" s="92">
        <f>(K167/L167)-1</f>
        <v/>
      </c>
    </row>
    <row r="168">
      <c r="G168" s="4" t="n"/>
      <c r="O168" s="233">
        <f>M168-N168</f>
        <v/>
      </c>
    </row>
    <row r="169">
      <c r="A169" t="n">
        <v>1</v>
      </c>
      <c r="B169" t="inlineStr">
        <is>
          <t>SPE7M0-18-V-1129</t>
        </is>
      </c>
      <c r="E169" t="n">
        <v>66</v>
      </c>
      <c r="F169" t="inlineStr">
        <is>
          <t>Glenair</t>
        </is>
      </c>
      <c r="G169" s="4" t="n">
        <v>43041</v>
      </c>
      <c r="H169" t="n">
        <v>90</v>
      </c>
      <c r="I169" s="58" t="inlineStr">
        <is>
          <t>WSNO01</t>
        </is>
      </c>
      <c r="J169" t="inlineStr">
        <is>
          <t>Yes</t>
        </is>
      </c>
      <c r="K169" s="232" t="n">
        <v>2761.44</v>
      </c>
      <c r="L169" s="230" t="n">
        <v>2671.81</v>
      </c>
      <c r="M169" s="233">
        <f>K169-L169</f>
        <v/>
      </c>
      <c r="O169" s="233">
        <f>M169-N169</f>
        <v/>
      </c>
      <c r="P169" s="19">
        <f>(K169/L169)-1</f>
        <v/>
      </c>
    </row>
    <row r="170">
      <c r="A170" t="n">
        <v>2</v>
      </c>
      <c r="B170" t="inlineStr">
        <is>
          <t>SPE7M0-18-V-1142</t>
        </is>
      </c>
      <c r="E170" t="n">
        <v>2</v>
      </c>
      <c r="F170" t="inlineStr">
        <is>
          <t>Glenair</t>
        </is>
      </c>
      <c r="G170" s="4" t="n">
        <v>43041</v>
      </c>
      <c r="H170" t="n">
        <v>60</v>
      </c>
      <c r="I170" t="inlineStr">
        <is>
          <t>WSNO02</t>
        </is>
      </c>
      <c r="J170" t="inlineStr">
        <is>
          <t>Yes</t>
        </is>
      </c>
      <c r="K170" s="232" t="n">
        <v>734.92</v>
      </c>
      <c r="L170" s="230" t="n">
        <v>693.16</v>
      </c>
      <c r="M170" s="233">
        <f>K170-L170</f>
        <v/>
      </c>
      <c r="N170" t="n">
        <v>9.69</v>
      </c>
      <c r="O170" s="233">
        <f>M170-N170</f>
        <v/>
      </c>
      <c r="P170" s="19">
        <f>(K170/L170)-1</f>
        <v/>
      </c>
    </row>
    <row r="171">
      <c r="A171" t="n">
        <v>3</v>
      </c>
      <c r="B171" s="71" t="inlineStr">
        <is>
          <t>SPE7M0-18-V-1144</t>
        </is>
      </c>
      <c r="E171" t="n">
        <v>24</v>
      </c>
      <c r="F171" t="inlineStr">
        <is>
          <t>Glenair</t>
        </is>
      </c>
      <c r="G171" s="4" t="n">
        <v>43041</v>
      </c>
      <c r="H171" t="n">
        <v>70</v>
      </c>
      <c r="I171" s="58" t="inlineStr">
        <is>
          <t>WSNO03</t>
        </is>
      </c>
      <c r="J171" t="inlineStr">
        <is>
          <t>Yes</t>
        </is>
      </c>
      <c r="K171" s="232" t="n">
        <v>1393.44</v>
      </c>
      <c r="L171" s="230" t="n">
        <v>1355.04</v>
      </c>
      <c r="M171" s="233">
        <f>K171-L171</f>
        <v/>
      </c>
      <c r="N171" t="n">
        <v>11.69</v>
      </c>
      <c r="O171" s="233">
        <f>M171-N171</f>
        <v/>
      </c>
      <c r="P171" s="19">
        <f>(K171/L171)-1</f>
        <v/>
      </c>
    </row>
    <row r="172">
      <c r="A172" t="n">
        <v>4</v>
      </c>
      <c r="B172" s="71" t="inlineStr">
        <is>
          <t>SPE7L0-18-V-1039</t>
        </is>
      </c>
      <c r="E172" t="n">
        <v>1</v>
      </c>
      <c r="F172" t="inlineStr">
        <is>
          <t>NORMAN FILTER</t>
        </is>
      </c>
      <c r="G172" s="4" t="n">
        <v>43041</v>
      </c>
      <c r="H172" t="n">
        <v>60</v>
      </c>
      <c r="I172" t="inlineStr">
        <is>
          <t>WSNO04</t>
        </is>
      </c>
      <c r="J172" t="inlineStr">
        <is>
          <t>Yes</t>
        </is>
      </c>
      <c r="K172" s="232" t="n">
        <v>89.73999999999999</v>
      </c>
      <c r="L172" s="230" t="n">
        <v>50</v>
      </c>
      <c r="M172" s="233">
        <f>K172-L172</f>
        <v/>
      </c>
      <c r="N172" t="n">
        <v>10.17</v>
      </c>
      <c r="O172" s="233">
        <f>M172-N172</f>
        <v/>
      </c>
      <c r="P172" s="19">
        <f>(K172/L172)-1</f>
        <v/>
      </c>
    </row>
    <row r="173">
      <c r="A173" t="n">
        <v>5</v>
      </c>
      <c r="B173" t="inlineStr">
        <is>
          <t>SPE7M0-18-V-1208</t>
        </is>
      </c>
      <c r="E173" t="n">
        <v>10</v>
      </c>
      <c r="F173" t="inlineStr">
        <is>
          <t>Glenair</t>
        </is>
      </c>
      <c r="G173" s="4" t="n">
        <v>43042</v>
      </c>
      <c r="H173" t="n">
        <v>70</v>
      </c>
      <c r="I173" t="inlineStr">
        <is>
          <t>WSNO05</t>
        </is>
      </c>
      <c r="J173" t="inlineStr">
        <is>
          <t>Yes</t>
        </is>
      </c>
      <c r="K173" s="232" t="n">
        <v>2064.8</v>
      </c>
      <c r="L173" s="230" t="n">
        <v>2017.16</v>
      </c>
      <c r="M173" s="233">
        <f>K173-L173</f>
        <v/>
      </c>
      <c r="N173" t="n">
        <v>12.35</v>
      </c>
      <c r="O173" s="233">
        <f>M173-N173</f>
        <v/>
      </c>
      <c r="P173" s="19">
        <f>(K173/L173)-1</f>
        <v/>
      </c>
    </row>
    <row r="174">
      <c r="A174" t="n">
        <v>6</v>
      </c>
      <c r="B174" t="inlineStr">
        <is>
          <t>SPE7M5-18-V-1091</t>
        </is>
      </c>
      <c r="E174" t="n">
        <v>7</v>
      </c>
      <c r="F174" t="inlineStr">
        <is>
          <t>Glenair</t>
        </is>
      </c>
      <c r="G174" s="4" t="n">
        <v>43045</v>
      </c>
      <c r="H174" t="n">
        <v>70</v>
      </c>
      <c r="I174" t="inlineStr">
        <is>
          <t>WSNO06</t>
        </is>
      </c>
      <c r="J174" t="inlineStr">
        <is>
          <t>Yes</t>
        </is>
      </c>
      <c r="K174" t="n">
        <v>584.92</v>
      </c>
      <c r="L174" s="230" t="n">
        <v>551.88</v>
      </c>
      <c r="M174" s="233">
        <f>K174-L174</f>
        <v/>
      </c>
      <c r="N174" t="n">
        <v>9.69</v>
      </c>
      <c r="O174" s="233">
        <f>M174-N174</f>
        <v/>
      </c>
      <c r="P174" s="19">
        <f>(K174/L174)-1</f>
        <v/>
      </c>
    </row>
    <row r="175">
      <c r="A175" t="n">
        <v>7</v>
      </c>
      <c r="B175" t="inlineStr">
        <is>
          <t>SPE7M5-18-V-1141</t>
        </is>
      </c>
      <c r="E175" t="n">
        <v>142</v>
      </c>
      <c r="F175" t="inlineStr">
        <is>
          <t>Glenair</t>
        </is>
      </c>
      <c r="G175" s="4" t="n">
        <v>43045</v>
      </c>
      <c r="H175" t="n">
        <v>90</v>
      </c>
      <c r="I175" t="inlineStr">
        <is>
          <t>WSNO07</t>
        </is>
      </c>
      <c r="J175" t="inlineStr">
        <is>
          <t>Yes</t>
        </is>
      </c>
      <c r="K175" s="46" t="n">
        <v>3523.02</v>
      </c>
      <c r="L175" s="230" t="n">
        <v>3408</v>
      </c>
      <c r="M175" s="233">
        <f>K175-L175</f>
        <v/>
      </c>
      <c r="N175" t="n">
        <v>14.52</v>
      </c>
      <c r="O175" s="233">
        <f>M175-N175</f>
        <v/>
      </c>
      <c r="P175" s="19">
        <f>(K175/L175)-1</f>
        <v/>
      </c>
    </row>
    <row r="176">
      <c r="A176" t="n">
        <v>8</v>
      </c>
      <c r="B176" s="71" t="inlineStr">
        <is>
          <t>SPE7M5-18-V-1160</t>
        </is>
      </c>
      <c r="E176" t="n">
        <v>1</v>
      </c>
      <c r="F176" t="inlineStr">
        <is>
          <t>Glenair</t>
        </is>
      </c>
      <c r="G176" s="4" t="n">
        <v>43045</v>
      </c>
      <c r="H176" t="n">
        <v>40</v>
      </c>
      <c r="I176" t="inlineStr">
        <is>
          <t>WSNO08</t>
        </is>
      </c>
      <c r="J176" t="inlineStr">
        <is>
          <t>Yes</t>
        </is>
      </c>
      <c r="K176" t="n">
        <v>542.48</v>
      </c>
      <c r="L176" s="230" t="n">
        <v>506.63</v>
      </c>
      <c r="M176" s="233">
        <f>K176-L176</f>
        <v/>
      </c>
      <c r="N176" t="n">
        <v>9.69</v>
      </c>
      <c r="O176" s="233">
        <f>M176-N176</f>
        <v/>
      </c>
      <c r="P176" s="19">
        <f>(K176/L176)-1</f>
        <v/>
      </c>
    </row>
    <row r="177">
      <c r="A177" t="n">
        <v>9</v>
      </c>
      <c r="B177" t="inlineStr">
        <is>
          <t>SPE7M5-18-V-1162</t>
        </is>
      </c>
      <c r="E177" t="n">
        <v>40</v>
      </c>
      <c r="F177" t="inlineStr">
        <is>
          <t>Glenair</t>
        </is>
      </c>
      <c r="G177" s="4" t="n">
        <v>43045</v>
      </c>
      <c r="H177" t="n">
        <v>90</v>
      </c>
      <c r="I177" t="inlineStr">
        <is>
          <t>WSNO09</t>
        </is>
      </c>
      <c r="J177" t="inlineStr">
        <is>
          <t>yes</t>
        </is>
      </c>
      <c r="K177" s="230" t="n">
        <v>4319.2</v>
      </c>
      <c r="L177" s="230" t="n">
        <v>4244.8</v>
      </c>
      <c r="M177" s="233">
        <f>K177-L177</f>
        <v/>
      </c>
      <c r="N177" t="n">
        <v>14.03</v>
      </c>
      <c r="O177" s="233">
        <f>M177-N177</f>
        <v/>
      </c>
      <c r="P177" s="19">
        <f>(K177/L177)-1</f>
        <v/>
      </c>
    </row>
    <row r="178">
      <c r="A178" t="n">
        <v>10</v>
      </c>
      <c r="B178" t="inlineStr">
        <is>
          <t>SPE5EK-18-V-0583</t>
        </is>
      </c>
      <c r="E178" t="n">
        <v>36</v>
      </c>
      <c r="F178" t="inlineStr">
        <is>
          <t>MORRIS MATERIAL</t>
        </is>
      </c>
      <c r="G178" s="4" t="n">
        <v>43045</v>
      </c>
      <c r="H178" t="n">
        <v>90</v>
      </c>
      <c r="I178" t="inlineStr">
        <is>
          <t>WSNO10</t>
        </is>
      </c>
      <c r="J178" t="inlineStr">
        <is>
          <t>Yes</t>
        </is>
      </c>
      <c r="K178" s="237" t="n">
        <v>2567.16</v>
      </c>
      <c r="L178" s="230" t="n">
        <v>2484</v>
      </c>
      <c r="M178" s="233">
        <f>K178-L178</f>
        <v/>
      </c>
      <c r="N178" t="n">
        <v>19.12</v>
      </c>
      <c r="O178" s="233">
        <f>M178-N178</f>
        <v/>
      </c>
      <c r="P178" s="19">
        <f>(K178/L178)-1</f>
        <v/>
      </c>
    </row>
    <row r="179">
      <c r="A179" t="n">
        <v>11</v>
      </c>
      <c r="B179" s="71" t="inlineStr">
        <is>
          <t>SPE7MC-18-V-1096</t>
        </is>
      </c>
      <c r="E179" t="n">
        <v>66</v>
      </c>
      <c r="F179" t="inlineStr">
        <is>
          <t>Glenair</t>
        </is>
      </c>
      <c r="G179" s="4" t="n">
        <v>43045</v>
      </c>
      <c r="H179" t="n">
        <v>100</v>
      </c>
      <c r="I179" s="58" t="inlineStr">
        <is>
          <t>WSNO11</t>
        </is>
      </c>
      <c r="J179" t="inlineStr">
        <is>
          <t>Yes</t>
        </is>
      </c>
      <c r="K179" s="232" t="n">
        <v>4202.22</v>
      </c>
      <c r="L179" s="230" t="n">
        <v>4091.34</v>
      </c>
      <c r="M179" s="233">
        <f>K179-L179</f>
        <v/>
      </c>
      <c r="N179" t="n">
        <v>14.69</v>
      </c>
      <c r="O179" s="233">
        <f>M179-N179</f>
        <v/>
      </c>
      <c r="P179" s="19">
        <f>(K179/L179)-1</f>
        <v/>
      </c>
    </row>
    <row r="180">
      <c r="A180" t="n">
        <v>12</v>
      </c>
      <c r="B180" t="inlineStr">
        <is>
          <t>SPE7MC-18-V-1129</t>
        </is>
      </c>
      <c r="E180" t="n">
        <v>23</v>
      </c>
      <c r="F180" t="inlineStr">
        <is>
          <t>Glenair</t>
        </is>
      </c>
      <c r="G180" s="4" t="n">
        <v>43045</v>
      </c>
      <c r="H180" t="n">
        <v>50</v>
      </c>
      <c r="I180" t="inlineStr">
        <is>
          <t>WSNO12</t>
        </is>
      </c>
      <c r="J180" t="inlineStr">
        <is>
          <t>Yes</t>
        </is>
      </c>
      <c r="K180" s="232" t="n">
        <v>1672.1</v>
      </c>
      <c r="L180" s="230" t="n">
        <v>1634.24</v>
      </c>
      <c r="M180" s="233">
        <f>K180-L180</f>
        <v/>
      </c>
      <c r="N180" t="n">
        <v>13.82</v>
      </c>
      <c r="O180" s="233">
        <f>M180-N180</f>
        <v/>
      </c>
      <c r="P180" s="19">
        <f>(K180/L180)-1</f>
        <v/>
      </c>
    </row>
    <row r="181">
      <c r="A181" t="n">
        <v>13</v>
      </c>
      <c r="B181" t="inlineStr">
        <is>
          <t>SPE7M5-18-V-1106</t>
        </is>
      </c>
      <c r="E181" t="n">
        <v>22</v>
      </c>
      <c r="F181" t="inlineStr">
        <is>
          <t>Glenair</t>
        </is>
      </c>
      <c r="G181" s="4" t="n">
        <v>43046</v>
      </c>
      <c r="H181" t="n">
        <v>90</v>
      </c>
      <c r="I181" t="inlineStr">
        <is>
          <t>WSNO13</t>
        </is>
      </c>
      <c r="J181" t="inlineStr">
        <is>
          <t>Yes</t>
        </is>
      </c>
      <c r="K181" s="232" t="n">
        <v>993.96</v>
      </c>
      <c r="L181" t="n">
        <v>950</v>
      </c>
      <c r="M181" s="233">
        <f>K181-L181</f>
        <v/>
      </c>
      <c r="O181" s="233">
        <f>M181-N181</f>
        <v/>
      </c>
      <c r="P181" s="19">
        <f>(K181/L181)-1</f>
        <v/>
      </c>
    </row>
    <row r="182">
      <c r="A182" t="n">
        <v>14</v>
      </c>
      <c r="B182" t="inlineStr">
        <is>
          <t>SPE7M5-18-V-1321</t>
        </is>
      </c>
      <c r="E182" t="n">
        <v>1</v>
      </c>
      <c r="F182" t="inlineStr">
        <is>
          <t>Glenair</t>
        </is>
      </c>
      <c r="G182" s="4" t="n">
        <v>43047</v>
      </c>
      <c r="H182" t="n">
        <v>60</v>
      </c>
      <c r="I182" s="58" t="inlineStr">
        <is>
          <t>WSNO14</t>
        </is>
      </c>
      <c r="J182" t="inlineStr">
        <is>
          <t>Yes</t>
        </is>
      </c>
      <c r="K182" s="232" t="n">
        <v>126.66</v>
      </c>
      <c r="L182" s="230" t="n">
        <v>90.73</v>
      </c>
      <c r="M182" s="233">
        <f>K182-L182</f>
        <v/>
      </c>
      <c r="N182" t="n">
        <v>9.710000000000001</v>
      </c>
      <c r="O182" s="233">
        <f>M182-N182</f>
        <v/>
      </c>
      <c r="P182" s="19">
        <f>(K182/L182)-1</f>
        <v/>
      </c>
    </row>
    <row r="183">
      <c r="A183" t="n">
        <v>15</v>
      </c>
      <c r="B183" t="inlineStr">
        <is>
          <t>SPE7M5-18-V-1322</t>
        </is>
      </c>
      <c r="E183" t="n">
        <v>14</v>
      </c>
      <c r="F183" t="inlineStr">
        <is>
          <t>National</t>
        </is>
      </c>
      <c r="G183" s="4" t="n">
        <v>43047</v>
      </c>
      <c r="H183" t="n">
        <v>60</v>
      </c>
      <c r="I183" s="58" t="inlineStr">
        <is>
          <t>WSNO15</t>
        </is>
      </c>
      <c r="J183" t="inlineStr">
        <is>
          <t>Yes</t>
        </is>
      </c>
      <c r="K183" s="237" t="n">
        <v>582.96</v>
      </c>
      <c r="L183" s="230" t="n">
        <v>546</v>
      </c>
      <c r="M183" s="233">
        <f>K183-L183</f>
        <v/>
      </c>
      <c r="O183" s="233">
        <f>M183-N183</f>
        <v/>
      </c>
      <c r="P183" s="19">
        <f>(K183/L183)-1</f>
        <v/>
      </c>
    </row>
    <row r="184">
      <c r="A184" t="n">
        <v>16</v>
      </c>
      <c r="B184" t="inlineStr">
        <is>
          <t>SPE7MC-18-V-1179</t>
        </is>
      </c>
      <c r="E184" t="n">
        <v>1</v>
      </c>
      <c r="F184" t="inlineStr">
        <is>
          <t>PREECE</t>
        </is>
      </c>
      <c r="G184" s="4" t="n">
        <v>43047</v>
      </c>
      <c r="H184" t="n">
        <v>210</v>
      </c>
      <c r="I184" s="58" t="inlineStr">
        <is>
          <t>WSNO16</t>
        </is>
      </c>
      <c r="J184" t="inlineStr">
        <is>
          <t>Yes</t>
        </is>
      </c>
      <c r="K184" s="232" t="n">
        <v>11940</v>
      </c>
      <c r="L184" s="230" t="n">
        <v>11610</v>
      </c>
      <c r="M184" s="233">
        <f>K184-L184</f>
        <v/>
      </c>
      <c r="N184" t="n">
        <v>85.91</v>
      </c>
      <c r="O184" s="233">
        <f>M184-N184</f>
        <v/>
      </c>
      <c r="P184" s="19">
        <f>(K184/L184)-1</f>
        <v/>
      </c>
    </row>
    <row r="185">
      <c r="A185" t="n">
        <v>17</v>
      </c>
      <c r="B185" t="inlineStr">
        <is>
          <t>SPE7M5-18-V-1182</t>
        </is>
      </c>
      <c r="E185" t="n">
        <v>6</v>
      </c>
      <c r="F185" t="inlineStr">
        <is>
          <t>Glenair</t>
        </is>
      </c>
      <c r="G185" s="4" t="n">
        <v>43047</v>
      </c>
      <c r="H185" t="n">
        <v>40</v>
      </c>
      <c r="I185" s="58" t="inlineStr">
        <is>
          <t>WSNO17</t>
        </is>
      </c>
      <c r="J185" t="inlineStr">
        <is>
          <t>Yes</t>
        </is>
      </c>
      <c r="K185" s="230" t="n">
        <v>2181.6</v>
      </c>
      <c r="L185" s="230" t="n">
        <v>2130.54</v>
      </c>
      <c r="M185" s="233">
        <f>K185-L185</f>
        <v/>
      </c>
      <c r="N185" t="n">
        <v>12.35</v>
      </c>
      <c r="O185" s="233">
        <f>M185-N185</f>
        <v/>
      </c>
      <c r="P185" s="19">
        <f>(K185/L185)-1</f>
        <v/>
      </c>
    </row>
    <row r="186">
      <c r="A186" t="n">
        <v>18</v>
      </c>
      <c r="B186" t="inlineStr">
        <is>
          <t>SPE7M5-18-V-1410</t>
        </is>
      </c>
      <c r="E186" t="n">
        <v>73</v>
      </c>
      <c r="F186" t="inlineStr">
        <is>
          <t>ITT</t>
        </is>
      </c>
      <c r="G186" s="4" t="n">
        <v>43047</v>
      </c>
      <c r="H186" t="n">
        <v>120</v>
      </c>
      <c r="I186" s="58" t="inlineStr">
        <is>
          <t>WSNO18</t>
        </is>
      </c>
      <c r="J186" t="inlineStr">
        <is>
          <t>Yes</t>
        </is>
      </c>
      <c r="K186" s="230" t="n">
        <v>3060.16</v>
      </c>
      <c r="L186" s="230" t="n">
        <v>2994.46</v>
      </c>
      <c r="M186" s="233">
        <f>K186-L186</f>
        <v/>
      </c>
      <c r="O186" s="233">
        <f>M186-N186</f>
        <v/>
      </c>
      <c r="P186" s="19">
        <f>(K186/L186)-1</f>
        <v/>
      </c>
    </row>
    <row r="187">
      <c r="A187" t="n">
        <v>19</v>
      </c>
      <c r="B187" t="inlineStr">
        <is>
          <t>SPE7M5-18-V-1440</t>
        </is>
      </c>
      <c r="E187" t="n">
        <v>63</v>
      </c>
      <c r="F187" t="inlineStr">
        <is>
          <t>Glenair</t>
        </is>
      </c>
      <c r="G187" s="4" t="n">
        <v>43047</v>
      </c>
      <c r="H187" t="n">
        <v>70</v>
      </c>
      <c r="I187" s="58" t="inlineStr">
        <is>
          <t>WSNO19</t>
        </is>
      </c>
      <c r="J187" t="inlineStr">
        <is>
          <t>Yes</t>
        </is>
      </c>
      <c r="K187" s="230" t="n">
        <v>2368.17</v>
      </c>
      <c r="L187" s="230" t="n">
        <v>2291.31</v>
      </c>
      <c r="M187" s="233">
        <f>K187-L187</f>
        <v/>
      </c>
      <c r="N187" t="n">
        <v>14.52</v>
      </c>
      <c r="O187" s="233">
        <f>M187-N187</f>
        <v/>
      </c>
      <c r="P187" s="19">
        <f>(K187/L187)-1</f>
        <v/>
      </c>
    </row>
    <row r="188">
      <c r="A188" t="n">
        <v>20</v>
      </c>
      <c r="B188" t="inlineStr">
        <is>
          <t>SPE7M1-18-V-0627</t>
        </is>
      </c>
      <c r="E188" t="n">
        <v>2</v>
      </c>
      <c r="F188" t="inlineStr">
        <is>
          <t>ERA</t>
        </is>
      </c>
      <c r="G188" s="4" t="n">
        <v>43048</v>
      </c>
      <c r="H188" t="n">
        <v>240</v>
      </c>
      <c r="I188" t="inlineStr">
        <is>
          <t>WSNO20</t>
        </is>
      </c>
      <c r="J188" t="inlineStr">
        <is>
          <t>Yes</t>
        </is>
      </c>
      <c r="K188" s="230" t="n">
        <v>1530.6</v>
      </c>
      <c r="L188" s="230" t="n">
        <v>1483.64</v>
      </c>
      <c r="M188" s="233">
        <f>K188-L188</f>
        <v/>
      </c>
      <c r="O188" s="233">
        <f>M188-N188</f>
        <v/>
      </c>
      <c r="P188" s="19">
        <f>(K188/L188)-1</f>
        <v/>
      </c>
    </row>
    <row r="189">
      <c r="A189" t="n">
        <v>21</v>
      </c>
      <c r="B189" t="inlineStr">
        <is>
          <t>SPE7M5-18-V-1463</t>
        </is>
      </c>
      <c r="E189" t="n">
        <v>2</v>
      </c>
      <c r="F189" t="inlineStr">
        <is>
          <t>Glenair</t>
        </is>
      </c>
      <c r="G189" s="4" t="n">
        <v>43048</v>
      </c>
      <c r="H189" t="n">
        <v>90</v>
      </c>
      <c r="I189" t="inlineStr">
        <is>
          <t>WSNO21</t>
        </is>
      </c>
      <c r="K189" s="230" t="n">
        <v>395.2</v>
      </c>
      <c r="L189" s="230" t="n">
        <v>357.9</v>
      </c>
      <c r="M189" s="233">
        <f>K189-L189</f>
        <v/>
      </c>
      <c r="N189" t="n">
        <v>10.17</v>
      </c>
      <c r="O189" s="233">
        <f>M189-N189</f>
        <v/>
      </c>
      <c r="P189" s="19">
        <f>(K189/L189)-1</f>
        <v/>
      </c>
    </row>
    <row r="190">
      <c r="A190" t="n">
        <v>22</v>
      </c>
      <c r="B190" t="inlineStr">
        <is>
          <t>SPE7M1-18-V-1543</t>
        </is>
      </c>
      <c r="E190" t="n">
        <v>5</v>
      </c>
      <c r="F190" t="inlineStr">
        <is>
          <t>ERA-MAGNETIC SENS</t>
        </is>
      </c>
      <c r="G190" s="4" t="n">
        <v>43052</v>
      </c>
      <c r="H190" t="n">
        <v>240</v>
      </c>
      <c r="I190" t="inlineStr">
        <is>
          <t>WSNO22</t>
        </is>
      </c>
      <c r="J190" t="inlineStr">
        <is>
          <t>Yes</t>
        </is>
      </c>
      <c r="K190" s="230" t="n">
        <v>11058.5</v>
      </c>
      <c r="L190" s="230" t="n">
        <v>10929.5</v>
      </c>
      <c r="M190" s="233">
        <f>K190-L190</f>
        <v/>
      </c>
      <c r="N190" t="n">
        <v>14.56</v>
      </c>
      <c r="O190" s="233">
        <f>M190-N190</f>
        <v/>
      </c>
      <c r="P190" s="19">
        <f>(K190/L190)-1</f>
        <v/>
      </c>
    </row>
    <row r="191">
      <c r="A191" t="n">
        <v>23</v>
      </c>
      <c r="B191" t="inlineStr">
        <is>
          <t>SPE7M1-18-P-0967</t>
        </is>
      </c>
      <c r="E191" t="n">
        <v>2</v>
      </c>
      <c r="F191" t="inlineStr">
        <is>
          <t>GEMS</t>
        </is>
      </c>
      <c r="G191" s="4" t="n">
        <v>43053</v>
      </c>
      <c r="H191" t="n">
        <v>120</v>
      </c>
      <c r="I191" t="inlineStr">
        <is>
          <t>WSNO23</t>
        </is>
      </c>
      <c r="J191" t="inlineStr">
        <is>
          <t>Yes</t>
        </is>
      </c>
      <c r="K191" s="230" t="n">
        <v>4678.8</v>
      </c>
      <c r="L191" s="230" t="n">
        <v>4610</v>
      </c>
      <c r="M191" s="233">
        <f>K191-L191</f>
        <v/>
      </c>
      <c r="N191" t="n">
        <v>21.17</v>
      </c>
      <c r="O191" s="233">
        <f>M191-N191</f>
        <v/>
      </c>
      <c r="P191" s="19">
        <f>(K191/L191)-1</f>
        <v/>
      </c>
    </row>
    <row r="192">
      <c r="A192" t="n">
        <v>24</v>
      </c>
      <c r="B192" t="inlineStr">
        <is>
          <t>SPE4A4-18-V-1406</t>
        </is>
      </c>
      <c r="E192" t="n">
        <v>1</v>
      </c>
      <c r="F192" t="inlineStr">
        <is>
          <t>CAMERON</t>
        </is>
      </c>
      <c r="G192" s="4" t="n">
        <v>43053</v>
      </c>
      <c r="H192" t="n">
        <v>120</v>
      </c>
      <c r="I192" t="inlineStr">
        <is>
          <t>WSNO24</t>
        </is>
      </c>
      <c r="J192" t="inlineStr">
        <is>
          <t>Yes</t>
        </is>
      </c>
      <c r="K192" s="230" t="n">
        <v>3788.34</v>
      </c>
      <c r="L192" s="230" t="n">
        <v>3729</v>
      </c>
      <c r="M192" s="233">
        <f>K192-L192</f>
        <v/>
      </c>
      <c r="N192" t="n">
        <v>19.05</v>
      </c>
      <c r="O192" s="233">
        <f>M192-N192</f>
        <v/>
      </c>
      <c r="P192" s="19">
        <f>(K192/L192)-1</f>
        <v/>
      </c>
    </row>
    <row r="193">
      <c r="A193" t="n">
        <v>25</v>
      </c>
      <c r="B193" t="inlineStr">
        <is>
          <t>SPE7L3-18-V-1391</t>
        </is>
      </c>
      <c r="E193" t="n">
        <v>1</v>
      </c>
      <c r="F193" t="inlineStr">
        <is>
          <t>HIAB LIMITED</t>
        </is>
      </c>
      <c r="G193" s="4" t="n">
        <v>43053</v>
      </c>
      <c r="H193" t="n">
        <v>140</v>
      </c>
      <c r="I193" t="inlineStr">
        <is>
          <t>WSNO25</t>
        </is>
      </c>
      <c r="J193" t="inlineStr">
        <is>
          <t>Yes</t>
        </is>
      </c>
      <c r="K193" s="230" t="n">
        <v>4728</v>
      </c>
      <c r="L193" s="230" t="n">
        <v>4506.87</v>
      </c>
      <c r="M193" s="233">
        <f>K193-L193</f>
        <v/>
      </c>
      <c r="O193" s="233">
        <f>M193-N193</f>
        <v/>
      </c>
      <c r="P193" s="19">
        <f>(K193/L193)-1</f>
        <v/>
      </c>
    </row>
    <row r="194">
      <c r="A194" t="n">
        <v>26</v>
      </c>
      <c r="B194" t="inlineStr">
        <is>
          <t>SPE7M1-18-V-1678</t>
        </is>
      </c>
      <c r="E194" t="n">
        <v>5</v>
      </c>
      <c r="F194" t="inlineStr">
        <is>
          <t>VETRONIX</t>
        </is>
      </c>
      <c r="G194" s="4" t="n">
        <v>43053</v>
      </c>
      <c r="H194" t="n">
        <v>100</v>
      </c>
      <c r="I194" t="inlineStr">
        <is>
          <t>WSNO26</t>
        </is>
      </c>
      <c r="J194" t="inlineStr">
        <is>
          <t>Yes</t>
        </is>
      </c>
      <c r="K194" s="236" t="n">
        <v>4771.5</v>
      </c>
      <c r="L194" s="230" t="n">
        <v>4615</v>
      </c>
      <c r="M194" s="233">
        <f>K194-L194</f>
        <v/>
      </c>
      <c r="O194" s="233">
        <f>M194-N194</f>
        <v/>
      </c>
      <c r="P194" s="19">
        <f>(K194/L194)-1</f>
        <v/>
      </c>
    </row>
    <row r="195">
      <c r="A195" t="n">
        <v>27</v>
      </c>
      <c r="B195" t="inlineStr">
        <is>
          <t>SPE7M5-18-P-2248</t>
        </is>
      </c>
      <c r="E195" t="n">
        <v>6</v>
      </c>
      <c r="F195" t="inlineStr">
        <is>
          <t>Glenair</t>
        </is>
      </c>
      <c r="G195" s="4" t="n">
        <v>43056</v>
      </c>
      <c r="H195" t="n">
        <v>40</v>
      </c>
      <c r="I195" t="inlineStr">
        <is>
          <t>WSNO27</t>
        </is>
      </c>
      <c r="J195" t="inlineStr">
        <is>
          <t>Yes</t>
        </is>
      </c>
      <c r="K195" s="230" t="n">
        <v>1491.18</v>
      </c>
      <c r="L195" s="230" t="n">
        <v>1447.8</v>
      </c>
      <c r="M195" s="233">
        <f>K195-L195</f>
        <v/>
      </c>
      <c r="N195" t="n">
        <v>11.17</v>
      </c>
      <c r="O195" s="233">
        <f>M195-N195</f>
        <v/>
      </c>
      <c r="P195" s="19">
        <f>(K195/L195)-1</f>
        <v/>
      </c>
    </row>
    <row r="196">
      <c r="A196" t="n">
        <v>28</v>
      </c>
      <c r="B196" t="inlineStr">
        <is>
          <t>SPE5E8-18-V-1538</t>
        </is>
      </c>
      <c r="E196" t="n">
        <v>544</v>
      </c>
      <c r="F196" t="inlineStr">
        <is>
          <t>AVIBANK</t>
        </is>
      </c>
      <c r="G196" s="4" t="n">
        <v>43056</v>
      </c>
      <c r="H196" t="n">
        <v>200</v>
      </c>
      <c r="I196" t="inlineStr">
        <is>
          <t>WSNO28</t>
        </is>
      </c>
      <c r="J196" t="inlineStr">
        <is>
          <t>Yes</t>
        </is>
      </c>
      <c r="K196" s="230" t="n">
        <v>15906.56</v>
      </c>
      <c r="L196" s="230" t="n">
        <v>15471.36</v>
      </c>
      <c r="M196" s="233">
        <f>K196-L196</f>
        <v/>
      </c>
      <c r="O196" s="233">
        <f>M196-N196</f>
        <v/>
      </c>
      <c r="P196" s="19">
        <f>(K196/L196)-1</f>
        <v/>
      </c>
    </row>
    <row r="197">
      <c r="A197" t="n">
        <v>29</v>
      </c>
      <c r="B197" t="inlineStr">
        <is>
          <t>SPE7MC-18-V-1456</t>
        </is>
      </c>
      <c r="E197" t="n">
        <v>71</v>
      </c>
      <c r="F197" t="inlineStr">
        <is>
          <t>Glenair</t>
        </is>
      </c>
      <c r="G197" s="4" t="n">
        <v>43056</v>
      </c>
      <c r="H197" t="n">
        <v>90</v>
      </c>
      <c r="I197" t="inlineStr">
        <is>
          <t>WSNO29</t>
        </is>
      </c>
      <c r="J197" t="inlineStr">
        <is>
          <t>Yes</t>
        </is>
      </c>
      <c r="K197" s="230" t="n">
        <v>3679.93</v>
      </c>
      <c r="L197" s="230" t="n">
        <v>3613.9</v>
      </c>
      <c r="M197" s="233">
        <f>K197-L197</f>
        <v/>
      </c>
      <c r="N197" t="n">
        <v>13.82</v>
      </c>
      <c r="O197" s="233">
        <f>M197-N197</f>
        <v/>
      </c>
      <c r="P197" s="19">
        <f>(K197/L197)-1</f>
        <v/>
      </c>
    </row>
    <row r="198">
      <c r="A198" t="n">
        <v>30</v>
      </c>
      <c r="B198" t="inlineStr">
        <is>
          <t>SPE7MC-18-V-1468</t>
        </is>
      </c>
      <c r="E198" t="n">
        <v>106</v>
      </c>
      <c r="F198" t="inlineStr">
        <is>
          <t>Glenair</t>
        </is>
      </c>
      <c r="G198" s="4" t="n">
        <v>43056</v>
      </c>
      <c r="H198" t="n">
        <v>90</v>
      </c>
      <c r="I198" t="inlineStr">
        <is>
          <t>WSNO30</t>
        </is>
      </c>
      <c r="J198" t="inlineStr">
        <is>
          <t>YES</t>
        </is>
      </c>
      <c r="K198" s="230" t="n">
        <v>5376.32</v>
      </c>
      <c r="L198" s="230" t="n">
        <v>5286.22</v>
      </c>
      <c r="M198" s="233">
        <f>K198-L198</f>
        <v/>
      </c>
      <c r="N198" t="n">
        <v>14.65</v>
      </c>
      <c r="O198" s="233">
        <f>M198-N198</f>
        <v/>
      </c>
      <c r="P198" s="19">
        <f>(K198/L198)-1</f>
        <v/>
      </c>
    </row>
    <row r="199">
      <c r="A199" t="n">
        <v>31</v>
      </c>
      <c r="B199" t="inlineStr">
        <is>
          <t>SPE7M5-18-P-2604</t>
        </is>
      </c>
      <c r="E199" t="n">
        <v>63</v>
      </c>
      <c r="F199" t="inlineStr">
        <is>
          <t>NEWARK</t>
        </is>
      </c>
      <c r="G199" s="4" t="n">
        <v>43061</v>
      </c>
      <c r="H199" t="n">
        <v>60</v>
      </c>
      <c r="I199" t="inlineStr">
        <is>
          <t>WSNO31</t>
        </is>
      </c>
      <c r="J199" t="inlineStr">
        <is>
          <t>Yes</t>
        </is>
      </c>
      <c r="K199" s="236" t="n">
        <v>849.87</v>
      </c>
      <c r="L199" s="233" t="n">
        <v>790.65</v>
      </c>
      <c r="M199" s="233">
        <f>K199-L199</f>
        <v/>
      </c>
      <c r="O199" s="233">
        <f>M199-N199</f>
        <v/>
      </c>
      <c r="P199" s="19">
        <f>(K199/L199)-1</f>
        <v/>
      </c>
    </row>
    <row r="200">
      <c r="A200" t="n">
        <v>32</v>
      </c>
      <c r="B200" t="inlineStr">
        <is>
          <t>SPE7MC17VC703</t>
        </is>
      </c>
      <c r="E200" t="n">
        <v>3</v>
      </c>
      <c r="F200" t="inlineStr">
        <is>
          <t>GEMS</t>
        </is>
      </c>
      <c r="G200" s="4" t="n">
        <v>43070</v>
      </c>
      <c r="H200" t="n">
        <v>90</v>
      </c>
      <c r="I200" t="inlineStr">
        <is>
          <t>WSNO32</t>
        </is>
      </c>
      <c r="J200" t="inlineStr">
        <is>
          <t>Yes</t>
        </is>
      </c>
      <c r="K200" s="230" t="n">
        <v>909</v>
      </c>
      <c r="L200" s="254" t="n">
        <v>855</v>
      </c>
      <c r="M200" s="233">
        <f>K200-L200</f>
        <v/>
      </c>
      <c r="N200" t="n">
        <v>12.78</v>
      </c>
      <c r="O200" s="233">
        <f>M200-N200</f>
        <v/>
      </c>
      <c r="P200" s="19">
        <f>(K200/L200)-1</f>
        <v/>
      </c>
    </row>
    <row r="201">
      <c r="A201" t="n">
        <v>33</v>
      </c>
      <c r="B201" t="inlineStr">
        <is>
          <t>SPE7M1-18-V-1940</t>
        </is>
      </c>
      <c r="E201" t="n">
        <v>1</v>
      </c>
      <c r="F201" t="inlineStr">
        <is>
          <t>CLARUS TECH</t>
        </is>
      </c>
      <c r="G201" s="4" t="n">
        <v>43064</v>
      </c>
      <c r="H201" t="n">
        <v>90</v>
      </c>
      <c r="I201" t="inlineStr">
        <is>
          <t>WSNO33</t>
        </is>
      </c>
      <c r="J201" t="inlineStr">
        <is>
          <t>Yes</t>
        </is>
      </c>
      <c r="K201" s="230" t="n">
        <v>164</v>
      </c>
      <c r="L201" s="233" t="n">
        <v>134.1</v>
      </c>
      <c r="M201" s="233">
        <f>K201-L201</f>
        <v/>
      </c>
      <c r="N201" t="n">
        <v>9.710000000000001</v>
      </c>
      <c r="O201" s="233">
        <f>M201-N201</f>
        <v/>
      </c>
      <c r="P201" s="19">
        <f>(K201/L201)-1</f>
        <v/>
      </c>
    </row>
    <row r="202">
      <c r="A202" t="n">
        <v>34</v>
      </c>
      <c r="B202" t="inlineStr">
        <is>
          <t>SPE7M8-18-V-0315</t>
        </is>
      </c>
      <c r="E202" t="n">
        <v>3</v>
      </c>
      <c r="F202" t="inlineStr">
        <is>
          <t>PBM</t>
        </is>
      </c>
      <c r="G202" s="4" t="n">
        <v>43067</v>
      </c>
      <c r="H202" t="n">
        <v>130</v>
      </c>
      <c r="I202" t="inlineStr">
        <is>
          <t>WSNO34</t>
        </is>
      </c>
      <c r="J202" t="inlineStr">
        <is>
          <t>Yes</t>
        </is>
      </c>
      <c r="K202" s="230" t="n">
        <v>5983.26</v>
      </c>
      <c r="L202" s="233" t="n">
        <v>5769</v>
      </c>
      <c r="M202" s="233">
        <f>K202-L202</f>
        <v/>
      </c>
      <c r="N202" t="n">
        <v>115.04</v>
      </c>
      <c r="O202" s="233">
        <f>M202-N202</f>
        <v/>
      </c>
      <c r="P202" s="19">
        <f>(K202/L202)-1</f>
        <v/>
      </c>
    </row>
    <row r="203">
      <c r="A203" t="n">
        <v>35</v>
      </c>
      <c r="B203" t="inlineStr">
        <is>
          <t>SPE7MC-18-V-1647</t>
        </is>
      </c>
      <c r="E203" t="n">
        <v>26</v>
      </c>
      <c r="F203" t="inlineStr">
        <is>
          <t>Glenair</t>
        </is>
      </c>
      <c r="G203" s="4" t="n">
        <v>43067</v>
      </c>
      <c r="H203" t="n">
        <v>100</v>
      </c>
      <c r="I203" t="inlineStr">
        <is>
          <t>WSNO35</t>
        </is>
      </c>
      <c r="J203" t="inlineStr">
        <is>
          <t>Yes</t>
        </is>
      </c>
      <c r="K203" s="230" t="n">
        <v>4035.2</v>
      </c>
      <c r="L203" s="233" t="n">
        <v>3952.78</v>
      </c>
      <c r="M203" s="233">
        <f>K203-L203</f>
        <v/>
      </c>
      <c r="N203" t="n">
        <v>9.710000000000001</v>
      </c>
      <c r="O203" s="233">
        <f>M203-N203</f>
        <v/>
      </c>
      <c r="P203" s="19">
        <f>(K203/L203)-1</f>
        <v/>
      </c>
    </row>
    <row r="204">
      <c r="A204" t="n">
        <v>36</v>
      </c>
      <c r="B204" t="inlineStr">
        <is>
          <t>SPE7MC-18-V-1627</t>
        </is>
      </c>
      <c r="E204" t="n">
        <v>3</v>
      </c>
      <c r="F204" t="inlineStr">
        <is>
          <t>National</t>
        </is>
      </c>
      <c r="G204" s="4" t="n">
        <v>43067</v>
      </c>
      <c r="H204" t="n">
        <v>90</v>
      </c>
      <c r="I204" t="inlineStr">
        <is>
          <t>WSNO36</t>
        </is>
      </c>
      <c r="J204" t="inlineStr">
        <is>
          <t>Yes</t>
        </is>
      </c>
      <c r="K204" s="230" t="n">
        <v>847.6799999999999</v>
      </c>
      <c r="L204" s="233" t="n">
        <v>810</v>
      </c>
      <c r="M204" s="233">
        <f>K204-L204</f>
        <v/>
      </c>
      <c r="O204" s="233">
        <f>M204-N204</f>
        <v/>
      </c>
      <c r="P204" s="19">
        <f>(K204/L204)-1</f>
        <v/>
      </c>
    </row>
    <row r="205">
      <c r="A205" t="n">
        <v>37</v>
      </c>
      <c r="B205" t="inlineStr">
        <is>
          <t>SPE5E4-18-V-1851</t>
        </is>
      </c>
      <c r="E205" t="n">
        <v>17</v>
      </c>
      <c r="F205" t="inlineStr">
        <is>
          <t>Timken</t>
        </is>
      </c>
      <c r="G205" s="4" t="n">
        <v>43067</v>
      </c>
      <c r="H205" t="n">
        <v>90</v>
      </c>
      <c r="I205" t="inlineStr">
        <is>
          <t>WSNO37</t>
        </is>
      </c>
      <c r="J205" t="inlineStr">
        <is>
          <t>Yes</t>
        </is>
      </c>
      <c r="K205" s="230" t="n">
        <v>4424.76</v>
      </c>
      <c r="L205" s="233" t="n">
        <v>4386</v>
      </c>
      <c r="M205" s="233">
        <f>K205-L205</f>
        <v/>
      </c>
      <c r="N205" t="n">
        <v>18.35</v>
      </c>
      <c r="O205" s="233">
        <f>M205-N205</f>
        <v/>
      </c>
      <c r="P205" s="19">
        <f>(K205/L205)-1</f>
        <v/>
      </c>
    </row>
    <row r="206">
      <c r="A206" t="n">
        <v>38</v>
      </c>
      <c r="B206" t="inlineStr">
        <is>
          <t>SPE4A5-18-V-0647</t>
        </is>
      </c>
      <c r="E206" t="n">
        <v>1</v>
      </c>
      <c r="F206" t="inlineStr">
        <is>
          <t>Glenair</t>
        </is>
      </c>
      <c r="G206" s="4" t="n">
        <v>43067</v>
      </c>
      <c r="H206" t="n">
        <v>60</v>
      </c>
      <c r="I206" t="inlineStr">
        <is>
          <t>WSNO38</t>
        </is>
      </c>
      <c r="J206" t="inlineStr">
        <is>
          <t>Yes</t>
        </is>
      </c>
      <c r="K206" s="230" t="n">
        <v>420.6</v>
      </c>
      <c r="L206" s="233" t="n">
        <v>392.5</v>
      </c>
      <c r="M206" s="233">
        <f>K206-L206</f>
        <v/>
      </c>
      <c r="N206" t="n">
        <v>9.710000000000001</v>
      </c>
      <c r="O206" s="233">
        <f>M206-N206</f>
        <v/>
      </c>
      <c r="P206" s="19">
        <f>(K206/L206)-1</f>
        <v/>
      </c>
    </row>
    <row r="207">
      <c r="A207" t="n">
        <v>39</v>
      </c>
      <c r="B207" t="inlineStr">
        <is>
          <t>SPE7M5-18-P-2723</t>
        </is>
      </c>
      <c r="E207" t="n">
        <v>80</v>
      </c>
      <c r="F207" t="inlineStr">
        <is>
          <t>Glenair</t>
        </is>
      </c>
      <c r="G207" s="4" t="n">
        <v>43067</v>
      </c>
      <c r="H207" t="n">
        <v>80</v>
      </c>
      <c r="I207" s="58" t="inlineStr">
        <is>
          <t>WSNO41</t>
        </is>
      </c>
      <c r="J207" t="inlineStr">
        <is>
          <t>Yes</t>
        </is>
      </c>
      <c r="K207" s="230" t="n">
        <v>10350.4</v>
      </c>
      <c r="L207" s="233" t="n">
        <v>10196</v>
      </c>
      <c r="M207" s="233">
        <f>K207-L207</f>
        <v/>
      </c>
      <c r="N207" t="n">
        <v>20.13</v>
      </c>
      <c r="O207" s="233">
        <f>M207-N207</f>
        <v/>
      </c>
      <c r="P207" s="19">
        <f>(K207/L207)-1</f>
        <v/>
      </c>
    </row>
    <row r="208">
      <c r="A208" t="n">
        <v>40</v>
      </c>
      <c r="B208" s="3" t="inlineStr">
        <is>
          <t>SPE7M4-18-P-0708</t>
        </is>
      </c>
      <c r="E208" t="n">
        <v>3</v>
      </c>
      <c r="F208" t="inlineStr">
        <is>
          <t>PREECE</t>
        </is>
      </c>
      <c r="G208" s="4" t="n">
        <v>43068</v>
      </c>
      <c r="H208" t="n">
        <v>240</v>
      </c>
      <c r="I208" t="inlineStr">
        <is>
          <t>WSNO39</t>
        </is>
      </c>
      <c r="J208" t="inlineStr">
        <is>
          <t>Yes</t>
        </is>
      </c>
      <c r="K208" s="230" t="n">
        <v>36490.35</v>
      </c>
      <c r="L208" s="233" t="n">
        <v>35925</v>
      </c>
      <c r="M208" s="233">
        <f>K208-L208</f>
        <v/>
      </c>
      <c r="O208" s="233">
        <f>M208-N208</f>
        <v/>
      </c>
      <c r="P208" s="19">
        <f>(K208/L208)-1</f>
        <v/>
      </c>
    </row>
    <row r="209">
      <c r="A209" t="n">
        <v>41</v>
      </c>
      <c r="B209" t="inlineStr">
        <is>
          <t>SPE7M0-18-V-2008</t>
        </is>
      </c>
      <c r="E209" t="n">
        <v>12</v>
      </c>
      <c r="F209" s="3" t="inlineStr">
        <is>
          <t>Glenair Poincl-2335</t>
        </is>
      </c>
      <c r="G209" s="4" t="n">
        <v>43068</v>
      </c>
      <c r="H209" t="n">
        <v>70</v>
      </c>
      <c r="I209" s="67" t="inlineStr">
        <is>
          <t>WSNO40</t>
        </is>
      </c>
      <c r="J209" t="inlineStr">
        <is>
          <t>Yes</t>
        </is>
      </c>
      <c r="K209" s="230" t="n">
        <v>1597.92</v>
      </c>
      <c r="L209" s="230" t="n">
        <v>1540.8</v>
      </c>
      <c r="M209" s="233">
        <f>K209-L209</f>
        <v/>
      </c>
      <c r="N209" t="n">
        <v>11.67</v>
      </c>
      <c r="O209" s="233">
        <f>M209-N209</f>
        <v/>
      </c>
      <c r="P209" s="19">
        <f>(K209/L209)-1</f>
        <v/>
      </c>
    </row>
    <row r="210">
      <c r="A210" t="n">
        <v>42</v>
      </c>
      <c r="B210" t="inlineStr">
        <is>
          <t>SPE4A4-18-V-1805</t>
        </is>
      </c>
      <c r="E210" t="n">
        <v>11</v>
      </c>
      <c r="F210" t="inlineStr">
        <is>
          <t>L-Com</t>
        </is>
      </c>
      <c r="G210" s="4" t="n">
        <v>43068</v>
      </c>
      <c r="I210" t="inlineStr">
        <is>
          <t>WSNO41</t>
        </is>
      </c>
      <c r="J210" t="inlineStr">
        <is>
          <t>Yes</t>
        </is>
      </c>
      <c r="K210" s="230" t="n">
        <v>378.84</v>
      </c>
      <c r="L210" t="n">
        <v>344.63</v>
      </c>
      <c r="M210" s="233">
        <f>K210-L210</f>
        <v/>
      </c>
      <c r="O210" s="233">
        <f>M210-N210</f>
        <v/>
      </c>
      <c r="P210" s="19">
        <f>(K210/L210)-1</f>
        <v/>
      </c>
    </row>
    <row r="211">
      <c r="K211" s="243">
        <f>SUM(K169:K210)</f>
        <v/>
      </c>
      <c r="L211" s="240">
        <f>SUM(L169:L210)</f>
        <v/>
      </c>
      <c r="M211" s="240">
        <f>SUM(M169:M210)</f>
        <v/>
      </c>
      <c r="O211" s="233">
        <f>M211-N211</f>
        <v/>
      </c>
      <c r="P211" s="92">
        <f>(K211/L211)-1</f>
        <v/>
      </c>
    </row>
    <row r="213">
      <c r="A213" t="n">
        <v>1</v>
      </c>
      <c r="B213" t="inlineStr">
        <is>
          <t>SPE7M5-18-P-2660</t>
        </is>
      </c>
      <c r="E213" t="n">
        <v>16</v>
      </c>
      <c r="F213" t="inlineStr">
        <is>
          <t>GAI-TRONICS</t>
        </is>
      </c>
      <c r="G213" s="4" t="n">
        <v>43070</v>
      </c>
      <c r="H213" t="n">
        <v>100</v>
      </c>
      <c r="I213" t="inlineStr">
        <is>
          <t>WSI-D01</t>
        </is>
      </c>
      <c r="J213" t="inlineStr">
        <is>
          <t>Yes</t>
        </is>
      </c>
      <c r="K213" s="236" t="n">
        <v>6033.6</v>
      </c>
      <c r="L213" s="230" t="n">
        <v>5867.2</v>
      </c>
      <c r="M213" s="233">
        <f>K213-L213</f>
        <v/>
      </c>
      <c r="N213" t="n">
        <v>13.55</v>
      </c>
      <c r="O213" s="233">
        <f>M213-N213</f>
        <v/>
      </c>
      <c r="P213" s="19">
        <f>(K213/L213)-1</f>
        <v/>
      </c>
    </row>
    <row r="214">
      <c r="A214" t="n">
        <v>2</v>
      </c>
      <c r="B214" t="inlineStr">
        <is>
          <t>SPE7L1-18-V-1293</t>
        </is>
      </c>
      <c r="E214" t="n">
        <v>19</v>
      </c>
      <c r="F214" t="inlineStr">
        <is>
          <t>PG</t>
        </is>
      </c>
      <c r="G214" s="4" t="n">
        <v>43071</v>
      </c>
      <c r="H214" t="n">
        <v>90</v>
      </c>
      <c r="I214" t="inlineStr">
        <is>
          <t>WSI-D02</t>
        </is>
      </c>
      <c r="J214" t="inlineStr">
        <is>
          <t>Yes</t>
        </is>
      </c>
      <c r="K214" s="236" t="n">
        <v>6339.16</v>
      </c>
      <c r="L214" s="230" t="n">
        <v>6183.74</v>
      </c>
      <c r="M214" s="233">
        <f>K214-L214</f>
        <v/>
      </c>
      <c r="N214">
        <f>33.89+14.5</f>
        <v/>
      </c>
      <c r="P214" s="19">
        <f>(K214/L214)-1</f>
        <v/>
      </c>
    </row>
    <row r="215">
      <c r="A215" t="n">
        <v>3</v>
      </c>
      <c r="B215" t="inlineStr">
        <is>
          <t>SPE7M5-18-V-2223</t>
        </is>
      </c>
      <c r="E215" t="n">
        <v>1</v>
      </c>
      <c r="F215" t="inlineStr">
        <is>
          <t>National</t>
        </is>
      </c>
      <c r="G215" s="4" t="n">
        <v>43073</v>
      </c>
      <c r="H215" t="n">
        <v>90</v>
      </c>
      <c r="I215" t="inlineStr">
        <is>
          <t>WSI-D03</t>
        </is>
      </c>
      <c r="J215" t="inlineStr">
        <is>
          <t>Yes</t>
        </is>
      </c>
      <c r="K215" s="230" t="n">
        <v>1011.6</v>
      </c>
      <c r="L215" s="230" t="n">
        <v>974</v>
      </c>
      <c r="M215" s="233">
        <f>K215-L215</f>
        <v/>
      </c>
      <c r="P215" s="19">
        <f>(K215/L215)-1</f>
        <v/>
      </c>
    </row>
    <row r="216">
      <c r="A216" t="n">
        <v>4</v>
      </c>
      <c r="B216" t="inlineStr">
        <is>
          <t>SPE7L3-18-V-1933</t>
        </is>
      </c>
      <c r="E216" t="n">
        <v>1</v>
      </c>
      <c r="F216" t="inlineStr">
        <is>
          <t>MORPAC</t>
        </is>
      </c>
      <c r="G216" s="4" t="n">
        <v>43073</v>
      </c>
      <c r="H216" t="n">
        <v>140</v>
      </c>
      <c r="I216" t="inlineStr">
        <is>
          <t>WSI-D04</t>
        </is>
      </c>
      <c r="J216" t="inlineStr">
        <is>
          <t>Yes</t>
        </is>
      </c>
      <c r="K216" s="230" t="n">
        <v>898</v>
      </c>
      <c r="L216" s="230" t="n">
        <v>855.33</v>
      </c>
      <c r="M216" s="233">
        <f>K216-L216</f>
        <v/>
      </c>
      <c r="N216" t="n">
        <v>13.24</v>
      </c>
      <c r="P216" s="19">
        <f>(K216/L216)-1</f>
        <v/>
      </c>
    </row>
    <row r="217">
      <c r="A217" t="n">
        <v>5</v>
      </c>
      <c r="B217" t="inlineStr">
        <is>
          <t>SPE7M0-18-V-2155</t>
        </is>
      </c>
      <c r="E217" t="n">
        <v>7</v>
      </c>
      <c r="F217" t="inlineStr">
        <is>
          <t>AEROFIT</t>
        </is>
      </c>
      <c r="G217" s="4" t="n">
        <v>43073</v>
      </c>
      <c r="H217" t="n">
        <v>60</v>
      </c>
      <c r="I217" t="inlineStr">
        <is>
          <t>WSI-D05</t>
        </is>
      </c>
      <c r="J217" t="inlineStr">
        <is>
          <t>Yes</t>
        </is>
      </c>
      <c r="K217" s="230" t="n">
        <v>184.66</v>
      </c>
      <c r="L217" s="230" t="n">
        <v>140</v>
      </c>
      <c r="M217" s="233">
        <f>K217-L217</f>
        <v/>
      </c>
      <c r="N217" t="n">
        <v>9.710000000000001</v>
      </c>
      <c r="P217" s="19">
        <f>(K217/L217)-1</f>
        <v/>
      </c>
    </row>
    <row r="218">
      <c r="A218" t="n">
        <v>6</v>
      </c>
      <c r="B218" t="inlineStr">
        <is>
          <t>SPE7M5-18-V-2278</t>
        </is>
      </c>
      <c r="E218" t="n">
        <v>18</v>
      </c>
      <c r="F218" s="57" t="inlineStr">
        <is>
          <t>Glenair Orderd 20</t>
        </is>
      </c>
      <c r="G218" s="4" t="n">
        <v>43074</v>
      </c>
      <c r="H218" t="n">
        <v>120</v>
      </c>
      <c r="I218" t="inlineStr">
        <is>
          <t>WSI-D06</t>
        </is>
      </c>
      <c r="J218" t="inlineStr">
        <is>
          <t>Yes</t>
        </is>
      </c>
      <c r="K218" s="230" t="n">
        <v>3841.2</v>
      </c>
      <c r="L218" s="230" t="n">
        <v>3759.12</v>
      </c>
      <c r="M218" s="233">
        <f>K218-L218</f>
        <v/>
      </c>
      <c r="N218" t="n">
        <v>11.69</v>
      </c>
      <c r="P218" s="19">
        <f>(K218/L218)-1</f>
        <v/>
      </c>
    </row>
    <row r="219">
      <c r="B219" t="inlineStr">
        <is>
          <t>SPE7M5-18-V-2343</t>
        </is>
      </c>
      <c r="E219" t="n">
        <v>64</v>
      </c>
      <c r="F219" t="inlineStr">
        <is>
          <t>Glenair</t>
        </is>
      </c>
      <c r="G219" s="4" t="n">
        <v>43075</v>
      </c>
      <c r="H219" t="n">
        <v>90</v>
      </c>
      <c r="I219" t="inlineStr">
        <is>
          <t>WSI-D07</t>
        </is>
      </c>
      <c r="K219" s="230" t="n">
        <v>3388.16</v>
      </c>
      <c r="L219" s="230" t="n">
        <v>3314.26</v>
      </c>
      <c r="M219" s="233">
        <f>K219-L219</f>
        <v/>
      </c>
      <c r="N219" t="n">
        <v>13.86</v>
      </c>
      <c r="P219" s="19">
        <f>(K219/L219)-1</f>
        <v/>
      </c>
    </row>
    <row r="220">
      <c r="A220" t="n">
        <v>7</v>
      </c>
      <c r="B220" t="inlineStr">
        <is>
          <t>SPE7M5-18-V-2342</t>
        </is>
      </c>
      <c r="E220" t="n">
        <v>2</v>
      </c>
      <c r="F220" t="inlineStr">
        <is>
          <t>Glenair</t>
        </is>
      </c>
      <c r="G220" s="4" t="n">
        <v>43075</v>
      </c>
      <c r="H220" t="n">
        <v>70</v>
      </c>
      <c r="I220" t="inlineStr">
        <is>
          <t>WSI-D08</t>
        </is>
      </c>
      <c r="J220" t="inlineStr">
        <is>
          <t>Yes</t>
        </is>
      </c>
      <c r="K220" s="230" t="n">
        <v>946.8</v>
      </c>
      <c r="L220" s="230" t="n">
        <v>916.98</v>
      </c>
      <c r="M220" s="233">
        <f>K220-L220</f>
        <v/>
      </c>
      <c r="N220" t="n">
        <v>10.15</v>
      </c>
      <c r="P220" s="19">
        <f>(K220/L220)-1</f>
        <v/>
      </c>
    </row>
    <row r="221">
      <c r="A221" t="n">
        <v>8</v>
      </c>
      <c r="B221" t="inlineStr">
        <is>
          <t>SPE5E8-18-V-1993</t>
        </is>
      </c>
      <c r="E221" t="n">
        <v>2</v>
      </c>
      <c r="F221" t="inlineStr">
        <is>
          <t>PBM</t>
        </is>
      </c>
      <c r="G221" s="4" t="n">
        <v>43075</v>
      </c>
      <c r="H221" t="n">
        <v>60</v>
      </c>
      <c r="I221" t="inlineStr">
        <is>
          <t>WSI-D09</t>
        </is>
      </c>
      <c r="J221" t="inlineStr">
        <is>
          <t>Yes</t>
        </is>
      </c>
      <c r="K221" s="230" t="n">
        <v>142</v>
      </c>
      <c r="L221" t="n">
        <v>123.5</v>
      </c>
      <c r="M221" s="233">
        <f>K221-L221</f>
        <v/>
      </c>
      <c r="N221" t="n">
        <v>8.880000000000001</v>
      </c>
      <c r="P221" s="19">
        <f>(K221/L221)-1</f>
        <v/>
      </c>
    </row>
    <row r="222">
      <c r="A222" t="n">
        <v>9</v>
      </c>
      <c r="B222" t="inlineStr">
        <is>
          <t>SPE7M0-18-V-2299</t>
        </is>
      </c>
      <c r="E222" t="n">
        <v>1</v>
      </c>
      <c r="F222" s="3" t="inlineStr">
        <is>
          <t>Glenair, PO inc, 3for3376</t>
        </is>
      </c>
      <c r="G222" s="4" t="n">
        <v>43076</v>
      </c>
      <c r="H222" t="n">
        <v>90</v>
      </c>
      <c r="I222" s="20" t="inlineStr">
        <is>
          <t>WSI-D10</t>
        </is>
      </c>
      <c r="J222" t="inlineStr">
        <is>
          <t>Yes</t>
        </is>
      </c>
      <c r="K222" s="230" t="n">
        <v>249.64</v>
      </c>
      <c r="L222" s="230" t="n">
        <v>162.49</v>
      </c>
      <c r="M222" s="233">
        <f>K222-L222</f>
        <v/>
      </c>
      <c r="N222" t="n">
        <v>10.15</v>
      </c>
      <c r="P222" s="19">
        <f>(K222/L222)-1</f>
        <v/>
      </c>
    </row>
    <row r="223">
      <c r="A223" t="n">
        <v>10</v>
      </c>
      <c r="B223" t="inlineStr">
        <is>
          <t>SPE7M0-18-V-2335</t>
        </is>
      </c>
      <c r="E223" t="n">
        <v>2</v>
      </c>
      <c r="F223" s="3" t="inlineStr">
        <is>
          <t>Glenair</t>
        </is>
      </c>
      <c r="G223" s="4" t="n">
        <v>43077</v>
      </c>
      <c r="H223" t="n">
        <v>70</v>
      </c>
      <c r="I223" s="67" t="inlineStr">
        <is>
          <t>WSNO40</t>
        </is>
      </c>
      <c r="K223" s="230" t="n">
        <v>452.8</v>
      </c>
      <c r="L223" s="230" t="n">
        <v>179.76</v>
      </c>
      <c r="M223" s="233">
        <f>K223-L223</f>
        <v/>
      </c>
      <c r="P223" s="19">
        <f>(K223/L223)-1</f>
        <v/>
      </c>
    </row>
    <row r="224">
      <c r="A224" t="n">
        <v>11</v>
      </c>
      <c r="B224" t="inlineStr">
        <is>
          <t>SPE7M0-18-V-2320</t>
        </is>
      </c>
      <c r="E224" t="n">
        <v>4</v>
      </c>
      <c r="F224" t="inlineStr">
        <is>
          <t>Glenair</t>
        </is>
      </c>
      <c r="G224" s="4" t="n">
        <v>43077</v>
      </c>
      <c r="H224" t="n">
        <v>60</v>
      </c>
      <c r="I224" t="inlineStr">
        <is>
          <t>WSI-D11</t>
        </is>
      </c>
      <c r="K224" s="230" t="n">
        <v>390.64</v>
      </c>
      <c r="L224" s="230" t="n">
        <v>534</v>
      </c>
      <c r="M224" s="233">
        <f>K224-L224</f>
        <v/>
      </c>
      <c r="N224" s="51" t="n">
        <v>10.17</v>
      </c>
      <c r="P224" s="19">
        <f>(K224/L224)-1</f>
        <v/>
      </c>
    </row>
    <row r="225">
      <c r="A225" t="n">
        <v>12</v>
      </c>
      <c r="B225" s="49" t="inlineStr">
        <is>
          <t>SPE7M0-18-V-2329</t>
        </is>
      </c>
      <c r="E225" t="n">
        <v>2</v>
      </c>
      <c r="F225" t="inlineStr">
        <is>
          <t>Glenair</t>
        </is>
      </c>
      <c r="G225" s="4" t="n">
        <v>43077</v>
      </c>
      <c r="H225" t="n">
        <v>60</v>
      </c>
      <c r="I225" t="inlineStr">
        <is>
          <t>WSI-D12</t>
        </is>
      </c>
      <c r="J225" t="inlineStr">
        <is>
          <t>Yes</t>
        </is>
      </c>
      <c r="K225" s="230" t="n">
        <v>408.16</v>
      </c>
      <c r="L225" s="230" t="n">
        <v>388.72</v>
      </c>
      <c r="M225" s="233">
        <f>K225-L225</f>
        <v/>
      </c>
      <c r="N225" t="n">
        <v>10.15</v>
      </c>
      <c r="P225" s="19">
        <f>(K225/L225)-1</f>
        <v/>
      </c>
    </row>
    <row r="226">
      <c r="A226" t="n">
        <v>13</v>
      </c>
      <c r="B226" t="inlineStr">
        <is>
          <t>SPE7M0-18-V-2351</t>
        </is>
      </c>
      <c r="E226" t="n">
        <v>3</v>
      </c>
      <c r="F226" s="48" t="inlineStr">
        <is>
          <t>Glenair</t>
        </is>
      </c>
      <c r="G226" s="4" t="n">
        <v>43077</v>
      </c>
      <c r="H226" t="n">
        <v>60</v>
      </c>
      <c r="I226" s="51" t="inlineStr">
        <is>
          <t>Cancelled</t>
        </is>
      </c>
      <c r="K226" s="230" t="n">
        <v>328.89</v>
      </c>
      <c r="L226" s="230" t="n">
        <v>328.89</v>
      </c>
      <c r="M226" s="233">
        <f>K226-L226</f>
        <v/>
      </c>
      <c r="N226" s="51" t="inlineStr">
        <is>
          <t>cancel</t>
        </is>
      </c>
      <c r="O226" t="inlineStr">
        <is>
          <t>submitted</t>
        </is>
      </c>
      <c r="P226" s="19">
        <f>(K226/L226)-1</f>
        <v/>
      </c>
    </row>
    <row r="227">
      <c r="A227" t="n">
        <v>14</v>
      </c>
      <c r="B227" t="inlineStr">
        <is>
          <t>SPE7M5-18-P-3376</t>
        </is>
      </c>
      <c r="E227" t="n">
        <v>3</v>
      </c>
      <c r="F227" s="3" t="inlineStr">
        <is>
          <t>Glenair</t>
        </is>
      </c>
      <c r="G227" s="4" t="n">
        <v>43079</v>
      </c>
      <c r="H227" t="n">
        <v>70</v>
      </c>
      <c r="I227" s="20" t="inlineStr">
        <is>
          <t>WSI-D10</t>
        </is>
      </c>
      <c r="J227" t="inlineStr">
        <is>
          <t>Yes</t>
        </is>
      </c>
      <c r="K227" s="230" t="n">
        <v>593.16</v>
      </c>
      <c r="L227" t="n">
        <v>487.47</v>
      </c>
      <c r="M227" s="233">
        <f>K227-L227</f>
        <v/>
      </c>
      <c r="P227" s="19">
        <f>(K227/L227)-1</f>
        <v/>
      </c>
    </row>
    <row r="228">
      <c r="A228" t="n">
        <v>15</v>
      </c>
      <c r="F228" s="51" t="inlineStr">
        <is>
          <t>Era</t>
        </is>
      </c>
      <c r="G228" s="4" t="n"/>
      <c r="I228" t="inlineStr">
        <is>
          <t>Cancelled</t>
        </is>
      </c>
      <c r="K228" s="230" t="n">
        <v>0</v>
      </c>
      <c r="L228" s="230" t="n">
        <v>0</v>
      </c>
      <c r="M228" s="233">
        <f>K228-L228</f>
        <v/>
      </c>
      <c r="P228" s="19" t="n">
        <v>0</v>
      </c>
    </row>
    <row r="229">
      <c r="A229" t="n">
        <v>16</v>
      </c>
      <c r="B229" t="inlineStr">
        <is>
          <t>SPE7M3-18-V-0804</t>
        </is>
      </c>
      <c r="E229" t="n">
        <v>84</v>
      </c>
      <c r="F229" t="inlineStr">
        <is>
          <t>AEROFIT</t>
        </is>
      </c>
      <c r="G229" s="4" t="n">
        <v>43080</v>
      </c>
      <c r="H229" t="n">
        <v>190</v>
      </c>
      <c r="I229" t="inlineStr">
        <is>
          <t>WSI-D15</t>
        </is>
      </c>
      <c r="J229" t="inlineStr">
        <is>
          <t>yes</t>
        </is>
      </c>
      <c r="K229" s="230" t="n">
        <v>19706.4</v>
      </c>
      <c r="L229" s="230" t="n">
        <v>19224.24</v>
      </c>
      <c r="M229" s="233">
        <f>K229-L229</f>
        <v/>
      </c>
      <c r="P229" s="19">
        <f>(K229/L229)-1</f>
        <v/>
      </c>
    </row>
    <row r="230">
      <c r="A230" t="n">
        <v>17</v>
      </c>
      <c r="B230" t="inlineStr">
        <is>
          <t>SPE5E2-18-V-2312</t>
        </is>
      </c>
      <c r="E230" t="n">
        <v>113</v>
      </c>
      <c r="F230" t="inlineStr">
        <is>
          <t>AVIBANC</t>
        </is>
      </c>
      <c r="G230" s="4" t="n">
        <v>43080</v>
      </c>
      <c r="H230" t="n">
        <v>120</v>
      </c>
      <c r="I230" t="inlineStr">
        <is>
          <t>WSI-D16</t>
        </is>
      </c>
      <c r="J230" t="inlineStr">
        <is>
          <t>Yes</t>
        </is>
      </c>
      <c r="K230" s="230" t="n">
        <v>9236.620000000001</v>
      </c>
      <c r="L230" s="230" t="n">
        <v>8976.719999999999</v>
      </c>
      <c r="M230" s="233">
        <f>K230-L230</f>
        <v/>
      </c>
      <c r="P230" s="19">
        <f>(K230/L230)-1</f>
        <v/>
      </c>
    </row>
    <row r="231">
      <c r="A231" t="n">
        <v>18</v>
      </c>
      <c r="B231" t="inlineStr">
        <is>
          <t>SPE7L3-18-V-2200</t>
        </is>
      </c>
      <c r="E231" t="n">
        <v>2</v>
      </c>
      <c r="F231" t="inlineStr">
        <is>
          <t>HIAB</t>
        </is>
      </c>
      <c r="G231" s="4" t="n">
        <v>43080</v>
      </c>
      <c r="H231" t="n">
        <v>140</v>
      </c>
      <c r="I231" t="inlineStr">
        <is>
          <t>WSI-D17</t>
        </is>
      </c>
      <c r="K231" s="232" t="n">
        <v>6772</v>
      </c>
      <c r="L231" s="230" t="n">
        <v>6612.84</v>
      </c>
      <c r="M231" s="233">
        <f>K231-L231</f>
        <v/>
      </c>
      <c r="P231" s="19">
        <f>(K231/L231)-1</f>
        <v/>
      </c>
    </row>
    <row r="232">
      <c r="A232" t="n">
        <v>19</v>
      </c>
      <c r="B232" t="inlineStr">
        <is>
          <t>SPE8EN-18-P-7057</t>
        </is>
      </c>
      <c r="E232" t="n">
        <v>1</v>
      </c>
      <c r="F232" s="22" t="inlineStr">
        <is>
          <t>GEMS</t>
        </is>
      </c>
      <c r="G232" s="4" t="n">
        <v>43081</v>
      </c>
      <c r="H232" t="n">
        <v>120</v>
      </c>
      <c r="I232" t="inlineStr">
        <is>
          <t>WSI-D18</t>
        </is>
      </c>
      <c r="K232" s="232" t="n">
        <v>0</v>
      </c>
      <c r="L232" s="232" t="n">
        <v>0</v>
      </c>
      <c r="M232" s="233">
        <f>K232-L232</f>
        <v/>
      </c>
      <c r="P232" s="19">
        <f>(K232/L232)-1</f>
        <v/>
      </c>
    </row>
    <row r="233">
      <c r="A233" t="n">
        <v>20</v>
      </c>
      <c r="B233" t="inlineStr">
        <is>
          <t>SPE7MC-18-V-2156</t>
        </is>
      </c>
      <c r="E233" t="n">
        <v>81</v>
      </c>
      <c r="F233" t="inlineStr">
        <is>
          <t>MUNTER</t>
        </is>
      </c>
      <c r="G233" s="4" t="n">
        <v>43082</v>
      </c>
      <c r="H233" t="n">
        <v>90</v>
      </c>
      <c r="I233" t="inlineStr">
        <is>
          <t>WSI-D19</t>
        </is>
      </c>
      <c r="J233" t="inlineStr">
        <is>
          <t>Yes</t>
        </is>
      </c>
      <c r="K233" s="230" t="n">
        <v>3237.57</v>
      </c>
      <c r="L233" s="230" t="n">
        <v>3159</v>
      </c>
      <c r="M233" s="233">
        <f>K233-L233</f>
        <v/>
      </c>
      <c r="N233" t="n">
        <v>13.94</v>
      </c>
      <c r="P233" s="19">
        <f>(K233/L233)-1</f>
        <v/>
      </c>
    </row>
    <row r="234">
      <c r="A234" t="n">
        <v>21</v>
      </c>
      <c r="B234" t="inlineStr">
        <is>
          <t>SPE7M3-18-P-1496</t>
        </is>
      </c>
      <c r="E234" t="n">
        <v>9</v>
      </c>
      <c r="F234" t="inlineStr">
        <is>
          <t>ERA</t>
        </is>
      </c>
      <c r="G234" s="4" t="n">
        <v>43083</v>
      </c>
      <c r="H234" t="n">
        <v>230</v>
      </c>
      <c r="I234" t="inlineStr">
        <is>
          <t>WSI-D20</t>
        </is>
      </c>
      <c r="J234" t="inlineStr">
        <is>
          <t>Yes</t>
        </is>
      </c>
      <c r="K234" s="230" t="n">
        <v>5730.66</v>
      </c>
      <c r="L234" s="230" t="n">
        <v>5658.39</v>
      </c>
      <c r="M234" s="233">
        <f>K234-L234</f>
        <v/>
      </c>
      <c r="N234" t="n">
        <v>12.83</v>
      </c>
      <c r="P234" s="19">
        <f>(K234/L234)-1</f>
        <v/>
      </c>
    </row>
    <row r="235">
      <c r="A235" t="n">
        <v>22</v>
      </c>
      <c r="B235" t="inlineStr">
        <is>
          <t>SPE5E2-18-V-2452</t>
        </is>
      </c>
      <c r="E235" t="n">
        <v>56</v>
      </c>
      <c r="F235" t="inlineStr">
        <is>
          <t>AVIBANC</t>
        </is>
      </c>
      <c r="G235" s="4" t="n">
        <v>43087</v>
      </c>
      <c r="H235" t="n">
        <v>120</v>
      </c>
      <c r="I235" t="inlineStr">
        <is>
          <t>WSI-D21</t>
        </is>
      </c>
      <c r="J235" t="inlineStr">
        <is>
          <t>yes</t>
        </is>
      </c>
      <c r="K235" s="230" t="n">
        <v>5275.76</v>
      </c>
      <c r="L235" s="230" t="n">
        <v>5063.52</v>
      </c>
      <c r="M235" s="233">
        <f>K235-L235</f>
        <v/>
      </c>
      <c r="N235" t="n">
        <v>11.69</v>
      </c>
      <c r="P235" s="19">
        <f>(K235/L235)-1</f>
        <v/>
      </c>
    </row>
    <row r="236">
      <c r="A236" t="n">
        <v>23</v>
      </c>
      <c r="B236" t="inlineStr">
        <is>
          <t>SPE7M5-18-V-2741</t>
        </is>
      </c>
      <c r="E236" t="n">
        <v>69</v>
      </c>
      <c r="F236" t="inlineStr">
        <is>
          <t>Glenair</t>
        </is>
      </c>
      <c r="G236" s="4" t="n">
        <v>43088</v>
      </c>
      <c r="H236" t="n">
        <v>130</v>
      </c>
      <c r="I236" t="inlineStr">
        <is>
          <t>WSI-D22</t>
        </is>
      </c>
      <c r="J236" t="inlineStr">
        <is>
          <t>yes</t>
        </is>
      </c>
      <c r="K236" s="230" t="n">
        <v>13493.64</v>
      </c>
      <c r="L236" s="230" t="n">
        <v>13319.14</v>
      </c>
      <c r="M236" s="233">
        <f>K236-L236</f>
        <v/>
      </c>
      <c r="N236" t="n">
        <v>25.65</v>
      </c>
      <c r="P236" s="19">
        <f>(K236/L236)-1</f>
        <v/>
      </c>
    </row>
    <row r="237">
      <c r="A237" t="n">
        <v>24</v>
      </c>
      <c r="B237" t="inlineStr">
        <is>
          <t>SPE7M5-18-V-2728</t>
        </is>
      </c>
      <c r="E237" t="n">
        <v>1</v>
      </c>
      <c r="F237" t="inlineStr">
        <is>
          <t>Glenair</t>
        </is>
      </c>
      <c r="G237" s="4" t="n">
        <v>43088</v>
      </c>
      <c r="H237" t="n">
        <v>110</v>
      </c>
      <c r="I237" t="inlineStr">
        <is>
          <t>WSI-D23</t>
        </is>
      </c>
      <c r="J237" t="inlineStr">
        <is>
          <t>yes</t>
        </is>
      </c>
      <c r="K237" s="230" t="n">
        <v>842.4400000000001</v>
      </c>
      <c r="L237" s="230" t="n">
        <v>807.54</v>
      </c>
      <c r="M237" s="233">
        <f>K237-L237</f>
        <v/>
      </c>
      <c r="N237" t="n">
        <v>10.15</v>
      </c>
      <c r="P237" s="19">
        <f>(K237/L237)-1</f>
        <v/>
      </c>
    </row>
    <row r="238">
      <c r="A238" t="n">
        <v>25</v>
      </c>
      <c r="B238" t="inlineStr">
        <is>
          <t>SPE4A6-18-V-4761</t>
        </is>
      </c>
      <c r="E238" t="n">
        <v>4</v>
      </c>
      <c r="F238" t="inlineStr">
        <is>
          <t>National</t>
        </is>
      </c>
      <c r="G238" s="4" t="n">
        <v>43088</v>
      </c>
      <c r="H238" t="n">
        <v>60</v>
      </c>
      <c r="I238" t="inlineStr">
        <is>
          <t>WSI-D24</t>
        </is>
      </c>
      <c r="J238" t="inlineStr">
        <is>
          <t>Yes</t>
        </is>
      </c>
      <c r="K238" s="230" t="n">
        <v>643.04</v>
      </c>
      <c r="L238" s="230" t="n">
        <v>616</v>
      </c>
      <c r="M238" s="233">
        <f>K238-L238</f>
        <v/>
      </c>
      <c r="P238" s="19">
        <f>(K238/L238)-1</f>
        <v/>
      </c>
    </row>
    <row r="239">
      <c r="A239" t="n">
        <v>26</v>
      </c>
      <c r="B239" t="inlineStr">
        <is>
          <t>SPE7M0-18-V-2705</t>
        </is>
      </c>
      <c r="E239" t="n">
        <v>13</v>
      </c>
      <c r="F239" s="48" t="inlineStr">
        <is>
          <t>Glenair</t>
        </is>
      </c>
      <c r="G239" s="4" t="n">
        <v>43088</v>
      </c>
      <c r="H239" t="n">
        <v>90</v>
      </c>
      <c r="I239" s="51" t="inlineStr">
        <is>
          <t>Cancelled</t>
        </is>
      </c>
      <c r="K239" s="230" t="n">
        <v>850.2</v>
      </c>
      <c r="L239" s="230" t="n">
        <v>850.2</v>
      </c>
      <c r="M239" s="233">
        <f>K239-L239</f>
        <v/>
      </c>
      <c r="N239" s="51" t="inlineStr">
        <is>
          <t>Cancel</t>
        </is>
      </c>
      <c r="O239" t="inlineStr">
        <is>
          <t>submitted</t>
        </is>
      </c>
      <c r="P239" s="19">
        <f>(K239/L239)-1</f>
        <v/>
      </c>
    </row>
    <row r="240">
      <c r="A240" t="n">
        <v>27</v>
      </c>
      <c r="B240" t="inlineStr">
        <is>
          <t>SPE7MC-18-V-2384</t>
        </is>
      </c>
      <c r="E240" t="n">
        <v>226</v>
      </c>
      <c r="F240" t="inlineStr">
        <is>
          <t>Phenoix</t>
        </is>
      </c>
      <c r="G240" s="4" t="n">
        <v>43089</v>
      </c>
      <c r="H240" t="n">
        <v>160</v>
      </c>
      <c r="I240" t="inlineStr">
        <is>
          <t>WSI-D26</t>
        </is>
      </c>
      <c r="J240" t="inlineStr">
        <is>
          <t>Yes</t>
        </is>
      </c>
      <c r="K240" s="230" t="n">
        <v>13652.66</v>
      </c>
      <c r="L240" s="230" t="n">
        <v>13449.26</v>
      </c>
      <c r="M240" s="233">
        <f>K240-L240</f>
        <v/>
      </c>
      <c r="P240" s="19">
        <f>(K240/L240)-1</f>
        <v/>
      </c>
    </row>
    <row r="241">
      <c r="A241" t="n">
        <v>28</v>
      </c>
      <c r="B241" t="inlineStr">
        <is>
          <t>SPE7MC-18-P-1624</t>
        </is>
      </c>
      <c r="E241" t="n">
        <v>7</v>
      </c>
      <c r="F241" t="inlineStr">
        <is>
          <t>PBM</t>
        </is>
      </c>
      <c r="G241" s="4" t="n">
        <v>43089</v>
      </c>
      <c r="H241" t="n">
        <v>100</v>
      </c>
      <c r="I241" t="inlineStr">
        <is>
          <t>WSI-D27</t>
        </is>
      </c>
      <c r="K241" s="230" t="n">
        <v>4327.4</v>
      </c>
      <c r="L241" s="230" t="n">
        <v>4186</v>
      </c>
      <c r="M241" s="233">
        <f>K241-L241</f>
        <v/>
      </c>
      <c r="N241" t="n">
        <v>60.1</v>
      </c>
      <c r="P241" s="19">
        <f>(K241/L241)-1</f>
        <v/>
      </c>
    </row>
    <row r="242">
      <c r="A242" t="n">
        <v>29</v>
      </c>
      <c r="B242" t="inlineStr">
        <is>
          <t>SPE4A4-18-V-2597</t>
        </is>
      </c>
      <c r="E242" t="inlineStr">
        <is>
          <t>`</t>
        </is>
      </c>
      <c r="F242" t="inlineStr">
        <is>
          <t>AVIBANC</t>
        </is>
      </c>
      <c r="G242" s="4" t="n">
        <v>43090</v>
      </c>
      <c r="H242" t="n">
        <v>140</v>
      </c>
      <c r="I242" t="inlineStr">
        <is>
          <t>WSI-D28</t>
        </is>
      </c>
      <c r="J242" t="inlineStr">
        <is>
          <t>yes</t>
        </is>
      </c>
      <c r="K242" s="230" t="n">
        <v>5933.44</v>
      </c>
      <c r="L242" s="230" t="n">
        <v>5778.5</v>
      </c>
      <c r="M242" s="233">
        <f>K242-L242</f>
        <v/>
      </c>
      <c r="N242" t="n">
        <v>14.52</v>
      </c>
      <c r="P242" s="19">
        <f>(K242/L242)-1</f>
        <v/>
      </c>
    </row>
    <row r="243">
      <c r="A243" t="n">
        <v>30</v>
      </c>
      <c r="B243" t="inlineStr">
        <is>
          <t>SPE5E7-18-V-1295</t>
        </is>
      </c>
      <c r="E243" t="n">
        <v>10</v>
      </c>
      <c r="F243" t="inlineStr">
        <is>
          <t>NAFCO</t>
        </is>
      </c>
      <c r="G243" s="4" t="n">
        <v>43090</v>
      </c>
      <c r="H243" t="n">
        <v>140</v>
      </c>
      <c r="I243" t="inlineStr">
        <is>
          <t>WSI-D30</t>
        </is>
      </c>
      <c r="J243" t="inlineStr">
        <is>
          <t>Yes</t>
        </is>
      </c>
      <c r="K243" s="230" t="n">
        <v>6949.4</v>
      </c>
      <c r="L243" s="230" t="n">
        <v>6833.8</v>
      </c>
      <c r="M243" s="233">
        <f>K243-L243</f>
        <v/>
      </c>
      <c r="P243" s="19">
        <f>(K243/L243)-1</f>
        <v/>
      </c>
    </row>
    <row r="244">
      <c r="A244" t="n">
        <v>31</v>
      </c>
      <c r="B244" t="inlineStr">
        <is>
          <t>SPE7M1-18-P-1851</t>
        </is>
      </c>
      <c r="E244" t="n">
        <v>1912</v>
      </c>
      <c r="F244" t="inlineStr">
        <is>
          <t>Phenoix</t>
        </is>
      </c>
      <c r="G244" s="4" t="n">
        <v>43091</v>
      </c>
      <c r="H244" t="n">
        <v>110</v>
      </c>
      <c r="I244" t="inlineStr">
        <is>
          <t>WSI-D31</t>
        </is>
      </c>
      <c r="J244" t="inlineStr">
        <is>
          <t>Yes</t>
        </is>
      </c>
      <c r="K244" s="230" t="n">
        <v>6070.98</v>
      </c>
      <c r="L244" s="230" t="n">
        <v>5880</v>
      </c>
      <c r="M244" s="233">
        <f>K244-L244</f>
        <v/>
      </c>
      <c r="N244">
        <f>22.67+22.67+22.67+22.67</f>
        <v/>
      </c>
      <c r="O244" s="233">
        <f>M244-N244</f>
        <v/>
      </c>
      <c r="P244" s="19">
        <f>(K244/L244)-1</f>
        <v/>
      </c>
    </row>
    <row r="245">
      <c r="A245" t="n">
        <v>32</v>
      </c>
      <c r="B245" t="inlineStr">
        <is>
          <t>SPE5E7-18-V-1361</t>
        </is>
      </c>
      <c r="E245" t="n">
        <v>7</v>
      </c>
      <c r="F245" t="inlineStr">
        <is>
          <t>HIAB</t>
        </is>
      </c>
      <c r="G245" s="4" t="n">
        <v>43095</v>
      </c>
      <c r="H245" t="n">
        <v>130</v>
      </c>
      <c r="I245" t="inlineStr">
        <is>
          <t>WSI-D32</t>
        </is>
      </c>
      <c r="K245" s="232" t="n">
        <v>2265.48</v>
      </c>
      <c r="L245" s="233" t="n">
        <v>2131.71</v>
      </c>
      <c r="M245" s="233">
        <f>K245-L245</f>
        <v/>
      </c>
      <c r="O245" s="233">
        <f>M245-N245</f>
        <v/>
      </c>
      <c r="P245" s="19">
        <f>(K245/L245)-1</f>
        <v/>
      </c>
    </row>
    <row r="246">
      <c r="A246" t="n">
        <v>33</v>
      </c>
      <c r="B246" t="inlineStr">
        <is>
          <t>SPE7M5-18-V-3043</t>
        </is>
      </c>
      <c r="E246" t="n">
        <v>12</v>
      </c>
      <c r="F246" t="inlineStr">
        <is>
          <t>ITT</t>
        </is>
      </c>
      <c r="G246" s="4" t="n">
        <v>43096</v>
      </c>
      <c r="H246" t="n">
        <v>110</v>
      </c>
      <c r="I246" t="inlineStr">
        <is>
          <t>WSI-D33</t>
        </is>
      </c>
      <c r="J246" t="inlineStr">
        <is>
          <t>Yes</t>
        </is>
      </c>
      <c r="K246" s="230" t="n">
        <v>958.2</v>
      </c>
      <c r="L246" s="233" t="n">
        <v>913.6799999999999</v>
      </c>
      <c r="M246" s="233">
        <f>K246-L246</f>
        <v/>
      </c>
      <c r="N246" t="n">
        <v>14.52</v>
      </c>
      <c r="O246" s="233">
        <f>M246-N246</f>
        <v/>
      </c>
      <c r="P246" s="19">
        <f>(K246/L246)-1</f>
        <v/>
      </c>
    </row>
    <row r="247">
      <c r="A247" t="n">
        <v>34</v>
      </c>
      <c r="B247" t="inlineStr">
        <is>
          <t>SPE7M0-18-V-2893</t>
        </is>
      </c>
      <c r="E247" t="n">
        <v>2</v>
      </c>
      <c r="F247" t="inlineStr">
        <is>
          <t>Glenair</t>
        </is>
      </c>
      <c r="G247" s="4" t="n">
        <v>43096</v>
      </c>
      <c r="H247" t="n">
        <v>70</v>
      </c>
      <c r="I247" s="108" t="inlineStr">
        <is>
          <t>WSNO40</t>
        </is>
      </c>
      <c r="K247" s="230" t="n">
        <v>412.78</v>
      </c>
      <c r="L247" s="233" t="n">
        <v>179.76</v>
      </c>
      <c r="M247" s="233">
        <f>K247-L247</f>
        <v/>
      </c>
      <c r="O247" s="233">
        <f>M247-N247</f>
        <v/>
      </c>
      <c r="P247" s="19">
        <f>(K247/L247)-1</f>
        <v/>
      </c>
    </row>
    <row r="248">
      <c r="A248" t="n">
        <v>35</v>
      </c>
      <c r="B248" t="inlineStr">
        <is>
          <t>SPE4A4-18-V-2779</t>
        </is>
      </c>
      <c r="E248" t="n">
        <v>3</v>
      </c>
      <c r="F248" t="inlineStr">
        <is>
          <t>National</t>
        </is>
      </c>
      <c r="G248" s="4" t="n">
        <v>43097</v>
      </c>
      <c r="H248" t="n">
        <v>60</v>
      </c>
      <c r="I248" t="inlineStr">
        <is>
          <t>WSI-D35</t>
        </is>
      </c>
      <c r="J248" t="inlineStr">
        <is>
          <t>y</t>
        </is>
      </c>
      <c r="K248" s="46" t="n">
        <v>1813.14</v>
      </c>
      <c r="L248" s="233" t="n">
        <v>1776</v>
      </c>
      <c r="M248" s="233">
        <f>K248-L248</f>
        <v/>
      </c>
      <c r="O248" s="233">
        <f>M248-N248</f>
        <v/>
      </c>
      <c r="P248" s="19">
        <f>(K248/L248)-1</f>
        <v/>
      </c>
    </row>
    <row r="249">
      <c r="A249" t="n">
        <v>36</v>
      </c>
      <c r="B249" t="inlineStr">
        <is>
          <t>SPE7M0-18-V-2953</t>
        </is>
      </c>
      <c r="E249" t="n">
        <v>8</v>
      </c>
      <c r="F249" t="inlineStr">
        <is>
          <t>AEROFIT</t>
        </is>
      </c>
      <c r="G249" s="4" t="n">
        <v>43098</v>
      </c>
      <c r="H249" t="n">
        <v>60</v>
      </c>
      <c r="I249" t="inlineStr">
        <is>
          <t>WSI-D36</t>
        </is>
      </c>
      <c r="J249" t="inlineStr">
        <is>
          <t>Yes</t>
        </is>
      </c>
      <c r="K249" s="230" t="n">
        <v>210.72</v>
      </c>
      <c r="L249" s="233" t="n">
        <v>160</v>
      </c>
      <c r="M249" s="233">
        <f>K249-L249</f>
        <v/>
      </c>
      <c r="O249" s="233">
        <f>M249-N249</f>
        <v/>
      </c>
      <c r="P249" s="19">
        <f>(K249/L249)-1</f>
        <v/>
      </c>
    </row>
    <row r="250">
      <c r="K250" s="240">
        <f>SUM(K213:K249)</f>
        <v/>
      </c>
      <c r="L250" s="240">
        <f>SUM(L213:L249)</f>
        <v/>
      </c>
      <c r="M250" s="240">
        <f>K250-L250</f>
        <v/>
      </c>
      <c r="O250" s="233">
        <f>M250-N250</f>
        <v/>
      </c>
      <c r="P250" s="92">
        <f>(K250/L250)-1</f>
        <v/>
      </c>
    </row>
    <row r="251">
      <c r="O251" s="233">
        <f>M251-N251</f>
        <v/>
      </c>
    </row>
    <row r="252">
      <c r="A252" t="n">
        <v>1</v>
      </c>
      <c r="B252" t="inlineStr">
        <is>
          <t>SPE7M5-18-V-3179</t>
        </is>
      </c>
      <c r="E252" t="n">
        <v>15</v>
      </c>
      <c r="F252" s="49" t="inlineStr">
        <is>
          <t>Glenair Order 107</t>
        </is>
      </c>
      <c r="G252" s="4" t="n">
        <v>43102</v>
      </c>
      <c r="H252" t="n">
        <v>90</v>
      </c>
      <c r="I252" s="48" t="inlineStr">
        <is>
          <t>WSOC29mod2</t>
        </is>
      </c>
      <c r="K252" s="230" t="n">
        <v>13837.35</v>
      </c>
      <c r="L252" s="233" t="n">
        <v>7648</v>
      </c>
      <c r="M252" s="233">
        <f>K252-L252</f>
        <v/>
      </c>
      <c r="O252" s="233">
        <f>M252-N252</f>
        <v/>
      </c>
      <c r="P252" s="19">
        <f>(K252/L252)-1</f>
        <v/>
      </c>
    </row>
    <row r="253">
      <c r="A253" t="n">
        <v>2</v>
      </c>
      <c r="B253" t="inlineStr">
        <is>
          <t>SPE7M0-18-V-2968</t>
        </is>
      </c>
      <c r="E253" t="n">
        <v>1</v>
      </c>
      <c r="F253" s="51" t="inlineStr">
        <is>
          <t>Norman</t>
        </is>
      </c>
      <c r="G253" s="4" t="n">
        <v>43102</v>
      </c>
      <c r="H253" t="n">
        <v>60</v>
      </c>
      <c r="I253" s="51" t="inlineStr">
        <is>
          <t>Cancelled</t>
        </is>
      </c>
      <c r="K253" s="230" t="n">
        <v>0</v>
      </c>
      <c r="L253" s="233" t="n">
        <v>0</v>
      </c>
      <c r="M253" s="233">
        <f>K253-L253</f>
        <v/>
      </c>
      <c r="N253" s="51" t="inlineStr">
        <is>
          <t>cancel</t>
        </is>
      </c>
      <c r="O253" s="233">
        <f>M253-N253</f>
        <v/>
      </c>
      <c r="P253" s="19">
        <f>(K253/L253)-1</f>
        <v/>
      </c>
    </row>
    <row r="254">
      <c r="A254" t="n">
        <v>3</v>
      </c>
      <c r="B254" t="inlineStr">
        <is>
          <t>SPE7L3-18-P-2641</t>
        </is>
      </c>
      <c r="E254" t="n">
        <v>5</v>
      </c>
      <c r="F254" t="inlineStr">
        <is>
          <t>Timken</t>
        </is>
      </c>
      <c r="G254" s="4" t="n">
        <v>43102</v>
      </c>
      <c r="H254" t="n">
        <v>100</v>
      </c>
      <c r="I254" t="inlineStr">
        <is>
          <t>WSI-J03</t>
        </is>
      </c>
      <c r="J254" t="inlineStr">
        <is>
          <t>Y</t>
        </is>
      </c>
      <c r="K254" s="230" t="n">
        <v>12183</v>
      </c>
      <c r="L254" s="230" t="n">
        <v>11970</v>
      </c>
      <c r="M254" s="233">
        <f>K254-L254</f>
        <v/>
      </c>
      <c r="N254" t="n">
        <v>81.22</v>
      </c>
      <c r="O254" s="233">
        <f>M254-N254</f>
        <v/>
      </c>
      <c r="P254" s="19">
        <f>(K254/L254)-1</f>
        <v/>
      </c>
    </row>
    <row r="255">
      <c r="A255" t="n">
        <v>4</v>
      </c>
      <c r="B255" t="inlineStr">
        <is>
          <t>SPE7M5-18-P-4253</t>
        </is>
      </c>
      <c r="E255" t="n">
        <v>63</v>
      </c>
      <c r="F255" t="inlineStr">
        <is>
          <t>Glenair</t>
        </is>
      </c>
      <c r="G255" s="4" t="n">
        <v>43104</v>
      </c>
      <c r="H255" t="n">
        <v>110</v>
      </c>
      <c r="I255" t="inlineStr">
        <is>
          <t>WSI-J04</t>
        </is>
      </c>
      <c r="J255" t="inlineStr">
        <is>
          <t>Y</t>
        </is>
      </c>
      <c r="K255" s="230" t="n">
        <v>7299.18</v>
      </c>
      <c r="L255" s="230" t="n">
        <v>7143.57</v>
      </c>
      <c r="M255" s="233">
        <f>K255-L255</f>
        <v/>
      </c>
      <c r="N255" t="n">
        <v>19.05</v>
      </c>
      <c r="O255" s="233">
        <f>M255-N255</f>
        <v/>
      </c>
      <c r="P255" s="19">
        <f>(K255/L255)-1</f>
        <v/>
      </c>
    </row>
    <row r="256">
      <c r="A256" t="n">
        <v>5</v>
      </c>
      <c r="B256" t="inlineStr">
        <is>
          <t>SPE7M5-18-V-3269</t>
        </is>
      </c>
      <c r="E256" t="n">
        <v>1</v>
      </c>
      <c r="F256" t="inlineStr">
        <is>
          <t>L-Com</t>
        </is>
      </c>
      <c r="G256" s="4" t="n">
        <v>43104</v>
      </c>
      <c r="H256" t="n">
        <v>30</v>
      </c>
      <c r="I256" t="inlineStr">
        <is>
          <t>WSI-J05</t>
        </is>
      </c>
      <c r="J256" t="inlineStr">
        <is>
          <t>Y</t>
        </is>
      </c>
      <c r="K256" s="230" t="n">
        <v>33.84</v>
      </c>
      <c r="L256" s="230" t="n">
        <v>5</v>
      </c>
      <c r="M256" s="233">
        <f>K256-L256</f>
        <v/>
      </c>
      <c r="O256" s="233">
        <f>M256-N256</f>
        <v/>
      </c>
      <c r="P256" s="19">
        <f>(K256/L256)-1</f>
        <v/>
      </c>
    </row>
    <row r="257">
      <c r="A257" t="n">
        <v>6</v>
      </c>
      <c r="B257" t="inlineStr">
        <is>
          <t>SPE4A4-18-V-2964</t>
        </is>
      </c>
      <c r="E257" s="51" t="n">
        <v>29</v>
      </c>
      <c r="F257" s="51" t="inlineStr">
        <is>
          <t>Glenair</t>
        </is>
      </c>
      <c r="G257" s="4" t="n">
        <v>43104</v>
      </c>
      <c r="I257" s="51" t="inlineStr">
        <is>
          <t>Cancelled</t>
        </is>
      </c>
      <c r="K257" s="230" t="n">
        <v>0</v>
      </c>
      <c r="L257" s="230" t="n">
        <v>0</v>
      </c>
      <c r="M257" s="233">
        <f>K257-L257</f>
        <v/>
      </c>
      <c r="N257" s="51" t="inlineStr">
        <is>
          <t>Cancelled</t>
        </is>
      </c>
      <c r="O257" s="233">
        <f>M257-N257</f>
        <v/>
      </c>
      <c r="P257" s="19">
        <f>(K257/L257)-1</f>
        <v/>
      </c>
    </row>
    <row r="258">
      <c r="A258" t="n">
        <v>7</v>
      </c>
      <c r="B258" t="inlineStr">
        <is>
          <t>SPE7M0-18-V-3089</t>
        </is>
      </c>
      <c r="E258" t="n">
        <v>2</v>
      </c>
      <c r="F258" t="inlineStr">
        <is>
          <t>CTT</t>
        </is>
      </c>
      <c r="G258" s="4" t="n">
        <v>43104</v>
      </c>
      <c r="H258" t="n">
        <v>110</v>
      </c>
      <c r="I258" t="inlineStr">
        <is>
          <t>WSI-J07</t>
        </is>
      </c>
      <c r="J258" t="inlineStr">
        <is>
          <t>Y</t>
        </is>
      </c>
      <c r="K258" s="230" t="n">
        <v>2375.94</v>
      </c>
      <c r="L258" s="230" t="n">
        <v>2330</v>
      </c>
      <c r="M258" s="233">
        <f>K258-L258</f>
        <v/>
      </c>
      <c r="N258" t="n">
        <v>10.17</v>
      </c>
      <c r="O258" s="233">
        <f>M258-N258</f>
        <v/>
      </c>
      <c r="P258" s="19">
        <f>(K258/L258)-1</f>
        <v/>
      </c>
    </row>
    <row r="259">
      <c r="A259" t="n">
        <v>8</v>
      </c>
      <c r="B259" t="inlineStr">
        <is>
          <t>SPE7M5-18-P-4312</t>
        </is>
      </c>
      <c r="E259" t="n">
        <v>264</v>
      </c>
      <c r="F259" t="inlineStr">
        <is>
          <t>Glenair</t>
        </is>
      </c>
      <c r="G259" s="4" t="n">
        <v>43104</v>
      </c>
      <c r="I259" t="inlineStr">
        <is>
          <t>WSI-J08</t>
        </is>
      </c>
      <c r="J259" t="inlineStr">
        <is>
          <t>Y</t>
        </is>
      </c>
      <c r="K259" s="230" t="n">
        <v>12571.79</v>
      </c>
      <c r="L259" s="230" t="n">
        <v>12344.64</v>
      </c>
      <c r="M259" s="233">
        <f>K259-L259</f>
        <v/>
      </c>
      <c r="N259" t="n">
        <v>34.5</v>
      </c>
      <c r="O259" s="233">
        <f>M259-N259</f>
        <v/>
      </c>
      <c r="P259" s="19">
        <f>(K259/L259)-1</f>
        <v/>
      </c>
    </row>
    <row r="260">
      <c r="A260" t="n">
        <v>9</v>
      </c>
      <c r="B260" t="inlineStr">
        <is>
          <t>SPE7M5-18-V-3499</t>
        </is>
      </c>
      <c r="E260" t="n">
        <v>10</v>
      </c>
      <c r="F260" t="inlineStr">
        <is>
          <t>SmithsInter</t>
        </is>
      </c>
      <c r="G260" s="4" t="n">
        <v>43109</v>
      </c>
      <c r="H260" t="n">
        <v>70</v>
      </c>
      <c r="I260" t="inlineStr">
        <is>
          <t>WSI-J09</t>
        </is>
      </c>
      <c r="J260" t="inlineStr">
        <is>
          <t>y</t>
        </is>
      </c>
      <c r="K260" s="233" t="n">
        <v>198.7</v>
      </c>
      <c r="L260" s="233" t="n">
        <v>155.9</v>
      </c>
      <c r="M260" s="233">
        <f>K260-L260</f>
        <v/>
      </c>
      <c r="N260" t="n">
        <v>9.529999999999999</v>
      </c>
      <c r="O260" s="233">
        <f>M260-N260</f>
        <v/>
      </c>
      <c r="P260" s="19">
        <f>(K260/L260)-1</f>
        <v/>
      </c>
    </row>
    <row r="261">
      <c r="A261" t="n">
        <v>10</v>
      </c>
      <c r="B261" t="inlineStr">
        <is>
          <t>SPE4A6-18-V-5851</t>
        </is>
      </c>
      <c r="E261" t="n">
        <v>3</v>
      </c>
      <c r="F261" t="inlineStr">
        <is>
          <t>Olympus Controls</t>
        </is>
      </c>
      <c r="G261" s="4" t="n">
        <v>43109</v>
      </c>
      <c r="H261" t="n">
        <v>100</v>
      </c>
      <c r="I261" t="inlineStr">
        <is>
          <t>WSI-J10</t>
        </is>
      </c>
      <c r="J261" t="inlineStr">
        <is>
          <t>Y</t>
        </is>
      </c>
      <c r="K261" s="233" t="n">
        <v>850.29</v>
      </c>
      <c r="L261" s="233" t="n">
        <v>810</v>
      </c>
      <c r="M261" s="233">
        <f>K261-L261</f>
        <v/>
      </c>
      <c r="N261" t="n">
        <v>15.4</v>
      </c>
      <c r="O261" s="233">
        <f>M261-N261</f>
        <v/>
      </c>
      <c r="P261" s="19">
        <f>(K261/L261)-1</f>
        <v/>
      </c>
    </row>
    <row r="262">
      <c r="A262" t="n">
        <v>11</v>
      </c>
      <c r="B262" t="inlineStr">
        <is>
          <t>SPE7M0-18-V-3225</t>
        </is>
      </c>
      <c r="E262" t="n">
        <v>1</v>
      </c>
      <c r="F262" t="inlineStr">
        <is>
          <t>Griswold</t>
        </is>
      </c>
      <c r="G262" s="4" t="n">
        <v>43109</v>
      </c>
      <c r="H262" t="n">
        <v>30</v>
      </c>
      <c r="I262" t="inlineStr">
        <is>
          <t>stock</t>
        </is>
      </c>
      <c r="J262" t="inlineStr">
        <is>
          <t>Y</t>
        </is>
      </c>
      <c r="K262" s="233" t="n">
        <v>98</v>
      </c>
      <c r="L262" s="233" t="n">
        <v>42</v>
      </c>
      <c r="M262" s="233">
        <f>K262-L262</f>
        <v/>
      </c>
      <c r="O262" s="233">
        <f>M262-N262</f>
        <v/>
      </c>
      <c r="P262" s="19">
        <f>(K262/L262)-1</f>
        <v/>
      </c>
    </row>
    <row r="263">
      <c r="A263" t="n">
        <v>12</v>
      </c>
      <c r="B263" t="inlineStr">
        <is>
          <t>SPE7M1-18-V-3578</t>
        </is>
      </c>
      <c r="E263" t="n">
        <v>1</v>
      </c>
      <c r="F263" t="inlineStr">
        <is>
          <t>EMPOWER</t>
        </is>
      </c>
      <c r="G263" s="4" t="n">
        <v>43109</v>
      </c>
      <c r="H263" t="n">
        <v>70</v>
      </c>
      <c r="I263" t="inlineStr">
        <is>
          <t>WSI-J12</t>
        </is>
      </c>
      <c r="J263" t="inlineStr">
        <is>
          <t>Y</t>
        </is>
      </c>
      <c r="K263" s="233" t="n">
        <v>4298.42</v>
      </c>
      <c r="L263" s="233" t="n">
        <v>4200</v>
      </c>
      <c r="M263" s="233">
        <f>K263-L263</f>
        <v/>
      </c>
      <c r="N263" t="n">
        <v>10.17</v>
      </c>
      <c r="O263" s="233">
        <f>M263-N263</f>
        <v/>
      </c>
      <c r="P263" s="19">
        <f>(K263/L263)-1</f>
        <v/>
      </c>
    </row>
    <row r="264">
      <c r="A264" t="n">
        <v>13</v>
      </c>
      <c r="B264" t="inlineStr">
        <is>
          <t>SPE7L1-18-V-2041</t>
        </is>
      </c>
      <c r="E264" t="n">
        <v>19</v>
      </c>
      <c r="F264" t="inlineStr">
        <is>
          <t>PG</t>
        </is>
      </c>
      <c r="G264" s="4" t="n">
        <v>43110</v>
      </c>
      <c r="H264" t="n">
        <v>90</v>
      </c>
      <c r="I264" t="inlineStr">
        <is>
          <t>WSI-J13</t>
        </is>
      </c>
      <c r="J264" t="inlineStr">
        <is>
          <t>y</t>
        </is>
      </c>
      <c r="K264" s="46" t="n">
        <v>6376.02</v>
      </c>
      <c r="L264" t="n">
        <v>6197.04</v>
      </c>
      <c r="M264" s="233">
        <f>K264-L264</f>
        <v/>
      </c>
      <c r="N264" t="n">
        <v>48.33</v>
      </c>
      <c r="O264" s="233">
        <f>M264-N264</f>
        <v/>
      </c>
      <c r="P264" s="19">
        <f>(K264/L264)-1</f>
        <v/>
      </c>
    </row>
    <row r="265">
      <c r="A265" t="n">
        <v>14</v>
      </c>
      <c r="B265" t="inlineStr">
        <is>
          <t>SPE7MC-18-V-2782</t>
        </is>
      </c>
      <c r="E265" t="n">
        <v>1</v>
      </c>
      <c r="F265" t="inlineStr">
        <is>
          <t>MOROAC</t>
        </is>
      </c>
      <c r="G265" s="4" t="n">
        <v>43111</v>
      </c>
      <c r="H265" t="n">
        <v>140</v>
      </c>
      <c r="I265" t="inlineStr">
        <is>
          <t>WSI-J14</t>
        </is>
      </c>
      <c r="J265" t="inlineStr">
        <is>
          <t>Y</t>
        </is>
      </c>
      <c r="K265" s="46" t="n">
        <v>4588</v>
      </c>
      <c r="L265" s="233" t="n">
        <v>4482.24</v>
      </c>
      <c r="M265" s="233">
        <f>K265-L265</f>
        <v/>
      </c>
      <c r="O265" s="233">
        <f>M265-N265</f>
        <v/>
      </c>
      <c r="P265" s="19">
        <f>(K265/L265)-1</f>
        <v/>
      </c>
    </row>
    <row r="266">
      <c r="A266" t="n">
        <v>15</v>
      </c>
      <c r="B266" t="inlineStr">
        <is>
          <t>SPE5E4-18-V-2956</t>
        </is>
      </c>
      <c r="E266" t="n">
        <v>40</v>
      </c>
      <c r="F266" t="inlineStr">
        <is>
          <t>Molded</t>
        </is>
      </c>
      <c r="G266" s="4" t="n">
        <v>43112</v>
      </c>
      <c r="H266" t="n">
        <v>70</v>
      </c>
      <c r="I266" t="inlineStr">
        <is>
          <t>WSI-J15</t>
        </is>
      </c>
      <c r="J266" t="inlineStr">
        <is>
          <t>Y</t>
        </is>
      </c>
      <c r="K266" s="46" t="n">
        <v>1836.8</v>
      </c>
      <c r="L266" t="n">
        <v>1798.8</v>
      </c>
      <c r="M266" s="233">
        <f>K266-L266</f>
        <v/>
      </c>
      <c r="N266" t="n">
        <v>120.46</v>
      </c>
      <c r="O266" s="233">
        <f>M266-N266</f>
        <v/>
      </c>
      <c r="P266" s="19">
        <f>(K266/L266)-1</f>
        <v/>
      </c>
    </row>
    <row r="267">
      <c r="A267" t="n">
        <v>16</v>
      </c>
      <c r="B267" t="inlineStr">
        <is>
          <t>SPE7M1-18-V-3758</t>
        </is>
      </c>
      <c r="E267" t="n">
        <v>1</v>
      </c>
      <c r="F267" s="51" t="inlineStr">
        <is>
          <t>GEMS, Dest</t>
        </is>
      </c>
      <c r="G267" s="4" t="n">
        <v>43112</v>
      </c>
      <c r="H267" t="n">
        <v>120</v>
      </c>
      <c r="K267" s="110" t="n">
        <v>0</v>
      </c>
      <c r="L267" s="233" t="n">
        <v>0</v>
      </c>
      <c r="M267" s="233" t="n">
        <v>0</v>
      </c>
      <c r="O267" s="233">
        <f>M267-N267</f>
        <v/>
      </c>
      <c r="P267" s="19">
        <f>(K267/L267)-1</f>
        <v/>
      </c>
    </row>
    <row r="268">
      <c r="A268" t="n">
        <v>17</v>
      </c>
      <c r="B268" t="inlineStr">
        <is>
          <t>SPE5E7-18-V-1597</t>
        </is>
      </c>
      <c r="E268" t="n">
        <v>10</v>
      </c>
      <c r="F268" t="inlineStr">
        <is>
          <t>NAFCO</t>
        </is>
      </c>
      <c r="G268" s="4" t="n">
        <v>43112</v>
      </c>
      <c r="H268" t="n">
        <v>130</v>
      </c>
      <c r="I268" t="inlineStr">
        <is>
          <t>WSI-J17</t>
        </is>
      </c>
      <c r="J268" t="inlineStr">
        <is>
          <t>Y</t>
        </is>
      </c>
      <c r="K268" s="46" t="n">
        <v>7498.4</v>
      </c>
      <c r="L268" s="230" t="n">
        <v>7354</v>
      </c>
      <c r="M268" s="233">
        <f>K268-L268</f>
        <v/>
      </c>
      <c r="N268" t="n">
        <v>31.63</v>
      </c>
      <c r="O268" s="233">
        <f>M268-N268</f>
        <v/>
      </c>
      <c r="P268" s="19">
        <f>(K268/L268)-1</f>
        <v/>
      </c>
    </row>
    <row r="269">
      <c r="A269" t="n">
        <v>18</v>
      </c>
      <c r="B269" t="inlineStr">
        <is>
          <t>SPE5E7-18-V-1591</t>
        </is>
      </c>
      <c r="E269" t="n">
        <v>10</v>
      </c>
      <c r="F269" t="inlineStr">
        <is>
          <t>NAFCO</t>
        </is>
      </c>
      <c r="G269" s="4" t="n">
        <v>43112</v>
      </c>
      <c r="H269" t="n">
        <v>200</v>
      </c>
      <c r="I269" t="inlineStr">
        <is>
          <t>WSI-J18</t>
        </is>
      </c>
      <c r="J269" t="inlineStr">
        <is>
          <t>Y</t>
        </is>
      </c>
      <c r="K269" s="46" t="n">
        <v>7312.8</v>
      </c>
      <c r="L269" s="230" t="n">
        <v>7148.6</v>
      </c>
      <c r="M269" s="233">
        <f>K269-L269</f>
        <v/>
      </c>
      <c r="O269" s="233">
        <f>M269-N269</f>
        <v/>
      </c>
      <c r="P269" s="19">
        <f>(K269/L269)-1</f>
        <v/>
      </c>
    </row>
    <row r="270">
      <c r="A270" t="n">
        <v>19</v>
      </c>
      <c r="B270" t="inlineStr">
        <is>
          <t>SPE7M5-18-P-4703</t>
        </is>
      </c>
      <c r="E270" t="n">
        <v>90</v>
      </c>
      <c r="F270" t="inlineStr">
        <is>
          <t>Glenair</t>
        </is>
      </c>
      <c r="G270" s="4" t="n">
        <v>43112</v>
      </c>
      <c r="H270" t="n">
        <v>160</v>
      </c>
      <c r="I270" s="48" t="inlineStr">
        <is>
          <t>WSOC29mod2</t>
        </is>
      </c>
      <c r="K270" s="232" t="n">
        <v>49377.6</v>
      </c>
      <c r="L270" s="230" t="n">
        <v>45892</v>
      </c>
      <c r="M270" s="233">
        <f>K270-L270</f>
        <v/>
      </c>
      <c r="O270" s="233">
        <f>M270-N270</f>
        <v/>
      </c>
      <c r="P270" s="19">
        <f>(K270/L270)-1</f>
        <v/>
      </c>
    </row>
    <row r="271">
      <c r="A271" t="n">
        <v>20</v>
      </c>
      <c r="B271" t="inlineStr">
        <is>
          <t>SPE7M5-18-P-4816</t>
        </is>
      </c>
      <c r="E271" t="n">
        <v>25</v>
      </c>
      <c r="F271" t="inlineStr">
        <is>
          <t>ITT</t>
        </is>
      </c>
      <c r="G271" s="4" t="n">
        <v>43117</v>
      </c>
      <c r="H271" t="n">
        <v>160</v>
      </c>
      <c r="I271" t="inlineStr">
        <is>
          <t>WSI-J20</t>
        </is>
      </c>
      <c r="J271" t="inlineStr">
        <is>
          <t>Y</t>
        </is>
      </c>
      <c r="K271" s="232" t="n">
        <v>14825.7</v>
      </c>
      <c r="L271" s="230" t="n">
        <v>14448.75</v>
      </c>
      <c r="M271" s="233">
        <f>K271-L271</f>
        <v/>
      </c>
      <c r="O271" s="233">
        <f>M271-N271</f>
        <v/>
      </c>
      <c r="P271" s="19">
        <f>(K271/L271)-1</f>
        <v/>
      </c>
    </row>
    <row r="272">
      <c r="A272" t="n">
        <v>21</v>
      </c>
      <c r="B272" t="inlineStr">
        <is>
          <t>SPE7M4-18-V-2693</t>
        </is>
      </c>
      <c r="E272" t="n">
        <v>1</v>
      </c>
      <c r="F272" t="inlineStr">
        <is>
          <t>Aerofit</t>
        </is>
      </c>
      <c r="G272" s="4" t="n">
        <v>43117</v>
      </c>
      <c r="H272" t="n">
        <v>70</v>
      </c>
      <c r="I272" t="inlineStr">
        <is>
          <t>WSI-J21</t>
        </is>
      </c>
      <c r="J272" t="inlineStr">
        <is>
          <t>y</t>
        </is>
      </c>
      <c r="K272" s="232" t="n">
        <v>298.47</v>
      </c>
      <c r="L272" s="230" t="n">
        <v>175</v>
      </c>
      <c r="M272" s="233">
        <f>K272-L272</f>
        <v/>
      </c>
      <c r="O272" s="233">
        <f>M272-N272</f>
        <v/>
      </c>
      <c r="P272" s="19">
        <f>(K272/L272)-1</f>
        <v/>
      </c>
    </row>
    <row r="273">
      <c r="A273" t="n">
        <v>22</v>
      </c>
      <c r="B273" t="inlineStr">
        <is>
          <t>SPE5E8-18-V-2782</t>
        </is>
      </c>
      <c r="E273" t="n">
        <v>10</v>
      </c>
      <c r="F273" t="inlineStr">
        <is>
          <t>NAFCO</t>
        </is>
      </c>
      <c r="G273" s="4" t="n">
        <v>43117</v>
      </c>
      <c r="H273" t="n">
        <v>200</v>
      </c>
      <c r="I273" t="inlineStr">
        <is>
          <t>WSI-J22</t>
        </is>
      </c>
      <c r="J273" t="inlineStr">
        <is>
          <t>Y</t>
        </is>
      </c>
      <c r="K273" s="232" t="n">
        <v>6147.8</v>
      </c>
      <c r="L273" s="230" t="n">
        <v>6035.58</v>
      </c>
      <c r="M273" s="233">
        <f>K273-L273</f>
        <v/>
      </c>
      <c r="O273" s="233">
        <f>M273-N273</f>
        <v/>
      </c>
      <c r="P273" s="19">
        <f>(K273/L273)-1</f>
        <v/>
      </c>
    </row>
    <row r="274">
      <c r="A274" t="n">
        <v>23</v>
      </c>
      <c r="B274" t="inlineStr">
        <is>
          <t>SPE7M8-18-P-0269</t>
        </is>
      </c>
      <c r="E274" t="n">
        <v>1</v>
      </c>
      <c r="F274" t="inlineStr">
        <is>
          <t>Stedham</t>
        </is>
      </c>
      <c r="G274" s="4" t="n">
        <v>43117</v>
      </c>
      <c r="H274" t="n">
        <v>60</v>
      </c>
      <c r="I274" t="inlineStr">
        <is>
          <t>WSI-J23</t>
        </is>
      </c>
      <c r="J274" t="inlineStr">
        <is>
          <t>Y</t>
        </is>
      </c>
      <c r="K274" s="232" t="n">
        <v>122.2</v>
      </c>
      <c r="L274" s="230" t="n">
        <v>64.8</v>
      </c>
      <c r="M274" s="233">
        <f>K274-L274</f>
        <v/>
      </c>
      <c r="O274" s="233">
        <f>M274-N274</f>
        <v/>
      </c>
      <c r="P274" s="19">
        <f>(K274/L274)-1</f>
        <v/>
      </c>
    </row>
    <row r="275">
      <c r="A275" t="n">
        <v>24</v>
      </c>
      <c r="B275" t="inlineStr">
        <is>
          <t>SPE7M4-18-V-2783</t>
        </is>
      </c>
      <c r="E275" t="n">
        <v>1</v>
      </c>
      <c r="F275" t="inlineStr">
        <is>
          <t>Aerofit</t>
        </is>
      </c>
      <c r="G275" s="4" t="n">
        <v>43118</v>
      </c>
      <c r="H275" t="n">
        <v>70</v>
      </c>
      <c r="I275" t="inlineStr">
        <is>
          <t>WSI-J21</t>
        </is>
      </c>
      <c r="J275" t="inlineStr">
        <is>
          <t>y</t>
        </is>
      </c>
      <c r="K275" s="232" t="n">
        <v>298.47</v>
      </c>
      <c r="L275" s="230" t="n">
        <v>175</v>
      </c>
      <c r="M275" s="233">
        <f>K275-L275</f>
        <v/>
      </c>
      <c r="N275" s="51" t="inlineStr">
        <is>
          <t>orderd with J21</t>
        </is>
      </c>
      <c r="O275" s="233">
        <f>M275-N275</f>
        <v/>
      </c>
      <c r="P275" s="19">
        <f>(K275/L275)-1</f>
        <v/>
      </c>
    </row>
    <row r="276">
      <c r="A276" t="n">
        <v>25</v>
      </c>
      <c r="B276" t="inlineStr">
        <is>
          <t>SPE7M5-18-P-4972</t>
        </is>
      </c>
      <c r="E276" t="n">
        <v>8</v>
      </c>
      <c r="F276" t="inlineStr">
        <is>
          <t>KONGBERD</t>
        </is>
      </c>
      <c r="G276" s="4" t="n">
        <v>43119</v>
      </c>
      <c r="H276" t="n">
        <v>70</v>
      </c>
      <c r="I276" t="inlineStr">
        <is>
          <t>WSI-J25</t>
        </is>
      </c>
      <c r="J276" t="inlineStr">
        <is>
          <t>Y</t>
        </is>
      </c>
      <c r="K276" s="232" t="n">
        <v>185.12</v>
      </c>
      <c r="L276" s="230" t="n">
        <v>93</v>
      </c>
      <c r="M276" s="233">
        <f>K276-L276</f>
        <v/>
      </c>
      <c r="O276" s="233">
        <f>M276-N276</f>
        <v/>
      </c>
      <c r="P276" s="19">
        <f>(K276/L276)-1</f>
        <v/>
      </c>
    </row>
    <row r="277">
      <c r="A277" t="n">
        <v>26</v>
      </c>
      <c r="B277" t="inlineStr">
        <is>
          <t>SPE5EJ-18-V-2551</t>
        </is>
      </c>
      <c r="E277" t="n">
        <v>33</v>
      </c>
      <c r="F277" t="inlineStr">
        <is>
          <t>DRUCK</t>
        </is>
      </c>
      <c r="G277" s="4" t="n">
        <v>43119</v>
      </c>
      <c r="H277" t="n">
        <v>120</v>
      </c>
      <c r="I277" t="inlineStr">
        <is>
          <t>WSI-J26</t>
        </is>
      </c>
      <c r="J277" t="inlineStr">
        <is>
          <t>y</t>
        </is>
      </c>
      <c r="K277" s="232" t="n">
        <v>8389.92</v>
      </c>
      <c r="L277" s="230" t="n">
        <v>8316</v>
      </c>
      <c r="M277" s="233">
        <f>K277-L277</f>
        <v/>
      </c>
      <c r="O277" s="233">
        <f>M277-N277</f>
        <v/>
      </c>
      <c r="P277" s="19">
        <f>(K277/L277)-1</f>
        <v/>
      </c>
    </row>
    <row r="278">
      <c r="A278" t="n">
        <v>27</v>
      </c>
      <c r="B278" s="3" t="inlineStr">
        <is>
          <t>SPE7M5-18-V-3828</t>
        </is>
      </c>
      <c r="E278" t="n">
        <v>66</v>
      </c>
      <c r="F278" t="inlineStr">
        <is>
          <t>Munter</t>
        </is>
      </c>
      <c r="G278" s="4" t="n">
        <v>43119</v>
      </c>
      <c r="H278" t="n">
        <v>100</v>
      </c>
      <c r="I278" t="inlineStr">
        <is>
          <t>WSI-J27</t>
        </is>
      </c>
      <c r="J278" t="inlineStr">
        <is>
          <t>Y</t>
        </is>
      </c>
      <c r="K278" s="232" t="n">
        <v>981.42</v>
      </c>
      <c r="L278" s="230" t="n">
        <v>924</v>
      </c>
      <c r="M278" s="233">
        <f>K278-L278</f>
        <v/>
      </c>
      <c r="N278" t="n">
        <v>13.29</v>
      </c>
      <c r="O278" s="233">
        <f>M278-N278</f>
        <v/>
      </c>
      <c r="P278" s="19">
        <f>(K278/L278)-1</f>
        <v/>
      </c>
    </row>
    <row r="279">
      <c r="A279" t="n">
        <v>28</v>
      </c>
      <c r="B279" t="inlineStr">
        <is>
          <t>SPE4A6-18-V-6610</t>
        </is>
      </c>
      <c r="E279" t="n">
        <v>8</v>
      </c>
      <c r="F279" t="inlineStr">
        <is>
          <t>Timken</t>
        </is>
      </c>
      <c r="G279" s="4" t="n">
        <v>43124</v>
      </c>
      <c r="H279" t="n">
        <v>70</v>
      </c>
      <c r="I279" t="inlineStr">
        <is>
          <t>WSI-J28</t>
        </is>
      </c>
      <c r="J279" t="inlineStr">
        <is>
          <t>y</t>
        </is>
      </c>
      <c r="K279" s="232" t="n">
        <v>543.04</v>
      </c>
      <c r="L279" s="230" t="n">
        <v>504</v>
      </c>
      <c r="M279" s="233">
        <f>K279-L279</f>
        <v/>
      </c>
      <c r="N279" t="n">
        <v>10.17</v>
      </c>
      <c r="O279" s="233">
        <f>M279-N279</f>
        <v/>
      </c>
      <c r="P279" s="19">
        <f>(K279/L279)-1</f>
        <v/>
      </c>
    </row>
    <row r="280">
      <c r="A280" t="n">
        <v>29</v>
      </c>
      <c r="B280" t="inlineStr">
        <is>
          <t>SPE5E2-18-V-3442</t>
        </is>
      </c>
      <c r="E280" t="n">
        <v>13</v>
      </c>
      <c r="F280" t="inlineStr">
        <is>
          <t>CAMERON</t>
        </is>
      </c>
      <c r="G280" s="4" t="n">
        <v>43124</v>
      </c>
      <c r="H280" t="n">
        <v>90</v>
      </c>
      <c r="I280" t="inlineStr">
        <is>
          <t>WSI-J29</t>
        </is>
      </c>
      <c r="J280" t="inlineStr">
        <is>
          <t>y</t>
        </is>
      </c>
      <c r="K280" s="232" t="n">
        <v>619.97</v>
      </c>
      <c r="L280" s="230" t="n">
        <v>559</v>
      </c>
      <c r="M280" s="233">
        <f>K280-L280</f>
        <v/>
      </c>
      <c r="O280" s="233">
        <f>M280-N280</f>
        <v/>
      </c>
      <c r="P280" s="19">
        <f>(K280/L280)-1</f>
        <v/>
      </c>
    </row>
    <row r="281">
      <c r="A281" t="n">
        <v>30</v>
      </c>
      <c r="B281" t="inlineStr">
        <is>
          <t>SPE7MC-18-V-3153</t>
        </is>
      </c>
      <c r="E281" t="n">
        <v>15</v>
      </c>
      <c r="F281" t="inlineStr">
        <is>
          <t>Glenair</t>
        </is>
      </c>
      <c r="G281" s="4" t="n">
        <v>43126</v>
      </c>
      <c r="H281" t="n">
        <v>130</v>
      </c>
      <c r="I281" t="inlineStr">
        <is>
          <t>mod</t>
        </is>
      </c>
      <c r="J281" t="inlineStr">
        <is>
          <t>y</t>
        </is>
      </c>
      <c r="K281" s="233" t="n">
        <v>12174.6</v>
      </c>
      <c r="L281" s="233" t="n">
        <v>7468.8</v>
      </c>
      <c r="M281" s="233">
        <f>K281-L281</f>
        <v/>
      </c>
      <c r="O281" s="233">
        <f>M281-N281</f>
        <v/>
      </c>
      <c r="P281" s="19">
        <f>(K281/L281)-1</f>
        <v/>
      </c>
    </row>
    <row r="282">
      <c r="A282" t="n">
        <v>31</v>
      </c>
      <c r="B282" t="inlineStr">
        <is>
          <t>SPE4A4-18-V-3641</t>
        </is>
      </c>
      <c r="E282" t="n">
        <v>91</v>
      </c>
      <c r="F282" t="inlineStr">
        <is>
          <t>CSANTENA</t>
        </is>
      </c>
      <c r="G282" s="4" t="n">
        <v>43129</v>
      </c>
      <c r="H282" t="n">
        <v>110</v>
      </c>
      <c r="I282" t="inlineStr">
        <is>
          <t>WSI-J31</t>
        </is>
      </c>
      <c r="J282" t="inlineStr">
        <is>
          <t>Y</t>
        </is>
      </c>
      <c r="K282" s="233" t="n">
        <v>4045.86</v>
      </c>
      <c r="L282" s="233" t="n">
        <v>3968.51</v>
      </c>
      <c r="M282" s="233">
        <f>K282-L282</f>
        <v/>
      </c>
      <c r="O282" s="233">
        <f>M282-N282</f>
        <v/>
      </c>
      <c r="P282" s="19">
        <f>(K282/L282)-1</f>
        <v/>
      </c>
    </row>
    <row r="283">
      <c r="A283" t="n">
        <v>32</v>
      </c>
      <c r="B283" t="inlineStr">
        <is>
          <t>SPE7M5-18-V-4117</t>
        </is>
      </c>
      <c r="E283" t="n">
        <v>1</v>
      </c>
      <c r="F283" t="inlineStr">
        <is>
          <t>L-Com</t>
        </is>
      </c>
      <c r="G283" s="4" t="n">
        <v>43129</v>
      </c>
      <c r="H283" t="n">
        <v>40</v>
      </c>
      <c r="I283" t="inlineStr">
        <is>
          <t>WSI-J32</t>
        </is>
      </c>
      <c r="J283" t="inlineStr">
        <is>
          <t>y</t>
        </is>
      </c>
      <c r="K283" s="232" t="n">
        <v>56.48</v>
      </c>
      <c r="L283" s="233" t="n">
        <v>19.53</v>
      </c>
      <c r="M283" s="233">
        <f>K283-L283</f>
        <v/>
      </c>
      <c r="O283" s="233">
        <f>M283-N283</f>
        <v/>
      </c>
      <c r="P283" s="19">
        <f>(K283/L283)-1</f>
        <v/>
      </c>
    </row>
    <row r="284">
      <c r="A284" t="n">
        <v>33</v>
      </c>
      <c r="B284" t="inlineStr">
        <is>
          <t>SPE4A6-18-V-7128</t>
        </is>
      </c>
      <c r="E284" t="n">
        <v>9</v>
      </c>
      <c r="F284" t="inlineStr">
        <is>
          <t>National</t>
        </is>
      </c>
      <c r="G284" s="4" t="n">
        <v>43130</v>
      </c>
      <c r="H284" t="n">
        <v>100</v>
      </c>
      <c r="I284" t="inlineStr">
        <is>
          <t>WSI-J33</t>
        </is>
      </c>
      <c r="J284" t="inlineStr">
        <is>
          <t>Y</t>
        </is>
      </c>
      <c r="K284" s="232" t="n">
        <v>859.41</v>
      </c>
      <c r="L284" s="233" t="n">
        <v>819</v>
      </c>
      <c r="M284" s="233">
        <f>K284-L284</f>
        <v/>
      </c>
      <c r="O284" s="233">
        <f>M284-N284</f>
        <v/>
      </c>
      <c r="P284" s="19">
        <f>(K284/L284)-1</f>
        <v/>
      </c>
    </row>
    <row r="285">
      <c r="A285" t="n">
        <v>34</v>
      </c>
      <c r="B285" t="inlineStr">
        <is>
          <t>SPE7L2-18-P-0414</t>
        </is>
      </c>
      <c r="E285" t="n">
        <v>44</v>
      </c>
      <c r="F285" t="inlineStr">
        <is>
          <t>MOROAC</t>
        </is>
      </c>
      <c r="G285" s="4" t="n">
        <v>43131</v>
      </c>
      <c r="H285" t="n">
        <v>80</v>
      </c>
      <c r="I285" t="inlineStr">
        <is>
          <t>WSI-J34</t>
        </is>
      </c>
      <c r="J285" t="inlineStr">
        <is>
          <t>y</t>
        </is>
      </c>
      <c r="K285" s="232" t="n">
        <v>762.52</v>
      </c>
      <c r="L285" s="233" t="n">
        <v>719.14</v>
      </c>
      <c r="M285" s="233">
        <f>K285-L285</f>
        <v/>
      </c>
      <c r="O285" s="233">
        <f>M285-N285</f>
        <v/>
      </c>
      <c r="P285" s="19">
        <f>(K285/L285)-1</f>
        <v/>
      </c>
    </row>
    <row r="286">
      <c r="K286" s="240">
        <f>SUM(K252:K285)</f>
        <v/>
      </c>
      <c r="L286" s="240">
        <f>SUM(L252:L285)</f>
        <v/>
      </c>
      <c r="M286" s="240">
        <f>K286-L286</f>
        <v/>
      </c>
      <c r="O286" s="233">
        <f>M286-N286</f>
        <v/>
      </c>
      <c r="P286" s="92">
        <f>(K286/L286)-1</f>
        <v/>
      </c>
    </row>
    <row r="287">
      <c r="O287" s="233">
        <f>M287-N287</f>
        <v/>
      </c>
    </row>
    <row r="288">
      <c r="A288" t="n">
        <v>1</v>
      </c>
      <c r="B288" t="inlineStr">
        <is>
          <t>SPE7M8-18-V-0730</t>
        </is>
      </c>
      <c r="E288" t="n">
        <v>1</v>
      </c>
      <c r="F288" t="inlineStr">
        <is>
          <t>GEMS</t>
        </is>
      </c>
      <c r="G288" s="4" t="n">
        <v>43133</v>
      </c>
      <c r="H288" t="n">
        <v>100</v>
      </c>
      <c r="I288" t="inlineStr">
        <is>
          <t>WSI-F01</t>
        </is>
      </c>
      <c r="J288" t="inlineStr">
        <is>
          <t>y</t>
        </is>
      </c>
      <c r="K288" s="232" t="n">
        <v>1025.48</v>
      </c>
      <c r="L288" s="233">
        <f>980+12.38</f>
        <v/>
      </c>
      <c r="M288" s="233">
        <f>K288-L288</f>
        <v/>
      </c>
      <c r="N288" t="n">
        <v>12.67</v>
      </c>
      <c r="O288" s="233">
        <f>M288-N288</f>
        <v/>
      </c>
      <c r="P288" s="19">
        <f>(K288/L288)-1</f>
        <v/>
      </c>
    </row>
    <row r="289">
      <c r="A289" t="n">
        <v>2</v>
      </c>
      <c r="B289" t="inlineStr">
        <is>
          <t>SPE7M0-18-P-1661</t>
        </is>
      </c>
      <c r="E289" t="n">
        <v>1</v>
      </c>
      <c r="F289" t="inlineStr">
        <is>
          <t>MORPAC</t>
        </is>
      </c>
      <c r="G289" s="4" t="n">
        <v>43134</v>
      </c>
      <c r="H289" t="n">
        <v>130</v>
      </c>
      <c r="I289" t="inlineStr">
        <is>
          <t>WSI-F02</t>
        </is>
      </c>
      <c r="J289" t="inlineStr">
        <is>
          <t>y</t>
        </is>
      </c>
      <c r="K289" s="232" t="n">
        <v>4069</v>
      </c>
      <c r="L289" s="233" t="n">
        <v>3943.2</v>
      </c>
      <c r="M289" s="233">
        <f>K289-L289</f>
        <v/>
      </c>
      <c r="O289" s="233">
        <f>M289-N289</f>
        <v/>
      </c>
      <c r="P289" s="19">
        <f>(K289/L289)-1</f>
        <v/>
      </c>
    </row>
    <row r="290">
      <c r="A290" t="n">
        <v>3</v>
      </c>
      <c r="B290" t="inlineStr">
        <is>
          <t>SPE4A6-18-P-8567</t>
        </is>
      </c>
      <c r="E290" t="n">
        <v>1</v>
      </c>
      <c r="F290" t="inlineStr">
        <is>
          <t>DIGI</t>
        </is>
      </c>
      <c r="G290" s="4" t="n">
        <v>43136</v>
      </c>
      <c r="H290" t="n">
        <v>60</v>
      </c>
      <c r="I290" t="inlineStr">
        <is>
          <t>WSI-F03</t>
        </is>
      </c>
      <c r="J290" t="inlineStr">
        <is>
          <t>y</t>
        </is>
      </c>
      <c r="K290" s="232" t="n">
        <v>116.49</v>
      </c>
      <c r="L290" s="230" t="n">
        <v>79.95</v>
      </c>
      <c r="M290" s="233">
        <f>K290-L290</f>
        <v/>
      </c>
      <c r="O290" s="233">
        <f>M290-N290</f>
        <v/>
      </c>
      <c r="P290" s="19">
        <f>(K290/L290)-1</f>
        <v/>
      </c>
    </row>
    <row r="291">
      <c r="A291" t="n">
        <v>4</v>
      </c>
      <c r="B291" t="inlineStr">
        <is>
          <t>SPE7M9-18-P-0425</t>
        </is>
      </c>
      <c r="E291" t="n">
        <v>6</v>
      </c>
      <c r="F291" t="inlineStr">
        <is>
          <t>MORPAC</t>
        </is>
      </c>
      <c r="G291" s="4" t="n">
        <v>43137</v>
      </c>
      <c r="H291" t="n">
        <v>100</v>
      </c>
      <c r="I291" t="inlineStr">
        <is>
          <t>WSI-F04</t>
        </is>
      </c>
      <c r="J291" t="inlineStr">
        <is>
          <t>y</t>
        </is>
      </c>
      <c r="K291" s="232" t="n">
        <v>10473.84</v>
      </c>
      <c r="L291" s="230" t="n">
        <v>10254.24</v>
      </c>
      <c r="M291" s="233">
        <f>K291-L291</f>
        <v/>
      </c>
      <c r="O291" s="233">
        <f>M291-N291</f>
        <v/>
      </c>
      <c r="P291" s="19">
        <f>(K291/L291)-1</f>
        <v/>
      </c>
    </row>
    <row r="292">
      <c r="A292" t="n">
        <v>5</v>
      </c>
      <c r="B292" t="inlineStr">
        <is>
          <t>SPE7MC-18-V-3417</t>
        </is>
      </c>
      <c r="E292" t="n">
        <v>13</v>
      </c>
      <c r="F292" t="inlineStr">
        <is>
          <t>Glenair</t>
        </is>
      </c>
      <c r="G292" s="4" t="n">
        <v>43137</v>
      </c>
      <c r="H292" t="n">
        <v>140</v>
      </c>
      <c r="I292" t="inlineStr">
        <is>
          <t>Mod</t>
        </is>
      </c>
      <c r="J292" t="inlineStr">
        <is>
          <t>Y</t>
        </is>
      </c>
      <c r="K292" s="232" t="n">
        <v>10551.32</v>
      </c>
      <c r="L292" s="230" t="n">
        <v>6628.96</v>
      </c>
      <c r="M292" s="233">
        <f>K292-L292</f>
        <v/>
      </c>
      <c r="O292" s="233">
        <f>M292-N292</f>
        <v/>
      </c>
      <c r="P292" s="19">
        <f>(K292/L292)-1</f>
        <v/>
      </c>
    </row>
    <row r="293">
      <c r="A293" t="n">
        <v>6</v>
      </c>
      <c r="B293" t="inlineStr">
        <is>
          <t>SPE7M1-18-V-4653</t>
        </is>
      </c>
      <c r="E293" t="n">
        <v>3</v>
      </c>
      <c r="F293" t="inlineStr">
        <is>
          <t>DRUCK</t>
        </is>
      </c>
      <c r="G293" s="4" t="n">
        <v>43138</v>
      </c>
      <c r="H293" t="n">
        <v>160</v>
      </c>
      <c r="I293" t="inlineStr">
        <is>
          <t>WSI-F06</t>
        </is>
      </c>
      <c r="J293" t="inlineStr">
        <is>
          <t>Y</t>
        </is>
      </c>
      <c r="K293" s="232" t="n">
        <v>3953.67</v>
      </c>
      <c r="L293" s="230" t="n">
        <v>3918</v>
      </c>
      <c r="M293" s="233">
        <f>K293-L293</f>
        <v/>
      </c>
      <c r="O293" s="233">
        <f>M293-N293</f>
        <v/>
      </c>
      <c r="P293" s="19">
        <f>(K293/L293)-1</f>
        <v/>
      </c>
    </row>
    <row r="294">
      <c r="A294" t="n">
        <v>7</v>
      </c>
      <c r="B294" t="inlineStr">
        <is>
          <t>SPE7M3-18-V-1647</t>
        </is>
      </c>
      <c r="E294" t="n">
        <v>15</v>
      </c>
      <c r="F294" t="inlineStr">
        <is>
          <t>AEROFIT</t>
        </is>
      </c>
      <c r="G294" s="4" t="n">
        <v>43138</v>
      </c>
      <c r="I294" s="51" t="n"/>
      <c r="K294" s="232" t="n">
        <v>8238.450000000001</v>
      </c>
      <c r="L294" s="230" t="n">
        <v>8184</v>
      </c>
      <c r="M294" s="233">
        <f>K294-L294</f>
        <v/>
      </c>
      <c r="O294" s="233">
        <f>M294-N294</f>
        <v/>
      </c>
      <c r="P294" s="19">
        <f>(I294/L294)-1</f>
        <v/>
      </c>
    </row>
    <row r="295">
      <c r="A295" t="n">
        <v>8</v>
      </c>
      <c r="B295" t="inlineStr">
        <is>
          <t>SPE7M5-18-V-4343</t>
        </is>
      </c>
      <c r="E295" t="n">
        <v>1</v>
      </c>
      <c r="F295" t="inlineStr">
        <is>
          <t>Glenair</t>
        </is>
      </c>
      <c r="G295" s="4" t="n">
        <v>43138</v>
      </c>
      <c r="H295" t="n">
        <v>120</v>
      </c>
      <c r="I295" t="inlineStr">
        <is>
          <t>WSI-F08</t>
        </is>
      </c>
      <c r="J295" t="inlineStr">
        <is>
          <t>y</t>
        </is>
      </c>
      <c r="K295" s="232" t="n">
        <v>2739.81</v>
      </c>
      <c r="L295" s="230" t="n">
        <v>2705.04</v>
      </c>
      <c r="M295" s="233">
        <f>K295-L295</f>
        <v/>
      </c>
      <c r="O295" s="233">
        <f>M295-N295</f>
        <v/>
      </c>
      <c r="P295" s="19">
        <f>(K295/L295)-1</f>
        <v/>
      </c>
    </row>
    <row r="296">
      <c r="A296" t="n">
        <v>9</v>
      </c>
      <c r="B296" t="inlineStr">
        <is>
          <t>SPE5E4-18-V-3731</t>
        </is>
      </c>
      <c r="E296" t="n">
        <v>18</v>
      </c>
      <c r="F296" t="inlineStr">
        <is>
          <t>AVIBANK</t>
        </is>
      </c>
      <c r="G296" s="4" t="n">
        <v>43139</v>
      </c>
      <c r="H296" t="n">
        <v>230</v>
      </c>
      <c r="I296" t="inlineStr">
        <is>
          <t>WSI-F09</t>
        </is>
      </c>
      <c r="J296" t="inlineStr">
        <is>
          <t>y</t>
        </is>
      </c>
      <c r="K296" s="232" t="n">
        <v>2925</v>
      </c>
      <c r="L296" s="230" t="n">
        <v>2780.46</v>
      </c>
      <c r="M296" s="233">
        <f>K296-L296</f>
        <v/>
      </c>
      <c r="O296" s="233">
        <f>M296-N296</f>
        <v/>
      </c>
      <c r="P296" s="19">
        <f>(K296/L296)-1</f>
        <v/>
      </c>
    </row>
    <row r="297">
      <c r="A297" t="n">
        <v>10</v>
      </c>
      <c r="B297" t="inlineStr">
        <is>
          <t>SPE5EM-18-V-2840</t>
        </is>
      </c>
      <c r="E297" t="n">
        <v>5</v>
      </c>
      <c r="F297" t="inlineStr">
        <is>
          <t>HIAB</t>
        </is>
      </c>
      <c r="G297" s="4" t="n">
        <v>43139</v>
      </c>
      <c r="H297" t="n">
        <v>130</v>
      </c>
      <c r="I297" t="inlineStr">
        <is>
          <t>WSI-F10</t>
        </is>
      </c>
      <c r="J297" t="inlineStr">
        <is>
          <t>y</t>
        </is>
      </c>
      <c r="K297" s="232" t="n">
        <v>8313.200000000001</v>
      </c>
      <c r="L297" s="230" t="n">
        <v>8102.9</v>
      </c>
      <c r="M297" s="233">
        <f>K297-L297</f>
        <v/>
      </c>
      <c r="O297" s="233">
        <f>M297-N297</f>
        <v/>
      </c>
      <c r="P297" s="19">
        <f>(K297/L297)-1</f>
        <v/>
      </c>
    </row>
    <row r="298">
      <c r="A298" t="n">
        <v>11</v>
      </c>
      <c r="B298" t="inlineStr">
        <is>
          <t>SPE7M5-18-V-4698</t>
        </is>
      </c>
      <c r="E298" t="n">
        <v>2</v>
      </c>
      <c r="F298" t="inlineStr">
        <is>
          <t>National</t>
        </is>
      </c>
      <c r="G298" s="4" t="n">
        <v>43143</v>
      </c>
      <c r="H298" t="n">
        <v>100</v>
      </c>
      <c r="I298" t="inlineStr">
        <is>
          <t>WSI-F11</t>
        </is>
      </c>
      <c r="J298" t="inlineStr">
        <is>
          <t>y</t>
        </is>
      </c>
      <c r="K298" s="232" t="n">
        <v>6054.9</v>
      </c>
      <c r="L298" s="232" t="n">
        <v>5998</v>
      </c>
      <c r="M298" s="232">
        <f>K298-L298</f>
        <v/>
      </c>
      <c r="O298" s="233">
        <f>M298-N298</f>
        <v/>
      </c>
      <c r="P298" s="19">
        <f>(K298/L298)-1</f>
        <v/>
      </c>
    </row>
    <row r="299">
      <c r="A299" t="n">
        <v>12</v>
      </c>
      <c r="B299" t="inlineStr">
        <is>
          <t>SPE7M5-18-V-4600</t>
        </is>
      </c>
      <c r="E299" t="n">
        <v>5</v>
      </c>
      <c r="F299" t="inlineStr">
        <is>
          <t>Glenair</t>
        </is>
      </c>
      <c r="G299" s="4" t="n">
        <v>43143</v>
      </c>
      <c r="H299" t="n">
        <v>90</v>
      </c>
      <c r="I299" t="inlineStr">
        <is>
          <t>WSI-M33</t>
        </is>
      </c>
      <c r="J299" t="inlineStr">
        <is>
          <t>y</t>
        </is>
      </c>
      <c r="K299" s="232" t="n">
        <v>1532.1</v>
      </c>
      <c r="L299" s="255" t="n">
        <v>1495.05</v>
      </c>
      <c r="M299" s="232">
        <f>K299-L299</f>
        <v/>
      </c>
      <c r="O299" s="233">
        <f>M299-N299</f>
        <v/>
      </c>
      <c r="P299" s="19">
        <f>(K299/L299)-1</f>
        <v/>
      </c>
    </row>
    <row r="300">
      <c r="A300" t="n">
        <v>13</v>
      </c>
      <c r="B300" t="inlineStr">
        <is>
          <t>SPE7M5-18-V-4815</t>
        </is>
      </c>
      <c r="E300" t="n">
        <v>73</v>
      </c>
      <c r="F300" t="inlineStr">
        <is>
          <t>Glenair</t>
        </is>
      </c>
      <c r="G300" s="4" t="n">
        <v>43143</v>
      </c>
      <c r="H300" t="n">
        <v>90</v>
      </c>
      <c r="I300" t="inlineStr">
        <is>
          <t>WSI-F13</t>
        </is>
      </c>
      <c r="J300" t="inlineStr">
        <is>
          <t>y</t>
        </is>
      </c>
      <c r="K300" s="230" t="n">
        <v>4060.99</v>
      </c>
      <c r="L300" s="230" t="n">
        <v>3926.67</v>
      </c>
      <c r="M300" s="232">
        <f>K300-L300</f>
        <v/>
      </c>
      <c r="N300" t="n">
        <v>13.82</v>
      </c>
      <c r="O300" s="233">
        <f>M300-N300</f>
        <v/>
      </c>
      <c r="P300" s="19">
        <f>(K300/L300)-1</f>
        <v/>
      </c>
    </row>
    <row r="301">
      <c r="A301" t="n">
        <v>14</v>
      </c>
      <c r="B301" t="inlineStr">
        <is>
          <t>SPE7MC-18-V-3627</t>
        </is>
      </c>
      <c r="E301" t="n">
        <v>111</v>
      </c>
      <c r="F301" t="inlineStr">
        <is>
          <t>Munter</t>
        </is>
      </c>
      <c r="G301" s="4" t="n">
        <v>43143</v>
      </c>
      <c r="H301" t="n">
        <v>140</v>
      </c>
      <c r="I301" t="inlineStr">
        <is>
          <t>WSI-F14</t>
        </is>
      </c>
      <c r="J301" t="inlineStr">
        <is>
          <t>y</t>
        </is>
      </c>
      <c r="K301" s="230" t="n">
        <v>1950.27</v>
      </c>
      <c r="L301" s="230" t="n">
        <v>1887</v>
      </c>
      <c r="M301" s="232">
        <f>K301-L301</f>
        <v/>
      </c>
      <c r="O301" s="233">
        <f>M301-N301</f>
        <v/>
      </c>
      <c r="P301" s="19">
        <f>(K301/L301)-1</f>
        <v/>
      </c>
    </row>
    <row r="302">
      <c r="A302" t="n">
        <v>15</v>
      </c>
      <c r="B302" t="inlineStr">
        <is>
          <t>SPE7M5-18-V-4756</t>
        </is>
      </c>
      <c r="E302" t="n">
        <v>1</v>
      </c>
      <c r="F302" t="inlineStr">
        <is>
          <t>EMS</t>
        </is>
      </c>
      <c r="G302" s="4" t="n">
        <v>43143</v>
      </c>
      <c r="H302" t="n">
        <v>120</v>
      </c>
      <c r="I302" t="inlineStr">
        <is>
          <t>WSI-F15</t>
        </is>
      </c>
      <c r="J302" t="inlineStr">
        <is>
          <t>y</t>
        </is>
      </c>
      <c r="K302" s="230" t="n">
        <v>1252.89</v>
      </c>
      <c r="L302" s="230" t="n">
        <v>1206.4</v>
      </c>
      <c r="M302" s="232">
        <f>K302-L302</f>
        <v/>
      </c>
      <c r="O302" s="233">
        <f>M302-N302</f>
        <v/>
      </c>
      <c r="P302" s="19">
        <f>(K302/L302)-1</f>
        <v/>
      </c>
    </row>
    <row r="303">
      <c r="A303" t="n">
        <v>16</v>
      </c>
      <c r="B303" t="inlineStr">
        <is>
          <t>SPE7M8-18-P-1567</t>
        </is>
      </c>
      <c r="E303" t="n">
        <v>2</v>
      </c>
      <c r="F303" t="inlineStr">
        <is>
          <t>GEMS</t>
        </is>
      </c>
      <c r="G303" s="4" t="n">
        <v>43143</v>
      </c>
      <c r="H303" t="n">
        <v>130</v>
      </c>
      <c r="I303" t="inlineStr">
        <is>
          <t>WSI-F16</t>
        </is>
      </c>
      <c r="J303" t="inlineStr">
        <is>
          <t>y</t>
        </is>
      </c>
      <c r="K303" s="232" t="n">
        <v>13726.88</v>
      </c>
      <c r="L303" s="230">
        <f>13480+50.14</f>
        <v/>
      </c>
      <c r="M303" s="232">
        <f>K303-L303</f>
        <v/>
      </c>
      <c r="N303" t="n">
        <v>60.44</v>
      </c>
      <c r="O303" s="233">
        <f>M303-N303</f>
        <v/>
      </c>
      <c r="P303" s="19">
        <f>(K303/L303)-1</f>
        <v/>
      </c>
    </row>
    <row r="304">
      <c r="A304" t="n">
        <v>17</v>
      </c>
      <c r="B304" t="inlineStr">
        <is>
          <t>SPE7M0-18-V-4415</t>
        </is>
      </c>
      <c r="E304" t="n">
        <v>2</v>
      </c>
      <c r="F304" t="inlineStr">
        <is>
          <t>GEMS</t>
        </is>
      </c>
      <c r="G304" s="4" t="n">
        <v>43144</v>
      </c>
      <c r="H304" t="n">
        <v>110</v>
      </c>
      <c r="I304" t="inlineStr">
        <is>
          <t>WSI-F17</t>
        </is>
      </c>
      <c r="J304" t="inlineStr">
        <is>
          <t>y</t>
        </is>
      </c>
      <c r="K304" s="232" t="n">
        <v>3595.96</v>
      </c>
      <c r="L304" s="230">
        <f>3530+12.35</f>
        <v/>
      </c>
      <c r="M304" s="232">
        <f>K304-L304</f>
        <v/>
      </c>
      <c r="N304" t="n">
        <v>13.19</v>
      </c>
      <c r="O304" s="233">
        <f>M304-N304</f>
        <v/>
      </c>
      <c r="P304" s="19">
        <f>(K304/L304)-1</f>
        <v/>
      </c>
    </row>
    <row r="305">
      <c r="B305" t="inlineStr">
        <is>
          <t>SPE7M5-18-V-4859</t>
        </is>
      </c>
      <c r="E305" t="n">
        <v>20</v>
      </c>
      <c r="F305" t="inlineStr">
        <is>
          <t>Elastomeric</t>
        </is>
      </c>
      <c r="G305" s="4" t="n">
        <v>43144</v>
      </c>
      <c r="I305" t="inlineStr">
        <is>
          <t>Cancelled</t>
        </is>
      </c>
      <c r="K305" s="46" t="n">
        <v>0</v>
      </c>
      <c r="L305" s="230" t="n">
        <v>0</v>
      </c>
      <c r="M305" s="232">
        <f>K305-L305</f>
        <v/>
      </c>
      <c r="O305" s="233">
        <f>M305-N305</f>
        <v/>
      </c>
      <c r="P305" s="19">
        <f>(K305/L305)-1</f>
        <v/>
      </c>
    </row>
    <row r="306">
      <c r="A306" t="n">
        <v>18</v>
      </c>
      <c r="B306" t="inlineStr">
        <is>
          <t>SPE4A5-18-V-1587</t>
        </is>
      </c>
      <c r="E306" t="n">
        <v>16</v>
      </c>
      <c r="F306" t="inlineStr">
        <is>
          <t>Glenair</t>
        </is>
      </c>
      <c r="G306" s="4" t="n">
        <v>43144</v>
      </c>
      <c r="H306" t="n">
        <v>100</v>
      </c>
      <c r="I306" s="3" t="inlineStr">
        <is>
          <t>WSI-F18</t>
        </is>
      </c>
      <c r="J306" t="inlineStr">
        <is>
          <t>y</t>
        </is>
      </c>
      <c r="K306" s="232" t="n">
        <v>2831.04</v>
      </c>
      <c r="L306" s="230" t="n">
        <v>2778.6</v>
      </c>
      <c r="M306" s="232">
        <f>K306-L306</f>
        <v/>
      </c>
      <c r="N306" t="n">
        <v>14.56</v>
      </c>
      <c r="O306" s="233">
        <f>M306-N306</f>
        <v/>
      </c>
      <c r="P306" s="19">
        <f>(K306/L306)-1</f>
        <v/>
      </c>
    </row>
    <row r="307">
      <c r="A307" t="n">
        <v>19</v>
      </c>
      <c r="B307" t="inlineStr">
        <is>
          <t>SPE7M0-18-V-4419</t>
        </is>
      </c>
      <c r="E307" t="n">
        <v>13</v>
      </c>
      <c r="F307" t="inlineStr">
        <is>
          <t>GEMS</t>
        </is>
      </c>
      <c r="G307" s="4" t="n">
        <v>43144</v>
      </c>
      <c r="H307" t="n">
        <v>120</v>
      </c>
      <c r="I307" s="117" t="inlineStr">
        <is>
          <t>WSI-F19</t>
        </is>
      </c>
      <c r="J307" t="inlineStr">
        <is>
          <t>y</t>
        </is>
      </c>
      <c r="K307" s="232" t="n">
        <v>9267.440000000001</v>
      </c>
      <c r="L307" s="230">
        <f>9100+44.23</f>
        <v/>
      </c>
      <c r="M307" s="232">
        <f>K307-L307</f>
        <v/>
      </c>
      <c r="N307" s="51">
        <f>23.88+29.06+23.88</f>
        <v/>
      </c>
      <c r="O307" s="233">
        <f>M307-N307</f>
        <v/>
      </c>
      <c r="P307" s="19">
        <f>(K307/L307)-1</f>
        <v/>
      </c>
    </row>
    <row r="308">
      <c r="A308" t="n">
        <v>20</v>
      </c>
      <c r="B308" t="inlineStr">
        <is>
          <t>SPE4A6-18-V-8263</t>
        </is>
      </c>
      <c r="E308" t="n">
        <v>88</v>
      </c>
      <c r="F308" t="inlineStr">
        <is>
          <t>L-Com</t>
        </is>
      </c>
      <c r="G308" s="4" t="n">
        <v>43145</v>
      </c>
      <c r="H308" t="n">
        <v>100</v>
      </c>
      <c r="I308" t="inlineStr">
        <is>
          <t>WSI-F20</t>
        </is>
      </c>
      <c r="J308" t="inlineStr">
        <is>
          <t>y</t>
        </is>
      </c>
      <c r="K308" s="232" t="n">
        <v>2850.32</v>
      </c>
      <c r="L308" s="230" t="n">
        <v>2723.6</v>
      </c>
      <c r="M308" s="232">
        <f>K308-L308</f>
        <v/>
      </c>
      <c r="O308" s="233">
        <f>M308-N308</f>
        <v/>
      </c>
      <c r="P308" s="19">
        <f>(K308/L308)-1</f>
        <v/>
      </c>
    </row>
    <row r="309">
      <c r="A309" t="n">
        <v>21</v>
      </c>
      <c r="B309" t="inlineStr">
        <is>
          <t>SPE7L0-18-V-3394</t>
        </is>
      </c>
      <c r="E309" t="n">
        <v>28</v>
      </c>
      <c r="F309" t="inlineStr">
        <is>
          <t>HIAB</t>
        </is>
      </c>
      <c r="G309" s="4" t="n">
        <v>43147</v>
      </c>
      <c r="H309" t="n">
        <v>150</v>
      </c>
      <c r="I309" s="51" t="inlineStr">
        <is>
          <t>Cancel/Req</t>
        </is>
      </c>
      <c r="K309" s="46" t="n">
        <v>17770.76</v>
      </c>
      <c r="L309" s="46" t="n">
        <v>17770.76</v>
      </c>
      <c r="M309" s="232">
        <f>K309-L309</f>
        <v/>
      </c>
      <c r="O309" s="233">
        <f>M309-N309</f>
        <v/>
      </c>
      <c r="P309" s="19">
        <f>(K309/L309)-1</f>
        <v/>
      </c>
    </row>
    <row r="310">
      <c r="A310" t="n">
        <v>22</v>
      </c>
      <c r="B310" t="inlineStr">
        <is>
          <t>SPE7M5-18-V-5028</t>
        </is>
      </c>
      <c r="E310" t="n">
        <v>49</v>
      </c>
      <c r="F310" t="inlineStr">
        <is>
          <t>Glenair</t>
        </is>
      </c>
      <c r="G310" s="4" t="n">
        <v>43151</v>
      </c>
      <c r="H310" t="n">
        <v>120</v>
      </c>
      <c r="I310" t="inlineStr">
        <is>
          <t>WSI-F22</t>
        </is>
      </c>
      <c r="K310" s="232" t="n">
        <v>6652.73</v>
      </c>
      <c r="L310" s="46" t="n">
        <v>6516</v>
      </c>
      <c r="M310" s="232">
        <f>K310-L310</f>
        <v/>
      </c>
      <c r="N310" t="n">
        <v>37.96</v>
      </c>
      <c r="O310" s="233">
        <f>M310-N310</f>
        <v/>
      </c>
      <c r="P310" s="19">
        <f>(K310/L310)-1</f>
        <v/>
      </c>
    </row>
    <row r="311">
      <c r="A311" t="n">
        <v>23</v>
      </c>
      <c r="B311" t="inlineStr">
        <is>
          <t>SPE7M3-18-V-1884</t>
        </is>
      </c>
      <c r="E311" t="n">
        <v>9</v>
      </c>
      <c r="F311" t="inlineStr">
        <is>
          <t>PBM</t>
        </is>
      </c>
      <c r="G311" s="4" t="n">
        <v>43151</v>
      </c>
      <c r="H311" t="n">
        <v>95</v>
      </c>
      <c r="I311" t="inlineStr">
        <is>
          <t>WSI-F23</t>
        </is>
      </c>
      <c r="J311" t="inlineStr">
        <is>
          <t>y</t>
        </is>
      </c>
      <c r="K311" s="232" t="n">
        <v>5550.48</v>
      </c>
      <c r="L311" s="230" t="n">
        <v>5445</v>
      </c>
      <c r="M311" s="232">
        <f>K311-L311</f>
        <v/>
      </c>
      <c r="O311" s="233">
        <f>M311-N311</f>
        <v/>
      </c>
      <c r="P311" s="19">
        <f>(K311/L311)-1</f>
        <v/>
      </c>
    </row>
    <row r="312">
      <c r="A312" t="n">
        <v>24</v>
      </c>
      <c r="B312" t="inlineStr">
        <is>
          <t>SPE7M5-18-V-4992</t>
        </is>
      </c>
      <c r="E312" t="n">
        <v>8</v>
      </c>
      <c r="F312" t="inlineStr">
        <is>
          <t>Glenair</t>
        </is>
      </c>
      <c r="G312" s="4" t="n">
        <v>43151</v>
      </c>
      <c r="H312" t="n">
        <v>110</v>
      </c>
      <c r="I312" t="inlineStr">
        <is>
          <t>WSI-F24</t>
        </is>
      </c>
      <c r="K312" s="232" t="n">
        <v>2413.76</v>
      </c>
      <c r="L312" s="255" t="n">
        <v>2370.6</v>
      </c>
      <c r="M312" s="232">
        <f>K312-L312</f>
        <v/>
      </c>
      <c r="O312" s="233">
        <f>M312-N312</f>
        <v/>
      </c>
      <c r="P312" s="19">
        <f>(K312/L312)-1</f>
        <v/>
      </c>
    </row>
    <row r="313">
      <c r="A313" t="n">
        <v>25</v>
      </c>
      <c r="B313" t="inlineStr">
        <is>
          <t>SPE5E4-18-V-4162</t>
        </is>
      </c>
      <c r="E313" t="n">
        <v>1</v>
      </c>
      <c r="F313" t="inlineStr">
        <is>
          <t>FlowLine</t>
        </is>
      </c>
      <c r="G313" s="4" t="n">
        <v>43153</v>
      </c>
      <c r="H313" t="n">
        <v>70</v>
      </c>
      <c r="I313" t="inlineStr">
        <is>
          <t>WSI-F25</t>
        </is>
      </c>
      <c r="J313" t="inlineStr">
        <is>
          <t>Yes</t>
        </is>
      </c>
      <c r="K313" s="232" t="n">
        <v>937.8</v>
      </c>
      <c r="L313" t="n">
        <v>892.05</v>
      </c>
      <c r="M313" s="232">
        <f>K313-L313</f>
        <v/>
      </c>
      <c r="N313" t="n">
        <v>11.9</v>
      </c>
      <c r="O313" s="233">
        <f>M313-N313</f>
        <v/>
      </c>
      <c r="P313" s="19">
        <f>(K313/L313)-1</f>
        <v/>
      </c>
    </row>
    <row r="314">
      <c r="A314" t="n">
        <v>26</v>
      </c>
      <c r="B314" s="3" t="inlineStr">
        <is>
          <t>SPE7M0-18-V-4705</t>
        </is>
      </c>
      <c r="E314" t="n">
        <v>2</v>
      </c>
      <c r="F314" t="inlineStr">
        <is>
          <t>PRECE</t>
        </is>
      </c>
      <c r="G314" s="4" t="n">
        <v>43154</v>
      </c>
      <c r="H314" t="n">
        <v>270</v>
      </c>
      <c r="I314" t="inlineStr">
        <is>
          <t>WSI-F26</t>
        </is>
      </c>
      <c r="J314" t="inlineStr">
        <is>
          <t>yes</t>
        </is>
      </c>
      <c r="K314" s="232" t="n">
        <v>39956</v>
      </c>
      <c r="L314" s="230" t="n">
        <v>38164</v>
      </c>
      <c r="M314" s="232">
        <f>K314-L314</f>
        <v/>
      </c>
      <c r="O314" s="233">
        <f>M314-N314</f>
        <v/>
      </c>
      <c r="P314" s="19">
        <f>(K314/L314)-1</f>
        <v/>
      </c>
    </row>
    <row r="315">
      <c r="A315" t="n">
        <v>27</v>
      </c>
      <c r="B315" t="inlineStr">
        <is>
          <t>SPE7MC-18-V-4064</t>
        </is>
      </c>
      <c r="E315" t="n">
        <v>250</v>
      </c>
      <c r="F315" t="inlineStr">
        <is>
          <t>Glenair</t>
        </is>
      </c>
      <c r="G315" s="4" t="n">
        <v>43154</v>
      </c>
      <c r="H315" t="n">
        <v>120</v>
      </c>
      <c r="I315" t="inlineStr">
        <is>
          <t>WSI-F27</t>
        </is>
      </c>
      <c r="J315" t="inlineStr">
        <is>
          <t>y</t>
        </is>
      </c>
      <c r="K315" s="232" t="n">
        <v>3777.5</v>
      </c>
      <c r="L315" s="230" t="n">
        <v>3640</v>
      </c>
      <c r="M315" s="232">
        <f>K315-L315</f>
        <v/>
      </c>
      <c r="N315" t="n">
        <v>10.15</v>
      </c>
      <c r="O315" s="233">
        <f>M315-N315</f>
        <v/>
      </c>
      <c r="P315" s="19">
        <f>(K315/L315)-1</f>
        <v/>
      </c>
    </row>
    <row r="316">
      <c r="A316" t="n">
        <v>28</v>
      </c>
      <c r="B316" t="inlineStr">
        <is>
          <t>SPE8EN-18-P-7057</t>
        </is>
      </c>
      <c r="E316" t="n">
        <v>1</v>
      </c>
      <c r="F316" s="67" t="inlineStr">
        <is>
          <t>GEMS/Mod</t>
        </is>
      </c>
      <c r="G316" s="4" t="n">
        <v>43157</v>
      </c>
      <c r="H316" t="n">
        <v>120</v>
      </c>
      <c r="I316" t="inlineStr">
        <is>
          <t>WSI-F28</t>
        </is>
      </c>
      <c r="J316" t="inlineStr">
        <is>
          <t>y</t>
        </is>
      </c>
      <c r="K316" s="232" t="n">
        <v>6748.81</v>
      </c>
      <c r="L316" s="230">
        <f>6610+20.12</f>
        <v/>
      </c>
      <c r="M316" s="232">
        <f>K316-L316</f>
        <v/>
      </c>
      <c r="N316" t="n">
        <v>21.17</v>
      </c>
      <c r="O316" s="233">
        <f>M316-N316</f>
        <v/>
      </c>
      <c r="P316" s="19">
        <f>(K316/L316)-1</f>
        <v/>
      </c>
    </row>
    <row r="317">
      <c r="A317" t="n">
        <v>29</v>
      </c>
      <c r="B317" t="inlineStr">
        <is>
          <t>SPE7M5-18-P-6682</t>
        </is>
      </c>
      <c r="E317" t="n">
        <v>31</v>
      </c>
      <c r="F317" t="inlineStr">
        <is>
          <t>Glenair</t>
        </is>
      </c>
      <c r="G317" s="4" t="n">
        <v>43158</v>
      </c>
      <c r="H317" t="n">
        <v>110</v>
      </c>
      <c r="I317" t="inlineStr">
        <is>
          <t>WSI-F29</t>
        </is>
      </c>
      <c r="J317" t="inlineStr">
        <is>
          <t>y</t>
        </is>
      </c>
      <c r="K317" s="232" t="n">
        <v>2650.19</v>
      </c>
      <c r="L317" s="230" t="n">
        <v>2595.6</v>
      </c>
      <c r="M317" s="232">
        <f>K317-L317</f>
        <v/>
      </c>
      <c r="O317" s="233">
        <f>M317-N317</f>
        <v/>
      </c>
      <c r="P317" s="19">
        <f>(K317/L317)-1</f>
        <v/>
      </c>
    </row>
    <row r="318">
      <c r="A318" t="n">
        <v>30</v>
      </c>
      <c r="B318" t="inlineStr">
        <is>
          <t>SPE7M8-18-V-0924</t>
        </is>
      </c>
      <c r="E318" t="n">
        <v>7</v>
      </c>
      <c r="F318" t="inlineStr">
        <is>
          <t>GEMS</t>
        </is>
      </c>
      <c r="G318" s="4" t="n">
        <v>43158</v>
      </c>
      <c r="H318" t="n">
        <v>130</v>
      </c>
      <c r="I318" s="58" t="inlineStr">
        <is>
          <t>WSI-F30</t>
        </is>
      </c>
      <c r="J318" t="inlineStr">
        <is>
          <t>y</t>
        </is>
      </c>
      <c r="K318" s="232" t="n">
        <v>11959.36</v>
      </c>
      <c r="L318" s="230">
        <f>11760+20.12</f>
        <v/>
      </c>
      <c r="M318" s="232">
        <f>K318-L318</f>
        <v/>
      </c>
      <c r="N318" t="n">
        <v>21.17</v>
      </c>
      <c r="O318" s="233">
        <f>M318-N318</f>
        <v/>
      </c>
      <c r="P318" s="19">
        <f>(K318/L318)-1</f>
        <v/>
      </c>
    </row>
    <row r="319">
      <c r="A319" t="n">
        <v>31</v>
      </c>
      <c r="B319" t="inlineStr">
        <is>
          <t>SPE7MC-18-V-4165</t>
        </is>
      </c>
      <c r="E319" t="n">
        <v>127</v>
      </c>
      <c r="F319" t="inlineStr">
        <is>
          <t>ITT</t>
        </is>
      </c>
      <c r="G319" s="4" t="n">
        <v>43158</v>
      </c>
      <c r="H319" t="n">
        <v>75</v>
      </c>
      <c r="I319" t="inlineStr">
        <is>
          <t>WSI-F31</t>
        </is>
      </c>
      <c r="J319" t="inlineStr">
        <is>
          <t>y</t>
        </is>
      </c>
      <c r="K319" s="232" t="n">
        <v>845.8200000000001</v>
      </c>
      <c r="L319" s="230" t="n">
        <v>787.4</v>
      </c>
      <c r="M319" s="232">
        <f>K319-L319</f>
        <v/>
      </c>
      <c r="O319" s="233">
        <f>M319-N319</f>
        <v/>
      </c>
      <c r="P319" s="19">
        <f>(K319/L319)-1</f>
        <v/>
      </c>
    </row>
    <row r="320">
      <c r="A320" t="n">
        <v>32</v>
      </c>
      <c r="B320" t="inlineStr">
        <is>
          <t>SPE7L3-18-V-4690</t>
        </is>
      </c>
      <c r="E320" t="n">
        <v>1</v>
      </c>
      <c r="F320" t="inlineStr">
        <is>
          <t>HAIB</t>
        </is>
      </c>
      <c r="G320" s="4" t="n">
        <v>43158</v>
      </c>
      <c r="H320" t="n">
        <v>110</v>
      </c>
      <c r="I320" t="inlineStr">
        <is>
          <t>WSI-F32</t>
        </is>
      </c>
      <c r="J320" t="inlineStr">
        <is>
          <t>y</t>
        </is>
      </c>
      <c r="K320" s="232" t="n">
        <v>1524.4</v>
      </c>
      <c r="L320" s="230" t="n">
        <v>1431.7</v>
      </c>
      <c r="M320" s="232">
        <f>K320-L320</f>
        <v/>
      </c>
      <c r="N320" t="n">
        <v>12.88</v>
      </c>
      <c r="O320" s="233">
        <f>M320-N320</f>
        <v/>
      </c>
      <c r="P320" s="19">
        <f>(K320/L320)-1</f>
        <v/>
      </c>
    </row>
    <row r="321">
      <c r="K321" s="243">
        <f>SUM(K288:K320)</f>
        <v/>
      </c>
      <c r="L321" s="240">
        <f>SUM(L288:L320)</f>
        <v/>
      </c>
      <c r="M321" s="243">
        <f>K321-L321</f>
        <v/>
      </c>
      <c r="N321" s="3" t="n"/>
      <c r="O321" s="233">
        <f>M321-N321</f>
        <v/>
      </c>
      <c r="P321" s="92">
        <f>(K321/L321)-1</f>
        <v/>
      </c>
    </row>
    <row r="322">
      <c r="O322" s="233">
        <f>M322-N322</f>
        <v/>
      </c>
      <c r="P322" s="19">
        <f>(K322/L322)-1</f>
        <v/>
      </c>
    </row>
    <row r="323">
      <c r="A323" t="n">
        <v>1</v>
      </c>
      <c r="B323" t="inlineStr">
        <is>
          <t>SPE7M9-18-V-0449</t>
        </is>
      </c>
      <c r="E323" t="n">
        <v>1</v>
      </c>
      <c r="F323" t="inlineStr">
        <is>
          <t>HIAB</t>
        </is>
      </c>
      <c r="G323" s="4" t="n">
        <v>43161</v>
      </c>
      <c r="H323" t="n">
        <v>140</v>
      </c>
      <c r="I323" t="inlineStr">
        <is>
          <t>WSI-M01</t>
        </is>
      </c>
      <c r="J323" t="inlineStr">
        <is>
          <t>y</t>
        </is>
      </c>
      <c r="K323" s="232" t="n">
        <v>2376.7</v>
      </c>
      <c r="L323" s="230" t="n">
        <v>2293.72</v>
      </c>
      <c r="M323" s="232">
        <f>K323-L323</f>
        <v/>
      </c>
      <c r="N323" t="n">
        <v>12.88</v>
      </c>
      <c r="O323" s="233">
        <f>M323-N323</f>
        <v/>
      </c>
      <c r="P323" s="19">
        <f>(K323/L323)-1</f>
        <v/>
      </c>
    </row>
    <row r="324">
      <c r="A324" t="n">
        <v>2</v>
      </c>
      <c r="B324" t="inlineStr">
        <is>
          <t>SPE7L7-18-V-0960</t>
        </is>
      </c>
      <c r="E324" t="n">
        <v>2</v>
      </c>
      <c r="F324" t="inlineStr">
        <is>
          <t>ELMA</t>
        </is>
      </c>
      <c r="G324" s="4" t="n">
        <v>43161</v>
      </c>
      <c r="H324" t="n">
        <v>170</v>
      </c>
      <c r="I324" t="inlineStr">
        <is>
          <t>WSI-M02</t>
        </is>
      </c>
      <c r="J324" t="inlineStr">
        <is>
          <t>y</t>
        </is>
      </c>
      <c r="K324" s="232" t="n">
        <v>2344</v>
      </c>
      <c r="L324" s="230" t="n">
        <v>2310</v>
      </c>
      <c r="M324" s="232">
        <f>K324-L324</f>
        <v/>
      </c>
      <c r="N324" t="n">
        <v>31.99</v>
      </c>
      <c r="O324" s="233">
        <f>M324-N324</f>
        <v/>
      </c>
      <c r="P324" s="19">
        <f>(K324/L324)-1</f>
        <v/>
      </c>
    </row>
    <row r="325">
      <c r="A325" t="n">
        <v>3</v>
      </c>
      <c r="B325" t="inlineStr">
        <is>
          <t>SPE5EM-18-V-3314</t>
        </is>
      </c>
      <c r="E325" t="n">
        <v>120</v>
      </c>
      <c r="F325" t="inlineStr">
        <is>
          <t>MOLDED</t>
        </is>
      </c>
      <c r="G325" s="4" t="n">
        <v>43161</v>
      </c>
      <c r="H325" t="n">
        <v>90</v>
      </c>
      <c r="I325" t="inlineStr">
        <is>
          <t>WSI-M03</t>
        </is>
      </c>
      <c r="J325" t="inlineStr">
        <is>
          <t>y</t>
        </is>
      </c>
      <c r="K325" s="232" t="n">
        <v>8830.799999999999</v>
      </c>
      <c r="L325" s="230" t="n">
        <v>8321.639999999999</v>
      </c>
      <c r="M325" s="232">
        <f>K325-L325</f>
        <v/>
      </c>
      <c r="N325" s="51" t="n">
        <v>389.16</v>
      </c>
      <c r="O325" s="233">
        <f>M325-N325</f>
        <v/>
      </c>
      <c r="P325" s="19">
        <f>(K325/L325)-1</f>
        <v/>
      </c>
    </row>
    <row r="326">
      <c r="A326" t="n">
        <v>4</v>
      </c>
      <c r="B326" t="inlineStr">
        <is>
          <t>SPE7M8-18-V-0932</t>
        </is>
      </c>
      <c r="E326" t="n">
        <v>1</v>
      </c>
      <c r="F326" t="inlineStr">
        <is>
          <t>GEMS</t>
        </is>
      </c>
      <c r="G326" s="4" t="n">
        <v>43161</v>
      </c>
      <c r="H326" t="n">
        <v>120</v>
      </c>
      <c r="I326" t="inlineStr">
        <is>
          <t>WSI-M04</t>
        </is>
      </c>
      <c r="J326" t="inlineStr">
        <is>
          <t>y</t>
        </is>
      </c>
      <c r="K326" s="232" t="n">
        <v>1843.64</v>
      </c>
      <c r="L326" s="230">
        <f>1785+10</f>
        <v/>
      </c>
      <c r="M326" s="232">
        <f>K326-L326</f>
        <v/>
      </c>
      <c r="O326" s="233">
        <f>M326-N326</f>
        <v/>
      </c>
      <c r="P326" s="19">
        <f>(K326/L326)-1</f>
        <v/>
      </c>
    </row>
    <row r="327">
      <c r="A327" t="n">
        <v>5</v>
      </c>
      <c r="B327" t="inlineStr">
        <is>
          <t>SPE7L4-18-V-0781</t>
        </is>
      </c>
      <c r="E327" t="n">
        <v>60</v>
      </c>
      <c r="F327" t="inlineStr">
        <is>
          <t>ITT</t>
        </is>
      </c>
      <c r="G327" s="4" t="n">
        <v>43161</v>
      </c>
      <c r="H327" t="n">
        <v>160</v>
      </c>
      <c r="I327" t="inlineStr">
        <is>
          <t>WSI-M05</t>
        </is>
      </c>
      <c r="J327" t="inlineStr">
        <is>
          <t>y</t>
        </is>
      </c>
      <c r="K327" s="232" t="n">
        <v>2031.6</v>
      </c>
      <c r="L327" s="230" t="n">
        <v>1900.2</v>
      </c>
      <c r="M327" s="232">
        <f>K327-L327</f>
        <v/>
      </c>
      <c r="O327" s="233">
        <f>M327-N327</f>
        <v/>
      </c>
      <c r="P327" s="19">
        <f>(K327/L327)-1</f>
        <v/>
      </c>
    </row>
    <row r="328">
      <c r="A328" t="n">
        <v>6</v>
      </c>
      <c r="B328" t="inlineStr">
        <is>
          <t>SPE7M5-18-V-5491</t>
        </is>
      </c>
      <c r="E328" t="n">
        <v>9</v>
      </c>
      <c r="F328" t="inlineStr">
        <is>
          <t>Glenair</t>
        </is>
      </c>
      <c r="G328" s="4" t="n">
        <v>43161</v>
      </c>
      <c r="H328" t="n">
        <v>100</v>
      </c>
      <c r="I328" t="inlineStr">
        <is>
          <t>WSI-M06</t>
        </is>
      </c>
      <c r="J328" t="inlineStr">
        <is>
          <t>y</t>
        </is>
      </c>
      <c r="K328" s="232" t="n">
        <v>2293.11</v>
      </c>
      <c r="L328" s="230" t="n">
        <v>2240.2</v>
      </c>
      <c r="M328" s="232">
        <f>K328-L328</f>
        <v/>
      </c>
      <c r="O328" s="233">
        <f>M328-N328</f>
        <v/>
      </c>
      <c r="P328" s="19">
        <f>(K328/L328)-1</f>
        <v/>
      </c>
    </row>
    <row r="329">
      <c r="A329" t="n">
        <v>7</v>
      </c>
      <c r="B329" t="inlineStr">
        <is>
          <t>SPE7M3-18-V-2055</t>
        </is>
      </c>
      <c r="E329" t="n">
        <v>7</v>
      </c>
      <c r="F329" t="inlineStr">
        <is>
          <t>Sauer</t>
        </is>
      </c>
      <c r="G329" s="4" t="n">
        <v>43161</v>
      </c>
      <c r="H329" t="n">
        <v>120</v>
      </c>
      <c r="I329" t="inlineStr">
        <is>
          <t>WSI-M07</t>
        </is>
      </c>
      <c r="J329" t="inlineStr">
        <is>
          <t>y</t>
        </is>
      </c>
      <c r="K329" s="232" t="n">
        <v>990.01</v>
      </c>
      <c r="L329" s="230" t="n">
        <v>952.91</v>
      </c>
      <c r="M329" s="232">
        <f>K329-L329</f>
        <v/>
      </c>
      <c r="N329" t="n">
        <v>10.59</v>
      </c>
      <c r="O329" s="233">
        <f>M329-N329</f>
        <v/>
      </c>
      <c r="P329" s="19">
        <f>(K329/L329)-1</f>
        <v/>
      </c>
    </row>
    <row r="330">
      <c r="A330" t="n">
        <v>8</v>
      </c>
      <c r="B330" t="inlineStr">
        <is>
          <t>SPE7M5-18-V-5621</t>
        </is>
      </c>
      <c r="E330" t="n">
        <v>97</v>
      </c>
      <c r="F330" t="inlineStr">
        <is>
          <t>Glenair</t>
        </is>
      </c>
      <c r="G330" s="4" t="n">
        <v>43164</v>
      </c>
      <c r="H330" t="n">
        <v>160</v>
      </c>
      <c r="I330" t="inlineStr">
        <is>
          <t>WSI-M08</t>
        </is>
      </c>
      <c r="J330" t="inlineStr">
        <is>
          <t>y</t>
        </is>
      </c>
      <c r="K330" s="232" t="n">
        <v>20317.62</v>
      </c>
      <c r="L330" s="230" t="n">
        <v>17848</v>
      </c>
      <c r="M330" s="232">
        <f>K330-L330</f>
        <v/>
      </c>
      <c r="O330" s="233">
        <f>M330-N330</f>
        <v/>
      </c>
      <c r="P330" s="19">
        <f>(K330/L330)-1</f>
        <v/>
      </c>
    </row>
    <row r="331">
      <c r="A331" t="n">
        <v>9</v>
      </c>
      <c r="B331" t="inlineStr">
        <is>
          <t>SPE7L3-18-P-4493</t>
        </is>
      </c>
      <c r="E331" t="n">
        <v>3</v>
      </c>
      <c r="F331" t="inlineStr">
        <is>
          <t>KTSDI</t>
        </is>
      </c>
      <c r="G331" s="4" t="n">
        <v>43165</v>
      </c>
      <c r="H331" t="n">
        <v>90</v>
      </c>
      <c r="I331" t="inlineStr">
        <is>
          <t>WSI-M09</t>
        </is>
      </c>
      <c r="J331" t="inlineStr">
        <is>
          <t>y</t>
        </is>
      </c>
      <c r="K331" s="232" t="n">
        <v>935.52</v>
      </c>
      <c r="L331" s="230" t="n">
        <v>895.38</v>
      </c>
      <c r="M331" s="232">
        <f>K331-L331</f>
        <v/>
      </c>
      <c r="N331" t="n">
        <v>25.5</v>
      </c>
      <c r="O331" s="233">
        <f>M331-N331</f>
        <v/>
      </c>
      <c r="P331" s="19">
        <f>(K331/L331)-1</f>
        <v/>
      </c>
    </row>
    <row r="332">
      <c r="A332" t="n">
        <v>10</v>
      </c>
      <c r="B332" t="inlineStr">
        <is>
          <t>SPE4A6-18-P-B275</t>
        </is>
      </c>
      <c r="E332" t="n">
        <v>35</v>
      </c>
      <c r="F332" t="inlineStr">
        <is>
          <t>World Magnetic</t>
        </is>
      </c>
      <c r="G332" s="4" t="n">
        <v>43165</v>
      </c>
      <c r="H332" t="n">
        <v>120</v>
      </c>
      <c r="I332" t="inlineStr">
        <is>
          <t>WSI-M10</t>
        </is>
      </c>
      <c r="J332" t="inlineStr">
        <is>
          <t>y</t>
        </is>
      </c>
      <c r="K332" s="232" t="n">
        <v>7821.1</v>
      </c>
      <c r="L332" s="230" t="n">
        <v>7645.4</v>
      </c>
      <c r="M332" s="232">
        <f>K332-L332</f>
        <v/>
      </c>
      <c r="N332" s="51" t="n">
        <v>109.36</v>
      </c>
      <c r="O332" s="233">
        <f>M332-N332</f>
        <v/>
      </c>
      <c r="P332" s="19">
        <f>(K332/L332)-1</f>
        <v/>
      </c>
    </row>
    <row r="333">
      <c r="A333" t="n">
        <v>11</v>
      </c>
      <c r="B333" t="inlineStr">
        <is>
          <t>SPE7MC-18-V-4379</t>
        </is>
      </c>
      <c r="E333" t="n">
        <v>12</v>
      </c>
      <c r="F333" t="inlineStr">
        <is>
          <t>Glenair</t>
        </is>
      </c>
      <c r="G333" s="4" t="n">
        <v>43165</v>
      </c>
      <c r="H333" t="n">
        <v>130</v>
      </c>
      <c r="I333" t="inlineStr">
        <is>
          <t>mod</t>
        </is>
      </c>
      <c r="J333" t="inlineStr">
        <is>
          <t>y</t>
        </is>
      </c>
      <c r="K333" s="232" t="n">
        <v>10852.56</v>
      </c>
      <c r="L333" s="230" t="n">
        <v>6119.04</v>
      </c>
      <c r="M333" s="232">
        <f>K333-L333</f>
        <v/>
      </c>
      <c r="O333" s="233">
        <f>M333-N333</f>
        <v/>
      </c>
      <c r="P333" s="19">
        <f>(K333/L333)-1</f>
        <v/>
      </c>
    </row>
    <row r="334">
      <c r="A334" t="n">
        <v>12</v>
      </c>
      <c r="B334" t="inlineStr">
        <is>
          <t>SPE7MC-18-V-4446</t>
        </is>
      </c>
      <c r="E334" t="n">
        <v>15</v>
      </c>
      <c r="F334" t="inlineStr">
        <is>
          <t>WM W NUGENT</t>
        </is>
      </c>
      <c r="G334" s="4" t="n">
        <v>43167</v>
      </c>
      <c r="H334" t="n">
        <v>120</v>
      </c>
      <c r="I334" t="inlineStr">
        <is>
          <t>WSI-M12</t>
        </is>
      </c>
      <c r="J334" t="inlineStr">
        <is>
          <t>y</t>
        </is>
      </c>
      <c r="K334" s="232" t="n">
        <v>1929</v>
      </c>
      <c r="L334" s="230" t="n">
        <v>1874.25</v>
      </c>
      <c r="M334" s="232">
        <f>K334-L334</f>
        <v/>
      </c>
      <c r="N334" s="51" t="n">
        <v>43.76</v>
      </c>
      <c r="O334" s="233">
        <f>M334-N334</f>
        <v/>
      </c>
      <c r="P334" s="19">
        <f>(K334/L334)-1</f>
        <v/>
      </c>
    </row>
    <row r="335">
      <c r="A335" t="n">
        <v>13</v>
      </c>
      <c r="B335" t="inlineStr">
        <is>
          <t>SPE7M5-18-V-5687</t>
        </is>
      </c>
      <c r="E335" t="n">
        <v>5</v>
      </c>
      <c r="F335" t="inlineStr">
        <is>
          <t>DIGI</t>
        </is>
      </c>
      <c r="G335" s="4" t="n">
        <v>43167</v>
      </c>
      <c r="H335" t="n">
        <v>90</v>
      </c>
      <c r="I335" t="inlineStr">
        <is>
          <t>WSI-M13</t>
        </is>
      </c>
      <c r="J335" t="inlineStr">
        <is>
          <t>y</t>
        </is>
      </c>
      <c r="K335" s="232" t="n">
        <v>397.55</v>
      </c>
      <c r="L335" t="n">
        <v>359.75</v>
      </c>
      <c r="M335" s="232">
        <f>K335-L335</f>
        <v/>
      </c>
      <c r="N335" t="n">
        <v>10.56</v>
      </c>
      <c r="O335" s="233">
        <f>M335-N335</f>
        <v/>
      </c>
      <c r="P335" s="19">
        <f>(K335/L335)-1</f>
        <v/>
      </c>
    </row>
    <row r="336">
      <c r="A336" t="n">
        <v>14</v>
      </c>
      <c r="B336" t="inlineStr">
        <is>
          <t>SPE7M1-18-V-6107</t>
        </is>
      </c>
      <c r="E336" t="n">
        <v>7</v>
      </c>
      <c r="F336" t="inlineStr">
        <is>
          <t>Morris Material</t>
        </is>
      </c>
      <c r="G336" s="4" t="n">
        <v>43167</v>
      </c>
      <c r="H336" t="n">
        <v>110</v>
      </c>
      <c r="I336" t="inlineStr">
        <is>
          <t>WSI-M14</t>
        </is>
      </c>
      <c r="J336" t="inlineStr">
        <is>
          <t>y</t>
        </is>
      </c>
      <c r="K336" s="232" t="n">
        <v>4456.06</v>
      </c>
      <c r="L336" s="230" t="n">
        <v>4347</v>
      </c>
      <c r="M336" s="232">
        <f>K336-L336</f>
        <v/>
      </c>
      <c r="O336" s="233">
        <f>M336-N336</f>
        <v/>
      </c>
      <c r="P336" s="19">
        <f>(K336/L336)-1</f>
        <v/>
      </c>
    </row>
    <row r="337">
      <c r="A337" t="n">
        <v>15</v>
      </c>
      <c r="B337" t="inlineStr">
        <is>
          <t>SPE5EK-18-V-2829</t>
        </is>
      </c>
      <c r="E337" t="n">
        <v>42</v>
      </c>
      <c r="F337" t="inlineStr">
        <is>
          <t>HIAB</t>
        </is>
      </c>
      <c r="G337" s="4" t="n">
        <v>43167</v>
      </c>
      <c r="H337" t="n">
        <v>110</v>
      </c>
      <c r="I337" t="inlineStr">
        <is>
          <t>WSI-M15</t>
        </is>
      </c>
      <c r="J337" t="inlineStr">
        <is>
          <t>y</t>
        </is>
      </c>
      <c r="K337" s="232" t="n">
        <v>3725.4</v>
      </c>
      <c r="L337" s="230" t="n">
        <v>3625.88</v>
      </c>
      <c r="M337" s="232">
        <f>K337-L337</f>
        <v/>
      </c>
      <c r="O337" s="233">
        <f>M337-N337</f>
        <v/>
      </c>
      <c r="P337" s="19">
        <f>(K337/L337)-1</f>
        <v/>
      </c>
    </row>
    <row r="338">
      <c r="A338" t="n">
        <v>16</v>
      </c>
      <c r="B338" t="inlineStr">
        <is>
          <t>SPE7M0-18-V-5386</t>
        </is>
      </c>
      <c r="E338" t="n">
        <v>5</v>
      </c>
      <c r="F338" t="inlineStr">
        <is>
          <t>KMPARTS</t>
        </is>
      </c>
      <c r="G338" s="4" t="n">
        <v>43171</v>
      </c>
      <c r="H338" t="n">
        <v>90</v>
      </c>
      <c r="I338" t="inlineStr">
        <is>
          <t>WSI-M16</t>
        </is>
      </c>
      <c r="J338" t="inlineStr">
        <is>
          <t>Y</t>
        </is>
      </c>
      <c r="K338" s="232" t="n">
        <v>619.4</v>
      </c>
      <c r="L338" s="230" t="n">
        <v>445</v>
      </c>
      <c r="M338" s="232">
        <f>K338-L338</f>
        <v/>
      </c>
      <c r="O338" s="233">
        <f>M338-N338</f>
        <v/>
      </c>
      <c r="P338" s="19">
        <f>(K338/L338)-1</f>
        <v/>
      </c>
    </row>
    <row r="339">
      <c r="A339" t="n">
        <v>17</v>
      </c>
      <c r="B339" t="inlineStr">
        <is>
          <t>SPE7L0-18-V-4049</t>
        </is>
      </c>
      <c r="E339" t="n">
        <v>4</v>
      </c>
      <c r="F339" t="inlineStr">
        <is>
          <t>Timken</t>
        </is>
      </c>
      <c r="G339" s="4" t="n">
        <v>43171</v>
      </c>
      <c r="H339" t="n">
        <v>290</v>
      </c>
      <c r="I339" t="inlineStr">
        <is>
          <t>WSI-M17</t>
        </is>
      </c>
      <c r="J339" t="inlineStr">
        <is>
          <t>y</t>
        </is>
      </c>
      <c r="K339" s="232" t="n">
        <v>45975.04</v>
      </c>
      <c r="L339" s="230" t="n">
        <v>45312</v>
      </c>
      <c r="M339" s="232">
        <f>K339-L339</f>
        <v/>
      </c>
      <c r="N339" s="51">
        <f>27.11+31.24+31.24+55.44+27.11+27.11+55.44</f>
        <v/>
      </c>
      <c r="O339" s="233">
        <f>M339-N339</f>
        <v/>
      </c>
      <c r="P339" s="19">
        <f>(K339/L339)-1</f>
        <v/>
      </c>
    </row>
    <row r="340">
      <c r="A340" t="n">
        <v>18</v>
      </c>
      <c r="B340" t="inlineStr">
        <is>
          <t>SPE7MC-18-V-4549</t>
        </is>
      </c>
      <c r="E340" t="n">
        <v>56</v>
      </c>
      <c r="F340" t="inlineStr">
        <is>
          <t>DIT-MCO</t>
        </is>
      </c>
      <c r="G340" s="4" t="n">
        <v>43171</v>
      </c>
      <c r="H340" t="n">
        <v>120</v>
      </c>
      <c r="I340" t="inlineStr">
        <is>
          <t>WSI-M18</t>
        </is>
      </c>
      <c r="J340" t="inlineStr">
        <is>
          <t>y</t>
        </is>
      </c>
      <c r="K340" s="232" t="n">
        <v>6591.2</v>
      </c>
      <c r="L340" s="230" t="n">
        <v>6440</v>
      </c>
      <c r="M340" s="232">
        <f>K340-L340</f>
        <v/>
      </c>
      <c r="N340" t="n">
        <v>52.24</v>
      </c>
      <c r="O340" s="233">
        <f>M340-N340</f>
        <v/>
      </c>
      <c r="P340" s="19">
        <f>(K340/L340)-1</f>
        <v/>
      </c>
    </row>
    <row r="341">
      <c r="A341" t="n">
        <v>19</v>
      </c>
      <c r="B341" t="inlineStr">
        <is>
          <t>SPE7MC-18-V-4600</t>
        </is>
      </c>
      <c r="E341" t="n">
        <v>8</v>
      </c>
      <c r="F341" s="3" t="inlineStr">
        <is>
          <t>Glenair PO number dupl</t>
        </is>
      </c>
      <c r="G341" s="4" t="n">
        <v>43172</v>
      </c>
      <c r="H341" t="n">
        <v>100</v>
      </c>
      <c r="I341" t="inlineStr">
        <is>
          <t>WSI-M16</t>
        </is>
      </c>
      <c r="J341" t="inlineStr">
        <is>
          <t>y</t>
        </is>
      </c>
      <c r="K341" s="232" t="n">
        <v>1741.92</v>
      </c>
      <c r="L341" s="230" t="n">
        <v>1706.1</v>
      </c>
      <c r="M341" s="232">
        <f>K341-L341</f>
        <v/>
      </c>
      <c r="O341" s="233">
        <f>M341-N341</f>
        <v/>
      </c>
      <c r="P341" s="19">
        <f>(K341/L341)-1</f>
        <v/>
      </c>
    </row>
    <row r="342">
      <c r="A342" t="n">
        <v>20</v>
      </c>
      <c r="B342" t="inlineStr">
        <is>
          <t>SPE4A6-18-V-9791</t>
        </is>
      </c>
      <c r="E342" t="n">
        <v>4</v>
      </c>
      <c r="F342" t="inlineStr">
        <is>
          <t>Total Temperature</t>
        </is>
      </c>
      <c r="G342" s="4" t="n">
        <v>43172</v>
      </c>
      <c r="H342" t="n">
        <v>130</v>
      </c>
      <c r="I342" t="inlineStr">
        <is>
          <t>WSI-M20</t>
        </is>
      </c>
      <c r="J342" t="inlineStr">
        <is>
          <t>Y</t>
        </is>
      </c>
      <c r="K342" s="232" t="n">
        <v>1139.76</v>
      </c>
      <c r="L342" s="230" t="n">
        <v>1097.44</v>
      </c>
      <c r="M342" s="232">
        <f>K342-L342</f>
        <v/>
      </c>
      <c r="N342" t="n">
        <v>22.01</v>
      </c>
      <c r="O342" s="233">
        <f>M342-N342</f>
        <v/>
      </c>
      <c r="P342" s="19">
        <f>(K342/L342)-1</f>
        <v/>
      </c>
    </row>
    <row r="343">
      <c r="A343" t="n">
        <v>21</v>
      </c>
      <c r="B343" t="inlineStr">
        <is>
          <t>SPE7L0-18-V-4120</t>
        </is>
      </c>
      <c r="E343" t="n">
        <v>2</v>
      </c>
      <c r="F343" t="inlineStr">
        <is>
          <t>Timken</t>
        </is>
      </c>
      <c r="G343" s="4" t="n">
        <v>43172</v>
      </c>
      <c r="H343" t="n">
        <v>160</v>
      </c>
      <c r="I343" t="inlineStr">
        <is>
          <t>WSI-M21</t>
        </is>
      </c>
      <c r="J343" t="inlineStr">
        <is>
          <t>y</t>
        </is>
      </c>
      <c r="K343" s="232" t="n">
        <v>14123.24</v>
      </c>
      <c r="L343" s="230" t="n">
        <v>13896</v>
      </c>
      <c r="M343" s="232">
        <f>K343-L343</f>
        <v/>
      </c>
      <c r="N343" t="n">
        <v>26.02</v>
      </c>
      <c r="O343" s="233">
        <f>M343-N343</f>
        <v/>
      </c>
      <c r="P343" s="19">
        <f>(K343/L343)-1</f>
        <v/>
      </c>
    </row>
    <row r="344">
      <c r="A344" t="n">
        <v>22</v>
      </c>
      <c r="B344" t="inlineStr">
        <is>
          <t>SPE7L7-18-V-1047</t>
        </is>
      </c>
      <c r="E344" t="n">
        <v>7</v>
      </c>
      <c r="F344" s="64" t="inlineStr">
        <is>
          <t>XENOTRONIX</t>
        </is>
      </c>
      <c r="G344" s="4" t="n">
        <v>43173</v>
      </c>
      <c r="H344" t="n">
        <v>150</v>
      </c>
      <c r="I344" t="inlineStr">
        <is>
          <t>WSI-M22</t>
        </is>
      </c>
      <c r="J344" t="inlineStr">
        <is>
          <t>y</t>
        </is>
      </c>
      <c r="K344" s="232" t="n">
        <v>1426.74</v>
      </c>
      <c r="L344" s="230" t="n">
        <v>1632.2</v>
      </c>
      <c r="M344" s="232">
        <f>K344-L344</f>
        <v/>
      </c>
      <c r="N344" t="n">
        <v>58.12</v>
      </c>
      <c r="O344" s="233">
        <f>M344-N344</f>
        <v/>
      </c>
      <c r="P344" s="19">
        <f>(K344/L344)-1</f>
        <v/>
      </c>
    </row>
    <row r="345">
      <c r="A345" t="n">
        <v>23</v>
      </c>
      <c r="B345" t="inlineStr">
        <is>
          <t>SPE7M5-18-V-6036</t>
        </is>
      </c>
      <c r="E345" t="n">
        <v>386</v>
      </c>
      <c r="F345" t="inlineStr">
        <is>
          <t>DIGI</t>
        </is>
      </c>
      <c r="G345" s="4" t="n">
        <v>43173</v>
      </c>
      <c r="H345" t="n">
        <v>95</v>
      </c>
      <c r="I345" t="inlineStr">
        <is>
          <t>WSI-M23</t>
        </is>
      </c>
      <c r="J345" t="inlineStr">
        <is>
          <t>y</t>
        </is>
      </c>
      <c r="K345" s="232" t="n">
        <v>3412.24</v>
      </c>
      <c r="L345" s="230" t="n">
        <v>3300.3</v>
      </c>
      <c r="M345" s="232">
        <f>K345-L345</f>
        <v/>
      </c>
      <c r="O345" s="233">
        <f>M345-N345</f>
        <v/>
      </c>
      <c r="P345" s="19">
        <f>(K345/L345)-1</f>
        <v/>
      </c>
    </row>
    <row r="346">
      <c r="A346" t="n">
        <v>24</v>
      </c>
      <c r="B346" t="inlineStr">
        <is>
          <t>SPE7MC-18-V-4633</t>
        </is>
      </c>
      <c r="E346" t="n">
        <v>47</v>
      </c>
      <c r="F346" t="inlineStr">
        <is>
          <t>ITT</t>
        </is>
      </c>
      <c r="G346" s="4" t="n">
        <v>43173</v>
      </c>
      <c r="H346" t="n">
        <v>180</v>
      </c>
      <c r="I346" t="inlineStr">
        <is>
          <t>WSI-M24</t>
        </is>
      </c>
      <c r="J346" t="inlineStr">
        <is>
          <t>Y</t>
        </is>
      </c>
      <c r="K346" s="232" t="n">
        <v>4590.96</v>
      </c>
      <c r="L346" s="230" t="n">
        <v>4450</v>
      </c>
      <c r="M346" s="232">
        <f>K346-L346</f>
        <v/>
      </c>
      <c r="O346" s="233">
        <f>M346-N346</f>
        <v/>
      </c>
      <c r="P346" s="19">
        <f>(K346/L346)-1</f>
        <v/>
      </c>
    </row>
    <row r="347">
      <c r="A347" t="n">
        <v>25</v>
      </c>
      <c r="B347" t="inlineStr">
        <is>
          <t>SPE7M5-18-V-6029</t>
        </is>
      </c>
      <c r="E347" t="n">
        <v>8</v>
      </c>
      <c r="F347" t="inlineStr">
        <is>
          <t>DIGI</t>
        </is>
      </c>
      <c r="G347" s="4" t="n">
        <v>43173</v>
      </c>
      <c r="H347" t="n">
        <v>70</v>
      </c>
      <c r="I347" t="inlineStr">
        <is>
          <t>WSI-M25</t>
        </is>
      </c>
      <c r="J347" t="inlineStr">
        <is>
          <t>y</t>
        </is>
      </c>
      <c r="K347" s="232" t="n">
        <v>99.92</v>
      </c>
      <c r="L347" s="230" t="n">
        <v>55.6</v>
      </c>
      <c r="M347" s="232">
        <f>K347-L347</f>
        <v/>
      </c>
      <c r="O347" s="233">
        <f>M347-N347</f>
        <v/>
      </c>
      <c r="P347" s="19">
        <f>(K347/L347)-1</f>
        <v/>
      </c>
    </row>
    <row r="348">
      <c r="A348" t="n">
        <v>26</v>
      </c>
      <c r="B348" t="inlineStr">
        <is>
          <t>SPE7M0-18-V-5487</t>
        </is>
      </c>
      <c r="E348" t="n">
        <v>1</v>
      </c>
      <c r="F348" t="inlineStr">
        <is>
          <t>GEMS</t>
        </is>
      </c>
      <c r="G348" s="4" t="n">
        <v>43173</v>
      </c>
      <c r="H348" t="n">
        <v>120</v>
      </c>
      <c r="I348" t="inlineStr">
        <is>
          <t>WSI-M26</t>
        </is>
      </c>
      <c r="J348" t="inlineStr">
        <is>
          <t>y</t>
        </is>
      </c>
      <c r="K348" s="232" t="n">
        <v>2018.88</v>
      </c>
      <c r="L348" s="230">
        <f>1970+13.29</f>
        <v/>
      </c>
      <c r="M348" s="232">
        <f>K348-L348</f>
        <v/>
      </c>
      <c r="N348" t="n">
        <v>15.69</v>
      </c>
      <c r="O348" s="233">
        <f>M348-N348</f>
        <v/>
      </c>
      <c r="P348" s="19">
        <f>(K348/L348)-1</f>
        <v/>
      </c>
    </row>
    <row r="349">
      <c r="A349" t="n">
        <v>27</v>
      </c>
      <c r="B349" t="inlineStr">
        <is>
          <t>SPE7MC-18-V-4644</t>
        </is>
      </c>
      <c r="E349" t="n">
        <v>3</v>
      </c>
      <c r="F349" t="inlineStr">
        <is>
          <t>DRUCK</t>
        </is>
      </c>
      <c r="G349" s="4" t="n">
        <v>43173</v>
      </c>
      <c r="H349" t="n">
        <v>160</v>
      </c>
      <c r="I349" t="inlineStr">
        <is>
          <t>WSI-M27</t>
        </is>
      </c>
      <c r="J349" t="inlineStr">
        <is>
          <t>y</t>
        </is>
      </c>
      <c r="K349" s="232" t="n">
        <v>1439.7</v>
      </c>
      <c r="L349" s="230" t="n">
        <v>1401</v>
      </c>
      <c r="M349" s="232">
        <f>K349-L349</f>
        <v/>
      </c>
      <c r="O349" s="233">
        <f>M349-N349</f>
        <v/>
      </c>
      <c r="P349" s="19">
        <f>(K349/L349)-1</f>
        <v/>
      </c>
    </row>
    <row r="350">
      <c r="A350" t="n">
        <v>28</v>
      </c>
      <c r="B350" t="inlineStr">
        <is>
          <t>SPE7M5-18-V-6179</t>
        </is>
      </c>
      <c r="E350" t="n">
        <v>27</v>
      </c>
      <c r="F350" t="inlineStr">
        <is>
          <t>Phoenix</t>
        </is>
      </c>
      <c r="G350" s="4" t="n">
        <v>43174</v>
      </c>
      <c r="H350" t="n">
        <v>120</v>
      </c>
      <c r="I350" t="inlineStr">
        <is>
          <t>WSI-M28</t>
        </is>
      </c>
      <c r="J350" t="inlineStr">
        <is>
          <t>y</t>
        </is>
      </c>
      <c r="K350" s="232" t="n">
        <v>5371.38</v>
      </c>
      <c r="L350" s="230" t="n">
        <v>5297.67</v>
      </c>
      <c r="M350" s="232">
        <f>K350-L350</f>
        <v/>
      </c>
      <c r="O350" s="233">
        <f>M350-N350</f>
        <v/>
      </c>
      <c r="P350" s="19">
        <f>(K350/L350)-1</f>
        <v/>
      </c>
    </row>
    <row r="351">
      <c r="A351" t="n">
        <v>29</v>
      </c>
      <c r="B351" t="inlineStr">
        <is>
          <t>SPE7L3-18-V-5197</t>
        </is>
      </c>
      <c r="E351" t="n">
        <v>132</v>
      </c>
      <c r="F351" t="inlineStr">
        <is>
          <t>MAFO NAVAL CLOSURES</t>
        </is>
      </c>
      <c r="G351" s="4" t="n">
        <v>43174</v>
      </c>
      <c r="H351" t="n">
        <v>145</v>
      </c>
      <c r="I351" t="inlineStr">
        <is>
          <t>WSI-M29</t>
        </is>
      </c>
      <c r="J351" t="inlineStr">
        <is>
          <t>y</t>
        </is>
      </c>
      <c r="K351" s="232" t="n">
        <v>12524.16</v>
      </c>
      <c r="L351" s="230" t="n">
        <v>11841.66</v>
      </c>
      <c r="M351" s="232">
        <f>K351-L351</f>
        <v/>
      </c>
      <c r="O351" s="233">
        <f>M351-N351</f>
        <v/>
      </c>
      <c r="P351" s="19">
        <f>(K351/L351)-1</f>
        <v/>
      </c>
    </row>
    <row r="352">
      <c r="A352" t="n">
        <v>30</v>
      </c>
      <c r="B352" t="inlineStr">
        <is>
          <t>SPE7M5-18-V-6257</t>
        </is>
      </c>
      <c r="E352" t="n">
        <v>1</v>
      </c>
      <c r="F352" t="inlineStr">
        <is>
          <t>EMS</t>
        </is>
      </c>
      <c r="G352" s="4" t="n">
        <v>43174</v>
      </c>
      <c r="H352" t="n">
        <v>190</v>
      </c>
      <c r="I352" t="inlineStr">
        <is>
          <t>WSI-M30</t>
        </is>
      </c>
      <c r="J352" t="inlineStr">
        <is>
          <t>y</t>
        </is>
      </c>
      <c r="K352" s="232" t="n">
        <v>5761.35</v>
      </c>
      <c r="L352" s="230" t="n">
        <v>5587.25</v>
      </c>
      <c r="M352" s="232">
        <f>K352-L352</f>
        <v/>
      </c>
      <c r="O352" s="233">
        <f>M352-N352</f>
        <v/>
      </c>
      <c r="P352" s="19">
        <f>(K352/L352)-1</f>
        <v/>
      </c>
    </row>
    <row r="353">
      <c r="A353" t="n">
        <v>31</v>
      </c>
      <c r="B353" t="inlineStr">
        <is>
          <t>SPE7M3-18-V-2423</t>
        </is>
      </c>
      <c r="E353" t="n">
        <v>21</v>
      </c>
      <c r="F353" t="inlineStr">
        <is>
          <t>Rostra Vernatherm</t>
        </is>
      </c>
      <c r="G353" s="4" t="n">
        <v>43174</v>
      </c>
      <c r="H353" t="n">
        <v>120</v>
      </c>
      <c r="I353" t="inlineStr">
        <is>
          <t>WSI-M31</t>
        </is>
      </c>
      <c r="J353" t="inlineStr">
        <is>
          <t>y</t>
        </is>
      </c>
      <c r="K353" s="232" t="n">
        <v>12952.8</v>
      </c>
      <c r="L353" s="230" t="n">
        <v>12491.43</v>
      </c>
      <c r="M353" s="232">
        <f>K353-L353</f>
        <v/>
      </c>
      <c r="O353" s="233">
        <f>M353-N353</f>
        <v/>
      </c>
      <c r="P353" s="19">
        <f>(K353/L353)-1</f>
        <v/>
      </c>
    </row>
    <row r="354">
      <c r="A354" t="n">
        <v>32</v>
      </c>
      <c r="B354" t="inlineStr">
        <is>
          <t>SPE7M3-18-P-3164</t>
        </is>
      </c>
      <c r="E354" t="n">
        <v>24</v>
      </c>
      <c r="F354" t="inlineStr">
        <is>
          <t>Rostra Vernatherm</t>
        </is>
      </c>
      <c r="G354" s="4" t="n">
        <v>43175</v>
      </c>
      <c r="H354" t="n">
        <v>120</v>
      </c>
      <c r="I354" t="inlineStr">
        <is>
          <t>WSI-M32</t>
        </is>
      </c>
      <c r="K354" s="232" t="n">
        <v>14803.43</v>
      </c>
      <c r="L354" s="230" t="n">
        <v>14275.92</v>
      </c>
      <c r="M354" s="232">
        <f>K354-L354</f>
        <v/>
      </c>
      <c r="O354" s="233">
        <f>M354-N354</f>
        <v/>
      </c>
      <c r="P354" s="19">
        <f>(K354/L354)-1</f>
        <v/>
      </c>
    </row>
    <row r="355">
      <c r="A355" t="n">
        <v>33</v>
      </c>
      <c r="B355" t="inlineStr">
        <is>
          <t>SPE7M5-18-V-6063</t>
        </is>
      </c>
      <c r="E355" t="n">
        <v>1</v>
      </c>
      <c r="F355" t="inlineStr">
        <is>
          <t>Glenair</t>
        </is>
      </c>
      <c r="G355" s="4" t="n">
        <v>43175</v>
      </c>
      <c r="H355" t="n">
        <v>95</v>
      </c>
      <c r="I355" t="inlineStr">
        <is>
          <t>WSI-M33</t>
        </is>
      </c>
      <c r="K355" s="232" t="n">
        <v>413.88</v>
      </c>
      <c r="L355" s="230" t="n">
        <v>299.01</v>
      </c>
      <c r="M355" s="232">
        <f>K355-L355</f>
        <v/>
      </c>
      <c r="O355" s="233">
        <f>M355-N355</f>
        <v/>
      </c>
      <c r="P355" s="19">
        <f>(K355/L355)-1</f>
        <v/>
      </c>
    </row>
    <row r="356">
      <c r="A356" t="n">
        <v>34</v>
      </c>
      <c r="B356" t="inlineStr">
        <is>
          <t>SPE4A4-18-V-5184</t>
        </is>
      </c>
      <c r="E356" t="n">
        <v>3</v>
      </c>
      <c r="F356" s="64" t="inlineStr">
        <is>
          <t>Kern</t>
        </is>
      </c>
      <c r="G356" s="4" t="n">
        <v>43175</v>
      </c>
      <c r="H356" t="n">
        <v>120</v>
      </c>
      <c r="I356" t="inlineStr">
        <is>
          <t>WSI-M34</t>
        </is>
      </c>
      <c r="J356" t="inlineStr">
        <is>
          <t>y</t>
        </is>
      </c>
      <c r="K356" s="232" t="n">
        <v>763.02</v>
      </c>
      <c r="L356" s="230" t="n">
        <v>769.05</v>
      </c>
      <c r="M356" s="232">
        <f>K356-L356</f>
        <v/>
      </c>
      <c r="O356" s="233">
        <f>M356-N356</f>
        <v/>
      </c>
      <c r="P356" s="19">
        <f>(K356/L356)-1</f>
        <v/>
      </c>
    </row>
    <row r="357">
      <c r="A357" t="n">
        <v>36</v>
      </c>
      <c r="B357" t="inlineStr">
        <is>
          <t>SPE7L3-18-V-5353</t>
        </is>
      </c>
      <c r="E357" t="n">
        <v>4</v>
      </c>
      <c r="F357" t="inlineStr">
        <is>
          <t>HIAB PAR Canclled</t>
        </is>
      </c>
      <c r="G357" s="4" t="n">
        <v>43178</v>
      </c>
      <c r="H357" t="n">
        <v>145</v>
      </c>
      <c r="I357" t="inlineStr">
        <is>
          <t>WSI-M36</t>
        </is>
      </c>
      <c r="K357" s="232" t="n">
        <v>0</v>
      </c>
      <c r="L357" s="230" t="n">
        <v>0</v>
      </c>
      <c r="M357" s="232">
        <f>K357-L357</f>
        <v/>
      </c>
      <c r="O357" s="233">
        <f>M357-N357</f>
        <v/>
      </c>
      <c r="P357" s="19">
        <f>(K357/L357)-1</f>
        <v/>
      </c>
    </row>
    <row r="358">
      <c r="A358" t="n">
        <v>37</v>
      </c>
      <c r="B358" t="inlineStr">
        <is>
          <t>SPE7MC-18-V-4924</t>
        </is>
      </c>
      <c r="E358" t="n">
        <v>1</v>
      </c>
      <c r="F358" t="inlineStr">
        <is>
          <t>GEMS</t>
        </is>
      </c>
      <c r="G358" s="4" t="n">
        <v>43179</v>
      </c>
      <c r="H358" t="n">
        <v>120</v>
      </c>
      <c r="I358" t="inlineStr">
        <is>
          <t>WSI-M37</t>
        </is>
      </c>
      <c r="J358" t="inlineStr">
        <is>
          <t>y</t>
        </is>
      </c>
      <c r="K358" s="232" t="n">
        <v>3611</v>
      </c>
      <c r="L358" s="230" t="n">
        <v>3535</v>
      </c>
      <c r="M358" s="232">
        <f>K358-L358</f>
        <v/>
      </c>
      <c r="O358" s="233">
        <f>M358-N358</f>
        <v/>
      </c>
      <c r="P358" s="19">
        <f>(K358/L358)-1</f>
        <v/>
      </c>
    </row>
    <row r="359">
      <c r="A359" t="n">
        <v>38</v>
      </c>
      <c r="B359" t="inlineStr">
        <is>
          <t>SPE7M5-18-V-6397</t>
        </is>
      </c>
      <c r="E359" t="n">
        <v>1</v>
      </c>
      <c r="F359" t="inlineStr">
        <is>
          <t>C&amp;S</t>
        </is>
      </c>
      <c r="G359" s="4" t="n">
        <v>43179</v>
      </c>
      <c r="H359" t="n">
        <v>120</v>
      </c>
      <c r="I359" t="inlineStr">
        <is>
          <t>WSI-M38</t>
        </is>
      </c>
      <c r="J359" t="inlineStr">
        <is>
          <t>y</t>
        </is>
      </c>
      <c r="K359" s="232" t="n">
        <v>3786.8</v>
      </c>
      <c r="L359" s="230" t="n">
        <v>3710.82</v>
      </c>
      <c r="M359" s="232">
        <f>K359-L359</f>
        <v/>
      </c>
      <c r="O359" s="233">
        <f>M359-N359</f>
        <v/>
      </c>
      <c r="P359" s="19">
        <f>(K359/L359)-1</f>
        <v/>
      </c>
    </row>
    <row r="360">
      <c r="A360" t="n">
        <v>39</v>
      </c>
      <c r="B360" t="inlineStr">
        <is>
          <t>SPE7M5-18-V-6418</t>
        </is>
      </c>
      <c r="E360" t="n">
        <v>150</v>
      </c>
      <c r="F360" t="inlineStr">
        <is>
          <t>DIGI</t>
        </is>
      </c>
      <c r="G360" s="4" t="n">
        <v>43180</v>
      </c>
      <c r="H360" t="n">
        <v>100</v>
      </c>
      <c r="I360" t="inlineStr">
        <is>
          <t>WSI-M39</t>
        </is>
      </c>
      <c r="J360" t="inlineStr">
        <is>
          <t>y</t>
        </is>
      </c>
      <c r="K360" s="232" t="n">
        <v>1768.5</v>
      </c>
      <c r="L360" s="230" t="n">
        <v>1680</v>
      </c>
      <c r="M360" s="232">
        <f>K360-L360</f>
        <v/>
      </c>
      <c r="O360" s="233">
        <f>M360-N360</f>
        <v/>
      </c>
      <c r="P360" s="19">
        <f>(K360/L360)-1</f>
        <v/>
      </c>
    </row>
    <row r="361">
      <c r="A361" t="n">
        <v>40</v>
      </c>
      <c r="B361" s="3" t="inlineStr">
        <is>
          <t>SPE5E8-18-V-4646</t>
        </is>
      </c>
      <c r="E361" t="n">
        <v>61</v>
      </c>
      <c r="F361" t="inlineStr">
        <is>
          <t>AVIBANK</t>
        </is>
      </c>
      <c r="G361" s="4" t="n">
        <v>43181</v>
      </c>
      <c r="H361" t="n">
        <v>250</v>
      </c>
      <c r="I361" t="inlineStr">
        <is>
          <t>WSI-M40</t>
        </is>
      </c>
      <c r="J361" t="inlineStr">
        <is>
          <t>y</t>
        </is>
      </c>
      <c r="K361" s="232" t="n">
        <v>7294.38</v>
      </c>
      <c r="L361" s="230" t="n">
        <v>6974</v>
      </c>
      <c r="M361" s="232">
        <f>K361-L361</f>
        <v/>
      </c>
      <c r="O361" s="233">
        <f>M361-N361</f>
        <v/>
      </c>
      <c r="P361" s="19">
        <f>(K361/L361)-1</f>
        <v/>
      </c>
      <c r="Q361" s="49" t="inlineStr">
        <is>
          <t>Shipped 14 to Kampi</t>
        </is>
      </c>
    </row>
    <row r="362">
      <c r="A362" t="n">
        <v>41</v>
      </c>
      <c r="B362" t="inlineStr">
        <is>
          <t>SPE7MC-18-V-5005</t>
        </is>
      </c>
      <c r="E362" t="n">
        <v>1</v>
      </c>
      <c r="F362" t="inlineStr">
        <is>
          <t>PBM</t>
        </is>
      </c>
      <c r="G362" s="4" t="n">
        <v>43182</v>
      </c>
      <c r="H362" t="n">
        <v>110</v>
      </c>
      <c r="I362" t="inlineStr">
        <is>
          <t>WSI-M41</t>
        </is>
      </c>
      <c r="J362" t="inlineStr">
        <is>
          <t>y</t>
        </is>
      </c>
      <c r="K362" s="232" t="n">
        <v>888.4</v>
      </c>
      <c r="L362" s="230" t="n">
        <v>832</v>
      </c>
      <c r="M362" s="232">
        <f>K362-L362</f>
        <v/>
      </c>
      <c r="O362" s="233">
        <f>M362-N362</f>
        <v/>
      </c>
      <c r="P362" s="19">
        <f>(K362/L362)-1</f>
        <v/>
      </c>
    </row>
    <row r="363">
      <c r="A363" t="n">
        <v>42</v>
      </c>
      <c r="B363" s="3" t="inlineStr">
        <is>
          <t>SPE7M5-18-P-7931</t>
        </is>
      </c>
      <c r="E363" t="n">
        <v>20</v>
      </c>
      <c r="F363" s="51" t="inlineStr">
        <is>
          <t>ITT</t>
        </is>
      </c>
      <c r="G363" s="4" t="n">
        <v>43182</v>
      </c>
      <c r="H363" t="n">
        <v>160</v>
      </c>
      <c r="I363" s="51" t="inlineStr">
        <is>
          <t>WS-MY13</t>
        </is>
      </c>
      <c r="K363" s="232" t="n">
        <v>21892.8</v>
      </c>
      <c r="L363" s="230" t="n">
        <v>19598.2</v>
      </c>
      <c r="M363" s="232">
        <f>K363-L363</f>
        <v/>
      </c>
      <c r="O363" s="233">
        <f>M363-N363</f>
        <v/>
      </c>
      <c r="P363" s="19">
        <f>(K363/L363)-1</f>
        <v/>
      </c>
    </row>
    <row r="364">
      <c r="A364" t="n">
        <v>43</v>
      </c>
      <c r="B364" t="inlineStr">
        <is>
          <t>SPE4A6-18-V-024S</t>
        </is>
      </c>
      <c r="E364" t="n">
        <v>17</v>
      </c>
      <c r="F364" t="inlineStr">
        <is>
          <t>National</t>
        </is>
      </c>
      <c r="G364" s="4" t="n">
        <v>43182</v>
      </c>
      <c r="H364" t="n">
        <v>90</v>
      </c>
      <c r="I364" t="inlineStr">
        <is>
          <t>WSI-M43</t>
        </is>
      </c>
      <c r="J364" t="inlineStr">
        <is>
          <t>y</t>
        </is>
      </c>
      <c r="K364" s="232" t="n">
        <v>2683.28</v>
      </c>
      <c r="L364" s="230" t="n">
        <v>2618</v>
      </c>
      <c r="M364" s="232">
        <f>K364-L364</f>
        <v/>
      </c>
      <c r="O364" s="233">
        <f>M364-N364</f>
        <v/>
      </c>
      <c r="P364" s="19">
        <f>(K364/L364)-1</f>
        <v/>
      </c>
    </row>
    <row r="365">
      <c r="A365" t="n">
        <v>44</v>
      </c>
      <c r="B365" t="inlineStr">
        <is>
          <t>SPE4A6-18-V-025A</t>
        </is>
      </c>
      <c r="E365" t="n">
        <v>13</v>
      </c>
      <c r="F365" t="inlineStr">
        <is>
          <t>CAMERON</t>
        </is>
      </c>
      <c r="G365" s="4" t="n">
        <v>43182</v>
      </c>
      <c r="H365" t="n">
        <v>120</v>
      </c>
      <c r="I365" t="inlineStr">
        <is>
          <t>WSI-M44</t>
        </is>
      </c>
      <c r="J365" t="inlineStr">
        <is>
          <t>y</t>
        </is>
      </c>
      <c r="K365" s="232" t="n">
        <v>537.6799999999999</v>
      </c>
      <c r="L365" s="230" t="n">
        <v>481</v>
      </c>
      <c r="M365" s="232">
        <f>K365-L365</f>
        <v/>
      </c>
      <c r="O365" s="233">
        <f>M365-N365</f>
        <v/>
      </c>
      <c r="P365" s="19">
        <f>(K365/L365)-1</f>
        <v/>
      </c>
    </row>
    <row r="366">
      <c r="A366" t="n">
        <v>45</v>
      </c>
      <c r="B366" t="inlineStr">
        <is>
          <t>SPE7M8-18-P-2016</t>
        </is>
      </c>
      <c r="E366" t="n">
        <v>29</v>
      </c>
      <c r="F366" t="inlineStr">
        <is>
          <t>GEMS</t>
        </is>
      </c>
      <c r="G366" s="4" t="n">
        <v>43183</v>
      </c>
      <c r="H366" t="n">
        <v>120</v>
      </c>
      <c r="I366" t="inlineStr">
        <is>
          <t>WSI-M45</t>
        </is>
      </c>
      <c r="J366" t="inlineStr">
        <is>
          <t>y</t>
        </is>
      </c>
      <c r="K366" s="232" t="n">
        <v>15040.56</v>
      </c>
      <c r="L366" s="230">
        <f>14703+58.4</f>
        <v/>
      </c>
      <c r="M366" s="232">
        <f>K366-L366</f>
        <v/>
      </c>
      <c r="N366" s="51">
        <f>35.36+33.58</f>
        <v/>
      </c>
      <c r="O366" s="233">
        <f>M366-N366</f>
        <v/>
      </c>
      <c r="P366" s="19">
        <f>(K366/L366)-1</f>
        <v/>
      </c>
    </row>
    <row r="367">
      <c r="A367" t="n">
        <v>46</v>
      </c>
      <c r="B367" t="inlineStr">
        <is>
          <t>SPE7M5-18-V-6557</t>
        </is>
      </c>
      <c r="E367" t="n">
        <v>51</v>
      </c>
      <c r="F367" t="inlineStr">
        <is>
          <t>Gleair</t>
        </is>
      </c>
      <c r="G367" s="4" t="n">
        <v>43185</v>
      </c>
      <c r="H367" t="n">
        <v>110</v>
      </c>
      <c r="I367" t="inlineStr">
        <is>
          <t>WSI-A15</t>
        </is>
      </c>
      <c r="J367" t="inlineStr">
        <is>
          <t>y</t>
        </is>
      </c>
      <c r="K367" s="232" t="n">
        <v>10961.94</v>
      </c>
      <c r="L367" s="232" t="n">
        <v>10812.51</v>
      </c>
      <c r="M367" s="232">
        <f>K367-L367</f>
        <v/>
      </c>
      <c r="O367" s="233">
        <f>M367-N367</f>
        <v/>
      </c>
      <c r="P367" s="19">
        <f>(K367/L367)-1</f>
        <v/>
      </c>
    </row>
    <row r="368">
      <c r="A368" t="n">
        <v>47</v>
      </c>
      <c r="B368" t="inlineStr">
        <is>
          <t>SPE7M5-18-P-8076</t>
        </is>
      </c>
      <c r="E368" t="n">
        <v>35</v>
      </c>
      <c r="F368" t="inlineStr">
        <is>
          <t>Gleair</t>
        </is>
      </c>
      <c r="G368" s="4" t="n">
        <v>43185</v>
      </c>
      <c r="H368" t="n">
        <v>110</v>
      </c>
      <c r="I368" t="inlineStr">
        <is>
          <t>WSI-M47</t>
        </is>
      </c>
      <c r="J368" t="inlineStr">
        <is>
          <t>y</t>
        </is>
      </c>
      <c r="K368" s="232" t="n">
        <v>9657.200000000001</v>
      </c>
      <c r="L368" s="230" t="n">
        <v>9492</v>
      </c>
      <c r="M368" s="232">
        <f>K368-L368</f>
        <v/>
      </c>
      <c r="O368" s="233">
        <f>M368-N368</f>
        <v/>
      </c>
      <c r="P368" s="19">
        <f>(K368/L368)-1</f>
        <v/>
      </c>
    </row>
    <row r="369">
      <c r="A369" t="n">
        <v>48</v>
      </c>
      <c r="B369" t="inlineStr">
        <is>
          <t>SPE7M5-18-V-6572</t>
        </is>
      </c>
      <c r="E369" t="n">
        <v>19</v>
      </c>
      <c r="F369" t="inlineStr">
        <is>
          <t>Gleair Req Price change</t>
        </is>
      </c>
      <c r="G369" s="4" t="n">
        <v>43185</v>
      </c>
      <c r="H369" t="n">
        <v>120</v>
      </c>
      <c r="I369" t="inlineStr">
        <is>
          <t>WSI-M48</t>
        </is>
      </c>
      <c r="J369" t="inlineStr">
        <is>
          <t>y</t>
        </is>
      </c>
      <c r="K369" s="232" t="n">
        <v>8620.299999999999</v>
      </c>
      <c r="L369" s="230" t="n">
        <v>8459.4</v>
      </c>
      <c r="M369" s="232">
        <f>K369-L369</f>
        <v/>
      </c>
      <c r="O369" s="233">
        <f>M369-N369</f>
        <v/>
      </c>
      <c r="P369" s="19" t="n"/>
    </row>
    <row r="370">
      <c r="A370" t="n">
        <v>49</v>
      </c>
      <c r="B370" t="inlineStr">
        <is>
          <t>SPE7M5-18-V-6549</t>
        </is>
      </c>
      <c r="E370" t="n">
        <v>52</v>
      </c>
      <c r="F370" t="inlineStr">
        <is>
          <t>DelayLine</t>
        </is>
      </c>
      <c r="G370" s="4" t="n">
        <v>43185</v>
      </c>
      <c r="H370" t="n">
        <v>140</v>
      </c>
      <c r="I370" t="inlineStr">
        <is>
          <t>WSI-M49</t>
        </is>
      </c>
      <c r="J370" t="inlineStr">
        <is>
          <t>y</t>
        </is>
      </c>
      <c r="K370" s="232" t="n">
        <v>10831.08</v>
      </c>
      <c r="L370" s="230" t="n">
        <v>10660</v>
      </c>
      <c r="M370" s="232">
        <f>K370-L370</f>
        <v/>
      </c>
      <c r="O370" s="233">
        <f>M370-N370</f>
        <v/>
      </c>
      <c r="P370" s="19">
        <f>(K370/L370)-1</f>
        <v/>
      </c>
    </row>
    <row r="371">
      <c r="A371" t="n">
        <v>50</v>
      </c>
      <c r="B371" t="inlineStr">
        <is>
          <t>SPE4A6-18-V-030C</t>
        </is>
      </c>
      <c r="E371" t="n">
        <v>51</v>
      </c>
      <c r="F371" t="inlineStr">
        <is>
          <t>C&amp;S</t>
        </is>
      </c>
      <c r="G371" s="4" t="n">
        <v>43185</v>
      </c>
      <c r="H371" t="n">
        <v>120</v>
      </c>
      <c r="I371" t="inlineStr">
        <is>
          <t>WSI-M50</t>
        </is>
      </c>
      <c r="J371" t="inlineStr">
        <is>
          <t>y</t>
        </is>
      </c>
      <c r="K371" s="232" t="n">
        <v>3252.27</v>
      </c>
      <c r="L371" s="230" t="n">
        <v>3192.09</v>
      </c>
      <c r="M371" s="232">
        <f>K371-L371</f>
        <v/>
      </c>
      <c r="O371" s="233">
        <f>M371-N371</f>
        <v/>
      </c>
      <c r="P371" s="19">
        <f>(K371/L371)-1</f>
        <v/>
      </c>
    </row>
    <row r="372">
      <c r="A372" t="n">
        <v>51</v>
      </c>
      <c r="B372" t="inlineStr">
        <is>
          <t>SPE7MC-18-V-5114</t>
        </is>
      </c>
      <c r="E372" t="n">
        <v>5</v>
      </c>
      <c r="F372" t="inlineStr">
        <is>
          <t>Genisco Filter</t>
        </is>
      </c>
      <c r="G372" s="4" t="n">
        <v>43187</v>
      </c>
      <c r="H372" t="n">
        <v>125</v>
      </c>
      <c r="I372" t="inlineStr">
        <is>
          <t>WSI-M51</t>
        </is>
      </c>
      <c r="K372" s="232" t="n">
        <v>13393.4</v>
      </c>
      <c r="L372" s="230" t="n">
        <v>13250</v>
      </c>
      <c r="M372" s="232">
        <f>K372-L372</f>
        <v/>
      </c>
      <c r="N372" s="51">
        <f>30.66+30.66+30.66+30.66+30.66</f>
        <v/>
      </c>
      <c r="O372" s="254">
        <f>M372-N372</f>
        <v/>
      </c>
      <c r="P372" s="19">
        <f>(K372/L372)-1</f>
        <v/>
      </c>
    </row>
    <row r="373">
      <c r="A373" t="n">
        <v>52</v>
      </c>
      <c r="B373" t="inlineStr">
        <is>
          <t>SPE7L3-18-V-5542</t>
        </is>
      </c>
      <c r="E373" t="n">
        <v>1</v>
      </c>
      <c r="F373" t="inlineStr">
        <is>
          <t>HIAB</t>
        </is>
      </c>
      <c r="G373" s="4" t="n">
        <v>43187</v>
      </c>
      <c r="H373" t="n">
        <v>140</v>
      </c>
      <c r="I373" t="inlineStr">
        <is>
          <t>WSI-M52</t>
        </is>
      </c>
      <c r="J373" t="inlineStr">
        <is>
          <t>y</t>
        </is>
      </c>
      <c r="K373" s="232" t="n">
        <v>3137</v>
      </c>
      <c r="L373" s="230">
        <f>2914.06+60</f>
        <v/>
      </c>
      <c r="M373" s="232">
        <f>K373-L373</f>
        <v/>
      </c>
      <c r="O373" s="233">
        <f>M373-N373</f>
        <v/>
      </c>
      <c r="P373" s="19">
        <f>(K373/L373)-1</f>
        <v/>
      </c>
    </row>
    <row r="374">
      <c r="A374" t="n">
        <v>53</v>
      </c>
      <c r="B374" t="inlineStr">
        <is>
          <t>SPE5EJ-18-P-1062</t>
        </is>
      </c>
      <c r="E374" t="n">
        <v>5</v>
      </c>
      <c r="F374" t="inlineStr">
        <is>
          <t>C&amp;S</t>
        </is>
      </c>
      <c r="G374" s="4" t="n">
        <v>43187</v>
      </c>
      <c r="H374" t="n">
        <v>110</v>
      </c>
      <c r="I374" t="inlineStr">
        <is>
          <t>WSI-M53</t>
        </is>
      </c>
      <c r="J374" t="inlineStr">
        <is>
          <t>y</t>
        </is>
      </c>
      <c r="K374" s="232" t="n">
        <v>1937</v>
      </c>
      <c r="L374" s="230" t="n">
        <v>1880.4</v>
      </c>
      <c r="M374" s="232">
        <f>K374-L374</f>
        <v/>
      </c>
      <c r="O374" s="233">
        <f>M374-N374</f>
        <v/>
      </c>
      <c r="P374" s="19">
        <f>(K374/L374)-1</f>
        <v/>
      </c>
    </row>
    <row r="375">
      <c r="A375" t="n">
        <v>54</v>
      </c>
      <c r="B375" t="inlineStr">
        <is>
          <t>SPE5E8-18-P-1917</t>
        </is>
      </c>
      <c r="E375" t="n">
        <v>1761</v>
      </c>
      <c r="F375" t="inlineStr">
        <is>
          <t>CAMERON</t>
        </is>
      </c>
      <c r="G375" s="4" t="n">
        <v>43187</v>
      </c>
      <c r="H375" t="n">
        <v>145</v>
      </c>
      <c r="I375" t="inlineStr">
        <is>
          <t>WSI-M54</t>
        </is>
      </c>
      <c r="J375" t="inlineStr">
        <is>
          <t>y</t>
        </is>
      </c>
      <c r="K375" s="232" t="n">
        <v>4296.84</v>
      </c>
      <c r="L375" s="230" t="n">
        <v>3522</v>
      </c>
      <c r="M375" s="232">
        <f>K375-L375</f>
        <v/>
      </c>
      <c r="N375" t="n">
        <v>4</v>
      </c>
      <c r="O375" s="233">
        <f>M375-N375</f>
        <v/>
      </c>
      <c r="P375" s="19">
        <f>(K375/L375)-1</f>
        <v/>
      </c>
    </row>
    <row r="376">
      <c r="A376" t="n">
        <v>55</v>
      </c>
      <c r="B376" t="inlineStr">
        <is>
          <t>SPE7M2-18-P-1460</t>
        </is>
      </c>
      <c r="E376" t="n">
        <v>317</v>
      </c>
      <c r="F376" t="inlineStr">
        <is>
          <t>Glenair</t>
        </is>
      </c>
      <c r="G376" s="4" t="n">
        <v>43188</v>
      </c>
      <c r="H376" t="n">
        <v>120</v>
      </c>
      <c r="I376" t="inlineStr">
        <is>
          <t>WSI-M55</t>
        </is>
      </c>
      <c r="J376" t="inlineStr">
        <is>
          <t>y</t>
        </is>
      </c>
      <c r="K376" s="232" t="n">
        <v>26377.57</v>
      </c>
      <c r="L376" s="230" t="n">
        <v>25817.3</v>
      </c>
      <c r="M376" s="232">
        <f>K376-L376</f>
        <v/>
      </c>
      <c r="O376" s="233">
        <f>M376-N376</f>
        <v/>
      </c>
      <c r="P376" s="19">
        <f>(K376/L376)-1</f>
        <v/>
      </c>
    </row>
    <row r="377">
      <c r="A377" t="n">
        <v>56</v>
      </c>
      <c r="B377" t="inlineStr">
        <is>
          <t>SPE7MC-18-P-3402</t>
        </is>
      </c>
      <c r="E377" t="n">
        <v>19</v>
      </c>
      <c r="F377" t="inlineStr">
        <is>
          <t>WORLD MAGNETICS</t>
        </is>
      </c>
      <c r="G377" s="4" t="n">
        <v>43189</v>
      </c>
      <c r="H377" t="n">
        <v>160</v>
      </c>
      <c r="I377" t="inlineStr">
        <is>
          <t>WSI-M56</t>
        </is>
      </c>
      <c r="J377" t="inlineStr">
        <is>
          <t>y</t>
        </is>
      </c>
      <c r="K377" s="232" t="n">
        <v>3796.96</v>
      </c>
      <c r="L377" s="230" t="n">
        <v>3725.06</v>
      </c>
      <c r="M377" s="232">
        <f>K377-L377</f>
        <v/>
      </c>
      <c r="O377" s="233">
        <f>M377-N377</f>
        <v/>
      </c>
      <c r="P377" s="19">
        <f>(K377/L377)-1</f>
        <v/>
      </c>
    </row>
    <row r="378">
      <c r="A378" t="n">
        <v>57</v>
      </c>
      <c r="B378" t="inlineStr">
        <is>
          <t>SPE7MC-18-V-5245</t>
        </is>
      </c>
      <c r="E378" t="n">
        <v>135</v>
      </c>
      <c r="F378" t="inlineStr">
        <is>
          <t>DIT-MCO</t>
        </is>
      </c>
      <c r="G378" s="4" t="n">
        <v>43189</v>
      </c>
      <c r="H378" t="n">
        <v>120</v>
      </c>
      <c r="I378" t="inlineStr">
        <is>
          <t>WSI-M57</t>
        </is>
      </c>
      <c r="J378" t="inlineStr">
        <is>
          <t>y</t>
        </is>
      </c>
      <c r="K378" s="232" t="n">
        <v>15114.6</v>
      </c>
      <c r="L378" s="230" t="n">
        <v>14850</v>
      </c>
      <c r="M378" s="232">
        <f>K378-L378</f>
        <v/>
      </c>
      <c r="N378" s="255">
        <f>39.83+39.83+39.83</f>
        <v/>
      </c>
      <c r="O378" s="233">
        <f>M378-N378</f>
        <v/>
      </c>
      <c r="P378" s="19">
        <f>(K378/L378)-1</f>
        <v/>
      </c>
    </row>
    <row r="379">
      <c r="A379" t="n">
        <v>58</v>
      </c>
      <c r="B379" s="3" t="inlineStr">
        <is>
          <t>SPE7M0-18-V-6043</t>
        </is>
      </c>
      <c r="E379" t="n">
        <v>1</v>
      </c>
      <c r="F379" t="inlineStr">
        <is>
          <t>PRECE</t>
        </is>
      </c>
      <c r="G379" s="4" t="n">
        <v>43189</v>
      </c>
      <c r="H379" t="n">
        <v>270</v>
      </c>
      <c r="I379" t="inlineStr">
        <is>
          <t>WSI-M58</t>
        </is>
      </c>
      <c r="J379" t="inlineStr">
        <is>
          <t>Y</t>
        </is>
      </c>
      <c r="K379" s="232" t="n">
        <v>16539.82</v>
      </c>
      <c r="L379" s="230" t="n">
        <v>16106</v>
      </c>
      <c r="M379" s="232">
        <f>K379-L379</f>
        <v/>
      </c>
      <c r="O379" s="233">
        <f>M379-N379</f>
        <v/>
      </c>
      <c r="P379" s="19">
        <f>(K379/L379)-1</f>
        <v/>
      </c>
    </row>
    <row r="380">
      <c r="K380" s="243">
        <f>SUM(K323:K379)</f>
        <v/>
      </c>
      <c r="L380" s="240">
        <f>SUM(L323:L379)</f>
        <v/>
      </c>
      <c r="M380" s="243">
        <f>K380-L380</f>
        <v/>
      </c>
      <c r="O380" s="233">
        <f>M380-N380</f>
        <v/>
      </c>
      <c r="P380" s="92">
        <f>(K380/L380)-1</f>
        <v/>
      </c>
    </row>
    <row r="381">
      <c r="K381" s="232" t="n"/>
    </row>
    <row r="382">
      <c r="A382" t="n">
        <v>1</v>
      </c>
      <c r="B382" t="inlineStr">
        <is>
          <t>SPE5E0-18-V-2623</t>
        </is>
      </c>
      <c r="E382" t="n">
        <v>2</v>
      </c>
      <c r="F382" t="inlineStr">
        <is>
          <t>CAMERON</t>
        </is>
      </c>
      <c r="G382" s="4" t="n">
        <v>43192</v>
      </c>
      <c r="H382" t="n">
        <v>110</v>
      </c>
      <c r="I382" t="inlineStr">
        <is>
          <t>WSI-A01</t>
        </is>
      </c>
      <c r="J382" t="inlineStr">
        <is>
          <t>y</t>
        </is>
      </c>
      <c r="K382" s="232" t="n">
        <v>389.2</v>
      </c>
      <c r="L382" s="230" t="n">
        <v>258</v>
      </c>
      <c r="M382" s="232">
        <f>K382-L382</f>
        <v/>
      </c>
      <c r="O382" s="233">
        <f>M382-N382</f>
        <v/>
      </c>
      <c r="P382" s="19">
        <f>(K382/L382)-1</f>
        <v/>
      </c>
    </row>
    <row r="383">
      <c r="A383" t="n">
        <v>2</v>
      </c>
      <c r="B383" t="inlineStr">
        <is>
          <t>SPE5E4-18-V-5377</t>
        </is>
      </c>
      <c r="E383" t="n">
        <v>2</v>
      </c>
      <c r="F383" t="inlineStr">
        <is>
          <t>Flowline</t>
        </is>
      </c>
      <c r="G383" s="4" t="n">
        <v>43192</v>
      </c>
      <c r="H383" t="n">
        <v>110</v>
      </c>
      <c r="I383" t="inlineStr">
        <is>
          <t>WSI-A02</t>
        </is>
      </c>
      <c r="J383" t="inlineStr">
        <is>
          <t>y</t>
        </is>
      </c>
      <c r="K383" s="230" t="n">
        <v>1687.8</v>
      </c>
      <c r="L383" s="230" t="n">
        <v>1171</v>
      </c>
      <c r="M383" s="232">
        <f>K383-L383</f>
        <v/>
      </c>
      <c r="O383" s="233">
        <f>M383-N383</f>
        <v/>
      </c>
      <c r="P383" s="19">
        <f>(K383/L383)-1</f>
        <v/>
      </c>
    </row>
    <row r="384">
      <c r="A384" t="n">
        <v>3</v>
      </c>
      <c r="B384" t="inlineStr">
        <is>
          <t>SPE7M1-18-V-7008</t>
        </is>
      </c>
      <c r="E384" t="n">
        <v>6</v>
      </c>
      <c r="F384" t="inlineStr">
        <is>
          <t>GEMS</t>
        </is>
      </c>
      <c r="G384" s="4" t="n">
        <v>43192</v>
      </c>
      <c r="H384" t="n">
        <v>130</v>
      </c>
      <c r="I384" t="inlineStr">
        <is>
          <t>WSI-A03</t>
        </is>
      </c>
      <c r="J384" t="inlineStr">
        <is>
          <t>y</t>
        </is>
      </c>
      <c r="K384" s="232" t="n">
        <v>4310.28</v>
      </c>
      <c r="L384" s="230">
        <f>4230+13.51</f>
        <v/>
      </c>
      <c r="M384" s="232">
        <f>K384-L384</f>
        <v/>
      </c>
      <c r="N384" t="n">
        <v>15.01</v>
      </c>
      <c r="O384" s="233">
        <f>M384-N384</f>
        <v/>
      </c>
      <c r="P384" s="19">
        <f>(K384/L384)-1</f>
        <v/>
      </c>
    </row>
    <row r="385">
      <c r="A385" t="n">
        <v>4</v>
      </c>
      <c r="B385" t="inlineStr">
        <is>
          <t>SPE7MC-18-V-5265</t>
        </is>
      </c>
      <c r="E385" t="n">
        <v>19</v>
      </c>
      <c r="F385" t="inlineStr">
        <is>
          <t>Glenair</t>
        </is>
      </c>
      <c r="G385" s="4" t="n">
        <v>43192</v>
      </c>
      <c r="H385" t="n">
        <v>120</v>
      </c>
      <c r="I385" t="inlineStr">
        <is>
          <t>WSI-A04</t>
        </is>
      </c>
      <c r="J385" t="inlineStr">
        <is>
          <t>y</t>
        </is>
      </c>
      <c r="K385" s="232" t="n">
        <v>5941.3</v>
      </c>
      <c r="L385" s="230" t="n">
        <v>5842.4</v>
      </c>
      <c r="M385" s="232">
        <f>K385-L385</f>
        <v/>
      </c>
      <c r="O385" s="233">
        <f>M385-N385</f>
        <v/>
      </c>
      <c r="P385" s="19">
        <f>(K385/L385)-1</f>
        <v/>
      </c>
    </row>
    <row r="386">
      <c r="A386" t="n">
        <v>5</v>
      </c>
      <c r="B386" t="inlineStr">
        <is>
          <t>SPE7M0-18-V-6180</t>
        </is>
      </c>
      <c r="E386" t="n">
        <v>6</v>
      </c>
      <c r="F386" t="inlineStr">
        <is>
          <t>GEMS</t>
        </is>
      </c>
      <c r="G386" s="4" t="n">
        <v>43193</v>
      </c>
      <c r="H386" t="n">
        <v>120</v>
      </c>
      <c r="I386" t="inlineStr">
        <is>
          <t>WSI-A05</t>
        </is>
      </c>
      <c r="J386" t="inlineStr">
        <is>
          <t>y</t>
        </is>
      </c>
      <c r="K386" s="232" t="n">
        <v>5198.4</v>
      </c>
      <c r="L386" s="230">
        <f>5070+27.84</f>
        <v/>
      </c>
      <c r="M386" s="232">
        <f>K386-L386</f>
        <v/>
      </c>
      <c r="N386">
        <f>16.33+16.33</f>
        <v/>
      </c>
      <c r="O386" s="233">
        <f>M386-N386</f>
        <v/>
      </c>
      <c r="P386" s="19">
        <f>(K386/L386)-1</f>
        <v/>
      </c>
    </row>
    <row r="387">
      <c r="A387" t="n">
        <v>6</v>
      </c>
      <c r="B387" t="inlineStr">
        <is>
          <t>SPE7M0-18-V-6200</t>
        </is>
      </c>
      <c r="E387" t="n">
        <v>3</v>
      </c>
      <c r="F387" t="inlineStr">
        <is>
          <t>GEMS</t>
        </is>
      </c>
      <c r="G387" s="4" t="n">
        <v>43193</v>
      </c>
      <c r="H387" t="n">
        <v>140</v>
      </c>
      <c r="I387" t="inlineStr">
        <is>
          <t>WSI-A06</t>
        </is>
      </c>
      <c r="J387" t="inlineStr">
        <is>
          <t>y</t>
        </is>
      </c>
      <c r="K387" s="232" t="n">
        <v>7684.32</v>
      </c>
      <c r="L387" s="230">
        <f>7560+15.71</f>
        <v/>
      </c>
      <c r="M387" s="232">
        <f>K387-L387</f>
        <v/>
      </c>
      <c r="N387" t="n">
        <v>19.37</v>
      </c>
      <c r="O387" s="233">
        <f>M387-N387</f>
        <v/>
      </c>
      <c r="P387" s="19">
        <f>(K387/L387)-1</f>
        <v/>
      </c>
    </row>
    <row r="388">
      <c r="A388" t="n">
        <v>7</v>
      </c>
      <c r="B388" t="inlineStr">
        <is>
          <t>SPE7M5-18-V-6898</t>
        </is>
      </c>
      <c r="E388" t="n">
        <v>1</v>
      </c>
      <c r="F388" t="inlineStr">
        <is>
          <t>National</t>
        </is>
      </c>
      <c r="G388" s="4" t="n">
        <v>43194</v>
      </c>
      <c r="H388" t="n">
        <v>90</v>
      </c>
      <c r="I388" t="inlineStr">
        <is>
          <t>WSI-A07</t>
        </is>
      </c>
      <c r="J388" t="inlineStr">
        <is>
          <t>y</t>
        </is>
      </c>
      <c r="K388" s="230" t="n">
        <v>1008.98</v>
      </c>
      <c r="L388" s="230" t="n">
        <v>974</v>
      </c>
      <c r="M388" s="232">
        <f>K388-L388</f>
        <v/>
      </c>
      <c r="O388" s="233">
        <f>M388-N388</f>
        <v/>
      </c>
      <c r="P388" s="19">
        <f>(K388/L388)-1</f>
        <v/>
      </c>
    </row>
    <row r="389">
      <c r="A389" t="n">
        <v>8</v>
      </c>
      <c r="B389" t="inlineStr">
        <is>
          <t>SPE5E7-18-P-2675</t>
        </is>
      </c>
      <c r="E389" t="n">
        <v>10</v>
      </c>
      <c r="F389" t="inlineStr">
        <is>
          <t>NAFCO</t>
        </is>
      </c>
      <c r="G389" s="4" t="n">
        <v>43194</v>
      </c>
      <c r="H389" t="n">
        <v>210</v>
      </c>
      <c r="I389" t="inlineStr">
        <is>
          <t>WSI-A08</t>
        </is>
      </c>
      <c r="J389" t="inlineStr">
        <is>
          <t>y</t>
        </is>
      </c>
      <c r="K389" s="232" t="n">
        <v>12280.2</v>
      </c>
      <c r="L389" s="230" t="n">
        <v>12053.5</v>
      </c>
      <c r="M389" s="232">
        <f>K389-L389</f>
        <v/>
      </c>
      <c r="N389" t="n">
        <v>0</v>
      </c>
      <c r="O389" s="233">
        <f>M389-N389</f>
        <v/>
      </c>
      <c r="P389" s="19">
        <f>(K389/L389)-1</f>
        <v/>
      </c>
    </row>
    <row r="390">
      <c r="A390" t="n">
        <v>9</v>
      </c>
      <c r="B390" t="inlineStr">
        <is>
          <t>SPE7M0-18-V-6205</t>
        </is>
      </c>
      <c r="E390" t="n">
        <v>64</v>
      </c>
      <c r="F390" t="inlineStr">
        <is>
          <t>MAFO</t>
        </is>
      </c>
      <c r="G390" s="4" t="n">
        <v>43194</v>
      </c>
      <c r="H390" t="n">
        <v>145</v>
      </c>
      <c r="I390" t="inlineStr">
        <is>
          <t>WSI-A09</t>
        </is>
      </c>
      <c r="J390" t="inlineStr">
        <is>
          <t>y</t>
        </is>
      </c>
      <c r="K390" s="232" t="n">
        <v>10525.44</v>
      </c>
      <c r="L390" s="230" t="n">
        <v>9660.790000000001</v>
      </c>
      <c r="M390" s="232">
        <f>K390-L390</f>
        <v/>
      </c>
      <c r="O390" s="233">
        <f>M390-N390</f>
        <v/>
      </c>
      <c r="P390" s="19">
        <f>(K390/L390)-1</f>
        <v/>
      </c>
    </row>
    <row r="391">
      <c r="A391" t="n">
        <v>10</v>
      </c>
      <c r="B391" t="inlineStr">
        <is>
          <t>SPE7L7-18-V-1215</t>
        </is>
      </c>
      <c r="E391" t="n">
        <v>2</v>
      </c>
      <c r="F391" t="inlineStr">
        <is>
          <t>Ultravolt</t>
        </is>
      </c>
      <c r="G391" s="4" t="n">
        <v>43194</v>
      </c>
      <c r="H391" t="n">
        <v>160</v>
      </c>
      <c r="I391" t="inlineStr">
        <is>
          <t>WSI-A10</t>
        </is>
      </c>
      <c r="J391" t="inlineStr">
        <is>
          <t>y</t>
        </is>
      </c>
      <c r="K391" s="232" t="n">
        <v>2654</v>
      </c>
      <c r="L391" s="230" t="n">
        <v>2538</v>
      </c>
      <c r="M391" s="232">
        <f>K391-L391</f>
        <v/>
      </c>
      <c r="O391" s="233">
        <f>M391-N391</f>
        <v/>
      </c>
      <c r="P391" s="19">
        <f>(K391/L391)-1</f>
        <v/>
      </c>
    </row>
    <row r="392">
      <c r="A392" t="n">
        <v>11</v>
      </c>
      <c r="B392" t="inlineStr">
        <is>
          <t>SPE7M0-18-V-6259</t>
        </is>
      </c>
      <c r="E392" t="n">
        <v>1</v>
      </c>
      <c r="F392" t="inlineStr">
        <is>
          <t>GEMS</t>
        </is>
      </c>
      <c r="G392" s="4" t="n">
        <v>43195</v>
      </c>
      <c r="H392" t="n">
        <v>120</v>
      </c>
      <c r="I392" t="inlineStr">
        <is>
          <t>WSI-A11</t>
        </is>
      </c>
      <c r="J392" t="inlineStr">
        <is>
          <t>y</t>
        </is>
      </c>
      <c r="K392" s="232" t="n">
        <v>3611</v>
      </c>
      <c r="L392" s="230">
        <f>3535+13.85</f>
        <v/>
      </c>
      <c r="M392" s="232">
        <f>K392-L392</f>
        <v/>
      </c>
      <c r="O392" s="233">
        <f>M392-N392</f>
        <v/>
      </c>
      <c r="P392" s="19">
        <f>(K392/L392)-1</f>
        <v/>
      </c>
    </row>
    <row r="393">
      <c r="A393" t="n">
        <v>12</v>
      </c>
      <c r="B393" s="3" t="inlineStr">
        <is>
          <t>SPE5E2-18-V-6199</t>
        </is>
      </c>
      <c r="E393" t="n">
        <v>65</v>
      </c>
      <c r="F393" t="inlineStr">
        <is>
          <t>Avibank</t>
        </is>
      </c>
      <c r="G393" s="4" t="n">
        <v>43195</v>
      </c>
      <c r="H393" t="n">
        <v>240</v>
      </c>
      <c r="I393" t="inlineStr">
        <is>
          <t>WSI-A12</t>
        </is>
      </c>
      <c r="J393" t="inlineStr">
        <is>
          <t>y</t>
        </is>
      </c>
      <c r="K393" s="232" t="n">
        <v>13611</v>
      </c>
      <c r="L393" s="230" t="n">
        <v>12759</v>
      </c>
      <c r="M393" s="232">
        <f>K393-L393</f>
        <v/>
      </c>
      <c r="O393" s="233">
        <f>M393-N393</f>
        <v/>
      </c>
      <c r="P393" s="19">
        <f>(K393/L393)-1</f>
        <v/>
      </c>
    </row>
    <row r="394">
      <c r="A394" t="n">
        <v>13</v>
      </c>
      <c r="B394" t="inlineStr">
        <is>
          <t>SPE7M1-18-V-3758</t>
        </is>
      </c>
      <c r="E394" t="n">
        <v>1</v>
      </c>
      <c r="F394" s="51" t="inlineStr">
        <is>
          <t>GEMS, Dest</t>
        </is>
      </c>
      <c r="G394" s="4" t="n">
        <v>43199</v>
      </c>
      <c r="H394" t="n">
        <v>120</v>
      </c>
      <c r="I394" t="inlineStr">
        <is>
          <t>WSI-A13</t>
        </is>
      </c>
      <c r="J394" t="inlineStr">
        <is>
          <t>y</t>
        </is>
      </c>
      <c r="K394" s="232" t="n">
        <v>2873</v>
      </c>
      <c r="L394" s="230">
        <f>2810+12.87</f>
        <v/>
      </c>
      <c r="M394" s="232">
        <f>K394-L394</f>
        <v/>
      </c>
      <c r="O394" s="233">
        <f>M394-N394</f>
        <v/>
      </c>
      <c r="P394" s="19">
        <f>(K394/L394)-1</f>
        <v/>
      </c>
    </row>
    <row r="395">
      <c r="A395" t="n">
        <v>14</v>
      </c>
      <c r="B395" t="inlineStr">
        <is>
          <t>SPE7M5-18-V-7116</t>
        </is>
      </c>
      <c r="E395" t="n">
        <v>91</v>
      </c>
      <c r="F395" t="inlineStr">
        <is>
          <t>Glenair</t>
        </is>
      </c>
      <c r="G395" s="4" t="n">
        <v>43199</v>
      </c>
      <c r="H395" t="n">
        <v>140</v>
      </c>
      <c r="I395" t="inlineStr">
        <is>
          <t>WSI-A14</t>
        </is>
      </c>
      <c r="K395" s="232" t="n">
        <v>6766.76</v>
      </c>
      <c r="L395" s="230" t="n">
        <v>6688</v>
      </c>
      <c r="M395" s="232">
        <f>K395-L395</f>
        <v/>
      </c>
      <c r="O395" s="233">
        <f>M395-N395</f>
        <v/>
      </c>
      <c r="P395" s="19">
        <f>(K395/L395)-1</f>
        <v/>
      </c>
    </row>
    <row r="396">
      <c r="A396" t="n">
        <v>15</v>
      </c>
      <c r="B396" t="inlineStr">
        <is>
          <t>SPE7M5-18-V-7123</t>
        </is>
      </c>
      <c r="E396" t="n">
        <v>22</v>
      </c>
      <c r="F396" t="inlineStr">
        <is>
          <t>Glenair</t>
        </is>
      </c>
      <c r="G396" s="4" t="n">
        <v>43199</v>
      </c>
      <c r="H396" t="n">
        <v>130</v>
      </c>
      <c r="I396" t="inlineStr">
        <is>
          <t>WSI-A15</t>
        </is>
      </c>
      <c r="J396" t="inlineStr">
        <is>
          <t>y</t>
        </is>
      </c>
      <c r="K396" s="232" t="n">
        <v>6362.84</v>
      </c>
      <c r="L396" s="230" t="n">
        <v>4272.08</v>
      </c>
      <c r="M396" s="232">
        <f>K396-L396</f>
        <v/>
      </c>
      <c r="O396" s="233">
        <f>M396-N396</f>
        <v/>
      </c>
      <c r="P396" s="19">
        <f>(K396/L396)-1</f>
        <v/>
      </c>
    </row>
    <row r="397">
      <c r="A397" t="n">
        <v>16</v>
      </c>
      <c r="B397" t="inlineStr">
        <is>
          <t>SPE4A6-18-P-D935</t>
        </is>
      </c>
      <c r="E397" t="n">
        <v>500</v>
      </c>
      <c r="F397" t="inlineStr">
        <is>
          <t>Avibank</t>
        </is>
      </c>
      <c r="G397" s="4" t="n">
        <v>43199</v>
      </c>
      <c r="H397" t="n">
        <v>160</v>
      </c>
      <c r="I397" t="inlineStr">
        <is>
          <t>WSI-A16</t>
        </is>
      </c>
      <c r="J397" t="inlineStr">
        <is>
          <t>y</t>
        </is>
      </c>
      <c r="K397" s="232" t="n">
        <v>10970</v>
      </c>
      <c r="L397" s="230" t="n">
        <v>10240</v>
      </c>
      <c r="M397" s="232">
        <f>K397-L397</f>
        <v/>
      </c>
      <c r="N397" t="n">
        <v>52.24</v>
      </c>
      <c r="O397" s="233">
        <f>M397-N397</f>
        <v/>
      </c>
      <c r="P397" s="19">
        <f>(K397/L397)-1</f>
        <v/>
      </c>
    </row>
    <row r="398">
      <c r="A398" t="n">
        <v>17</v>
      </c>
      <c r="B398" t="inlineStr">
        <is>
          <t>SPE7MC-18-V-5538</t>
        </is>
      </c>
      <c r="E398" t="n">
        <v>47</v>
      </c>
      <c r="F398" s="51" t="inlineStr">
        <is>
          <t>Glenair</t>
        </is>
      </c>
      <c r="G398" s="4" t="n">
        <v>43199</v>
      </c>
      <c r="H398" t="n">
        <v>120</v>
      </c>
      <c r="I398" t="inlineStr">
        <is>
          <t>WSI-A17</t>
        </is>
      </c>
      <c r="J398" t="inlineStr">
        <is>
          <t>y</t>
        </is>
      </c>
      <c r="K398" s="232" t="n">
        <v>2906.48</v>
      </c>
      <c r="L398" s="230" t="n">
        <v>2758</v>
      </c>
      <c r="M398" s="232">
        <f>K398-L398</f>
        <v/>
      </c>
      <c r="O398" s="233">
        <f>M398-N398</f>
        <v/>
      </c>
      <c r="P398" s="19">
        <f>(K398/L398)-1</f>
        <v/>
      </c>
    </row>
    <row r="399">
      <c r="A399" t="n">
        <v>18</v>
      </c>
      <c r="B399" t="inlineStr">
        <is>
          <t>SPE7M3-18-V-2884</t>
        </is>
      </c>
      <c r="E399" t="n">
        <v>10</v>
      </c>
      <c r="F399" s="51" t="inlineStr">
        <is>
          <t>ITT, PAR</t>
        </is>
      </c>
      <c r="G399" s="4" t="n">
        <v>43199</v>
      </c>
      <c r="H399" t="n">
        <v>170</v>
      </c>
      <c r="I399" t="inlineStr">
        <is>
          <t>WSI-A18</t>
        </is>
      </c>
      <c r="J399" t="inlineStr">
        <is>
          <t>y</t>
        </is>
      </c>
      <c r="K399" s="232" t="n">
        <v>21899</v>
      </c>
      <c r="L399" s="255" t="n">
        <v>20598.1</v>
      </c>
      <c r="M399" s="232">
        <f>K399-L399</f>
        <v/>
      </c>
      <c r="O399" s="233">
        <f>M399-N399</f>
        <v/>
      </c>
      <c r="P399" s="19">
        <f>(K399/L399)-1</f>
        <v/>
      </c>
    </row>
    <row r="400">
      <c r="A400" t="n">
        <v>19</v>
      </c>
      <c r="B400" t="inlineStr">
        <is>
          <t>SPE4A4-18-V-6103</t>
        </is>
      </c>
      <c r="E400" t="n">
        <v>34</v>
      </c>
      <c r="F400" t="inlineStr">
        <is>
          <t>Total Temperature</t>
        </is>
      </c>
      <c r="G400" s="4" t="n">
        <v>43199</v>
      </c>
      <c r="H400" t="n">
        <v>140</v>
      </c>
      <c r="I400" t="inlineStr">
        <is>
          <t>WSI-A19</t>
        </is>
      </c>
      <c r="J400" t="inlineStr">
        <is>
          <t>y</t>
        </is>
      </c>
      <c r="K400" s="232" t="n">
        <v>9342.860000000001</v>
      </c>
      <c r="L400" s="230" t="n">
        <v>9120.84</v>
      </c>
      <c r="M400" s="232">
        <f>K400-L400</f>
        <v/>
      </c>
      <c r="N400" s="51" t="n">
        <v>119.26</v>
      </c>
      <c r="O400" s="233">
        <f>M400-N400</f>
        <v/>
      </c>
      <c r="P400" s="19">
        <f>(K400/L400)-1</f>
        <v/>
      </c>
    </row>
    <row r="401">
      <c r="A401" t="n">
        <v>20</v>
      </c>
      <c r="B401" t="inlineStr">
        <is>
          <t>SPE7M3-18-V-1647</t>
        </is>
      </c>
      <c r="E401" t="n">
        <v>15</v>
      </c>
      <c r="F401" t="inlineStr">
        <is>
          <t>Aerofit Mod</t>
        </is>
      </c>
      <c r="G401" s="4" t="n">
        <v>43199</v>
      </c>
      <c r="H401" t="n">
        <v>220</v>
      </c>
      <c r="I401" t="inlineStr">
        <is>
          <t>WSI-A20</t>
        </is>
      </c>
      <c r="J401" t="inlineStr">
        <is>
          <t>y</t>
        </is>
      </c>
      <c r="K401" s="232" t="n">
        <v>8238.450000000001</v>
      </c>
      <c r="L401" s="230" t="n">
        <v>8180</v>
      </c>
      <c r="M401" s="232">
        <f>K401-L401</f>
        <v/>
      </c>
      <c r="O401" s="233">
        <f>M401-N401</f>
        <v/>
      </c>
      <c r="P401" s="19">
        <f>(K401/L401)-1</f>
        <v/>
      </c>
    </row>
    <row r="402">
      <c r="A402" t="n">
        <v>21</v>
      </c>
      <c r="B402" t="inlineStr">
        <is>
          <t>SPE7M9-18-P-0597</t>
        </is>
      </c>
      <c r="E402" t="n">
        <v>23</v>
      </c>
      <c r="F402" t="inlineStr">
        <is>
          <t>GEMS</t>
        </is>
      </c>
      <c r="G402" s="4" t="n">
        <v>43200</v>
      </c>
      <c r="H402" t="n">
        <v>130</v>
      </c>
      <c r="I402" t="inlineStr">
        <is>
          <t>WSI-A21</t>
        </is>
      </c>
      <c r="J402" t="inlineStr">
        <is>
          <t>Y</t>
        </is>
      </c>
      <c r="K402" s="232" t="n">
        <v>21178.4</v>
      </c>
      <c r="L402" s="230">
        <f>20815+29.45</f>
        <v/>
      </c>
      <c r="M402" s="232">
        <f>K402-L402</f>
        <v/>
      </c>
      <c r="N402" t="n">
        <v>37.09</v>
      </c>
      <c r="O402" s="233">
        <f>M402-N402</f>
        <v/>
      </c>
      <c r="P402" s="19">
        <f>(K402/L402)-1</f>
        <v/>
      </c>
    </row>
    <row r="403">
      <c r="A403" t="n">
        <v>22</v>
      </c>
      <c r="B403" s="3" t="inlineStr">
        <is>
          <t>SPE7M4-18-P-2470</t>
        </is>
      </c>
      <c r="E403" t="n">
        <v>1</v>
      </c>
      <c r="F403" t="inlineStr">
        <is>
          <t>PREECE</t>
        </is>
      </c>
      <c r="G403" s="4" t="n">
        <v>43200</v>
      </c>
      <c r="H403" t="n">
        <v>240</v>
      </c>
      <c r="I403" t="inlineStr">
        <is>
          <t>WSI-A22</t>
        </is>
      </c>
      <c r="J403" t="inlineStr">
        <is>
          <t>y</t>
        </is>
      </c>
      <c r="K403" s="232" t="n">
        <v>19800</v>
      </c>
      <c r="L403" s="230" t="n">
        <v>19082</v>
      </c>
      <c r="M403" s="232">
        <f>K403-L403</f>
        <v/>
      </c>
      <c r="O403" s="233">
        <f>M403-N403</f>
        <v/>
      </c>
      <c r="P403" s="19">
        <f>(K403/L403)-1</f>
        <v/>
      </c>
    </row>
    <row r="404">
      <c r="A404" t="n">
        <v>23</v>
      </c>
      <c r="B404" t="inlineStr">
        <is>
          <t>SPE7L3-18-V-6171</t>
        </is>
      </c>
      <c r="E404" t="n">
        <v>2</v>
      </c>
      <c r="F404" t="inlineStr">
        <is>
          <t>KTSDI</t>
        </is>
      </c>
      <c r="G404" s="4" t="n">
        <v>43201</v>
      </c>
      <c r="H404" t="n">
        <v>120</v>
      </c>
      <c r="I404" t="inlineStr">
        <is>
          <t>WSI-A23</t>
        </is>
      </c>
      <c r="J404" t="inlineStr">
        <is>
          <t>y</t>
        </is>
      </c>
      <c r="K404" s="232" t="n">
        <v>1137.56</v>
      </c>
      <c r="L404" s="230" t="n">
        <v>1050.94</v>
      </c>
      <c r="M404" s="232">
        <f>K404-L404</f>
        <v/>
      </c>
      <c r="N404" s="230" t="n">
        <v>34.56</v>
      </c>
      <c r="O404" s="233">
        <f>M404-N404</f>
        <v/>
      </c>
      <c r="P404" s="19">
        <f>(K404/L404)-1</f>
        <v/>
      </c>
    </row>
    <row r="405">
      <c r="A405" t="n">
        <v>24</v>
      </c>
      <c r="B405" t="inlineStr">
        <is>
          <t>SPE7M5-18-V-7336</t>
        </is>
      </c>
      <c r="E405" t="n">
        <v>2</v>
      </c>
      <c r="F405" t="inlineStr">
        <is>
          <t>Glenair</t>
        </is>
      </c>
      <c r="G405" s="4" t="n">
        <v>43201</v>
      </c>
      <c r="H405" t="n">
        <v>90</v>
      </c>
      <c r="I405" t="inlineStr">
        <is>
          <t>WSI-A24</t>
        </is>
      </c>
      <c r="J405" t="inlineStr">
        <is>
          <t>y</t>
        </is>
      </c>
      <c r="K405" s="232" t="n">
        <v>1113.64</v>
      </c>
      <c r="L405" s="230" t="n">
        <v>1077.68</v>
      </c>
      <c r="M405" s="232">
        <f>K405-L405</f>
        <v/>
      </c>
      <c r="O405" s="233">
        <f>M405-N405</f>
        <v/>
      </c>
      <c r="P405" s="19">
        <f>(K405/L405)-1</f>
        <v/>
      </c>
    </row>
    <row r="406">
      <c r="A406" t="n">
        <v>25</v>
      </c>
      <c r="B406" t="inlineStr">
        <is>
          <t>SPE7MC-18-V-5667</t>
        </is>
      </c>
      <c r="E406" t="n">
        <v>6</v>
      </c>
      <c r="F406" t="inlineStr">
        <is>
          <t>GEMS</t>
        </is>
      </c>
      <c r="G406" s="4" t="n">
        <v>43201</v>
      </c>
      <c r="H406" t="n">
        <v>125</v>
      </c>
      <c r="I406" t="inlineStr">
        <is>
          <t>WSI-A25</t>
        </is>
      </c>
      <c r="J406" t="inlineStr">
        <is>
          <t>y</t>
        </is>
      </c>
      <c r="K406" s="232" t="n">
        <v>7266</v>
      </c>
      <c r="L406" s="230" t="n">
        <v>7170</v>
      </c>
      <c r="M406" s="232">
        <f>K406-L406</f>
        <v/>
      </c>
      <c r="N406" t="n">
        <v>29.76</v>
      </c>
      <c r="O406" s="233">
        <f>M406-N406</f>
        <v/>
      </c>
      <c r="P406" s="19">
        <f>(K406/L406)-1</f>
        <v/>
      </c>
    </row>
    <row r="407">
      <c r="A407" t="n">
        <v>26</v>
      </c>
      <c r="B407" t="inlineStr">
        <is>
          <t>SPE7MC-18-V-5663</t>
        </is>
      </c>
      <c r="E407" t="n">
        <v>5</v>
      </c>
      <c r="F407" t="inlineStr">
        <is>
          <t>GEMS</t>
        </is>
      </c>
      <c r="G407" s="4" t="n">
        <v>43201</v>
      </c>
      <c r="H407" t="n">
        <v>130</v>
      </c>
      <c r="I407" t="inlineStr">
        <is>
          <t>WSI-A26</t>
        </is>
      </c>
      <c r="J407" t="inlineStr">
        <is>
          <t>y</t>
        </is>
      </c>
      <c r="K407" s="232" t="n">
        <v>8492</v>
      </c>
      <c r="L407" s="230">
        <f>8400+14.33</f>
        <v/>
      </c>
      <c r="M407" s="232">
        <f>K407-L407</f>
        <v/>
      </c>
      <c r="O407" s="233">
        <f>M407-N407</f>
        <v/>
      </c>
      <c r="P407" s="19">
        <f>(K407/L407)-1</f>
        <v/>
      </c>
    </row>
    <row r="408">
      <c r="A408" t="n">
        <v>27</v>
      </c>
      <c r="B408" t="inlineStr">
        <is>
          <t>SPE7L7-18-V-1266</t>
        </is>
      </c>
      <c r="E408" t="n">
        <v>11</v>
      </c>
      <c r="F408" t="inlineStr">
        <is>
          <t>XENOTRONIX</t>
        </is>
      </c>
      <c r="G408" s="4" t="n">
        <v>43201</v>
      </c>
      <c r="H408" t="n">
        <v>140</v>
      </c>
      <c r="I408" t="inlineStr">
        <is>
          <t>WSI-A27</t>
        </is>
      </c>
      <c r="J408" t="inlineStr">
        <is>
          <t>y</t>
        </is>
      </c>
      <c r="K408" s="232" t="n">
        <v>1889.58</v>
      </c>
      <c r="L408" s="230">
        <f>1632.2+163.22</f>
        <v/>
      </c>
      <c r="M408" s="232">
        <f>K408-L408</f>
        <v/>
      </c>
      <c r="N408" t="n">
        <v>58.12</v>
      </c>
      <c r="O408" s="233">
        <f>M408-N408</f>
        <v/>
      </c>
      <c r="P408" s="19">
        <f>(K408/L408)-1</f>
        <v/>
      </c>
    </row>
    <row r="409">
      <c r="A409" t="n">
        <v>28</v>
      </c>
      <c r="B409" t="inlineStr">
        <is>
          <t>SPE7MC-18-P-3641</t>
        </is>
      </c>
      <c r="E409" t="n">
        <v>6</v>
      </c>
      <c r="F409" t="inlineStr">
        <is>
          <t>GEMS</t>
        </is>
      </c>
      <c r="G409" s="4" t="n">
        <v>43201</v>
      </c>
      <c r="H409" t="n">
        <v>70</v>
      </c>
      <c r="I409" t="inlineStr">
        <is>
          <t>WSI-A28</t>
        </is>
      </c>
      <c r="J409" t="inlineStr">
        <is>
          <t>y</t>
        </is>
      </c>
      <c r="K409" s="232" t="n">
        <v>4107.42</v>
      </c>
      <c r="L409" s="230">
        <f>4020+40.3</f>
        <v/>
      </c>
      <c r="M409" s="232">
        <f>K409-L409</f>
        <v/>
      </c>
      <c r="N409" s="51" t="n">
        <v>49.32</v>
      </c>
      <c r="O409" s="254">
        <f>M409-N409</f>
        <v/>
      </c>
      <c r="P409" s="19">
        <f>(K409/L409)-1</f>
        <v/>
      </c>
    </row>
    <row r="410">
      <c r="A410" t="n">
        <v>29</v>
      </c>
      <c r="B410" t="inlineStr">
        <is>
          <t>SPE7MC-18-V-5787</t>
        </is>
      </c>
      <c r="E410" t="n">
        <v>23</v>
      </c>
      <c r="F410" s="51" t="inlineStr">
        <is>
          <t>Glenair Cancel</t>
        </is>
      </c>
      <c r="G410" s="4" t="n">
        <v>43203</v>
      </c>
      <c r="I410" s="51" t="inlineStr">
        <is>
          <t>Cancel</t>
        </is>
      </c>
      <c r="K410" s="232" t="n">
        <v>0</v>
      </c>
      <c r="L410" s="230" t="n">
        <v>0</v>
      </c>
      <c r="M410" s="232">
        <f>K410-L410</f>
        <v/>
      </c>
      <c r="O410" s="233">
        <f>M410-N410</f>
        <v/>
      </c>
      <c r="P410" s="19">
        <f>(K410/L410)-1</f>
        <v/>
      </c>
    </row>
    <row r="411">
      <c r="A411" t="n">
        <v>30</v>
      </c>
      <c r="B411" t="inlineStr">
        <is>
          <t>SPE4A4-18-V-6269</t>
        </is>
      </c>
      <c r="E411" t="n">
        <v>17</v>
      </c>
      <c r="F411" t="inlineStr">
        <is>
          <t>GEMS</t>
        </is>
      </c>
      <c r="G411" s="4" t="n">
        <v>43203</v>
      </c>
      <c r="H411" t="n">
        <v>120</v>
      </c>
      <c r="I411" t="inlineStr">
        <is>
          <t>WSI-A30</t>
        </is>
      </c>
      <c r="J411" t="inlineStr">
        <is>
          <t>y</t>
        </is>
      </c>
      <c r="K411" s="232" t="n">
        <v>17895.9</v>
      </c>
      <c r="L411" s="230">
        <f>17425+47.6</f>
        <v/>
      </c>
      <c r="M411" s="232">
        <f>K411-L411</f>
        <v/>
      </c>
      <c r="N411" t="n">
        <v>57.32</v>
      </c>
      <c r="O411" s="233">
        <f>M411-N411</f>
        <v/>
      </c>
      <c r="P411" s="19">
        <f>(K411/L411)-1</f>
        <v/>
      </c>
    </row>
    <row r="412">
      <c r="A412" t="n">
        <v>31</v>
      </c>
      <c r="B412" t="inlineStr">
        <is>
          <t>SPE7M8-18-V-1265</t>
        </is>
      </c>
      <c r="E412" t="n">
        <v>3</v>
      </c>
      <c r="F412" t="inlineStr">
        <is>
          <t>GEMS</t>
        </is>
      </c>
      <c r="G412" s="4" t="n">
        <v>43203</v>
      </c>
      <c r="H412" t="n">
        <v>130</v>
      </c>
      <c r="I412" t="inlineStr">
        <is>
          <t>WSI-A31</t>
        </is>
      </c>
      <c r="J412" t="inlineStr">
        <is>
          <t>y</t>
        </is>
      </c>
      <c r="K412" s="232" t="n">
        <v>2636.82</v>
      </c>
      <c r="L412" s="230">
        <f>2565+13.85</f>
        <v/>
      </c>
      <c r="M412" s="232">
        <f>K412-L412</f>
        <v/>
      </c>
      <c r="N412" t="n">
        <v>15.62</v>
      </c>
      <c r="O412" s="233">
        <f>M412-N412</f>
        <v/>
      </c>
      <c r="P412" s="19">
        <f>(K412/L412)-1</f>
        <v/>
      </c>
    </row>
    <row r="413">
      <c r="A413" t="n">
        <v>32</v>
      </c>
      <c r="B413" s="3" t="inlineStr">
        <is>
          <t>SPE7M0-18-V-6629</t>
        </is>
      </c>
      <c r="E413" t="n">
        <v>1</v>
      </c>
      <c r="F413" t="inlineStr">
        <is>
          <t>PREECE</t>
        </is>
      </c>
      <c r="G413" s="4" t="n">
        <v>43203</v>
      </c>
      <c r="H413" t="n">
        <v>230</v>
      </c>
      <c r="I413" t="inlineStr">
        <is>
          <t>WSI-A32</t>
        </is>
      </c>
      <c r="J413" t="inlineStr">
        <is>
          <t>y</t>
        </is>
      </c>
      <c r="K413" s="232" t="n">
        <v>1683.46</v>
      </c>
      <c r="L413" s="230" t="n">
        <v>1610</v>
      </c>
      <c r="M413" s="232">
        <f>K413-L413</f>
        <v/>
      </c>
      <c r="O413" s="233">
        <f>M413-N413</f>
        <v/>
      </c>
      <c r="P413" s="19">
        <f>(K413/L413)-1</f>
        <v/>
      </c>
    </row>
    <row r="414">
      <c r="A414" t="n">
        <v>33</v>
      </c>
      <c r="B414" t="inlineStr">
        <is>
          <t>SPE4A6-18-P-E310</t>
        </is>
      </c>
      <c r="E414" t="n">
        <v>6</v>
      </c>
      <c r="F414" t="inlineStr">
        <is>
          <t>GEMS</t>
        </is>
      </c>
      <c r="G414" s="4" t="n">
        <v>43204</v>
      </c>
      <c r="H414" t="n">
        <v>130</v>
      </c>
      <c r="I414" t="inlineStr">
        <is>
          <t>WSI-A33</t>
        </is>
      </c>
      <c r="J414" t="inlineStr">
        <is>
          <t>y</t>
        </is>
      </c>
      <c r="K414" s="232" t="n">
        <v>8607.959999999999</v>
      </c>
      <c r="L414" s="230">
        <f>8370+41.3</f>
        <v/>
      </c>
      <c r="M414" s="232">
        <f>K414-L414</f>
        <v/>
      </c>
      <c r="N414" t="n">
        <v>47.6</v>
      </c>
      <c r="O414" s="233">
        <f>M414-N414</f>
        <v/>
      </c>
      <c r="P414" s="19">
        <f>(K414/L414)-1</f>
        <v/>
      </c>
    </row>
    <row r="415">
      <c r="A415" t="n">
        <v>34</v>
      </c>
      <c r="B415" t="inlineStr">
        <is>
          <t>SPE4A4-18-V-6360</t>
        </is>
      </c>
      <c r="E415" t="n">
        <v>9</v>
      </c>
      <c r="F415" s="51" t="inlineStr">
        <is>
          <t>GEMS PAR Cancel</t>
        </is>
      </c>
      <c r="G415" s="4" t="n">
        <v>43206</v>
      </c>
      <c r="H415" t="n">
        <v>130</v>
      </c>
      <c r="I415" s="51" t="inlineStr">
        <is>
          <t>Cancel</t>
        </is>
      </c>
      <c r="K415" s="232" t="n">
        <v>0</v>
      </c>
      <c r="L415" s="255" t="n">
        <v>0</v>
      </c>
      <c r="M415" s="232">
        <f>K415-L415</f>
        <v/>
      </c>
      <c r="O415" s="233">
        <f>M415-N415</f>
        <v/>
      </c>
      <c r="P415" s="19">
        <f>(K415/L415)-1</f>
        <v/>
      </c>
    </row>
    <row r="416">
      <c r="A416" t="n">
        <v>35</v>
      </c>
      <c r="B416" t="inlineStr">
        <is>
          <t>SPE7L0-18-V-5135</t>
        </is>
      </c>
      <c r="E416" t="n">
        <v>18</v>
      </c>
      <c r="F416" t="inlineStr">
        <is>
          <t>MUNTER</t>
        </is>
      </c>
      <c r="G416" s="4" t="n">
        <v>43206</v>
      </c>
      <c r="H416" t="n">
        <v>120</v>
      </c>
      <c r="I416" t="inlineStr">
        <is>
          <t>WSI-A35</t>
        </is>
      </c>
      <c r="J416" t="inlineStr">
        <is>
          <t>y</t>
        </is>
      </c>
      <c r="K416" s="232" t="n">
        <v>1311.66</v>
      </c>
      <c r="L416" s="230" t="n">
        <v>1260</v>
      </c>
      <c r="M416" s="232">
        <f>K416-L416</f>
        <v/>
      </c>
      <c r="O416" s="233">
        <f>M416-N416</f>
        <v/>
      </c>
      <c r="P416" s="19">
        <f>(K416/L416)-1</f>
        <v/>
      </c>
    </row>
    <row r="417">
      <c r="A417" t="n">
        <v>36</v>
      </c>
      <c r="B417" t="inlineStr">
        <is>
          <t>SPE4A4-18-V-6363</t>
        </is>
      </c>
      <c r="E417" t="n">
        <v>8</v>
      </c>
      <c r="F417" t="inlineStr">
        <is>
          <t>GEMS</t>
        </is>
      </c>
      <c r="G417" s="4" t="n">
        <v>43206</v>
      </c>
      <c r="H417" t="n">
        <v>140</v>
      </c>
      <c r="I417" t="inlineStr">
        <is>
          <t>WSI-A36</t>
        </is>
      </c>
      <c r="J417" t="inlineStr">
        <is>
          <t>y</t>
        </is>
      </c>
      <c r="K417" s="232" t="n">
        <v>11410.24</v>
      </c>
      <c r="L417" s="230">
        <f>11120+81.93</f>
        <v/>
      </c>
      <c r="M417" s="232">
        <f>K417-L417</f>
        <v/>
      </c>
      <c r="N417" s="51">
        <f>46.68+46.68</f>
        <v/>
      </c>
      <c r="O417" s="233">
        <f>M417-N417</f>
        <v/>
      </c>
      <c r="P417" s="19">
        <f>(K417/L417)-1</f>
        <v/>
      </c>
    </row>
    <row r="418">
      <c r="A418" t="n">
        <v>37</v>
      </c>
      <c r="B418" t="inlineStr">
        <is>
          <t>SPE7M1-18-V-7788</t>
        </is>
      </c>
      <c r="E418" t="n">
        <v>2</v>
      </c>
      <c r="F418" t="inlineStr">
        <is>
          <t>Phenix</t>
        </is>
      </c>
      <c r="G418" s="4" t="n">
        <v>43206</v>
      </c>
      <c r="H418" t="n">
        <v>140</v>
      </c>
      <c r="I418" t="inlineStr">
        <is>
          <t>WSI-A37</t>
        </is>
      </c>
      <c r="J418" t="inlineStr">
        <is>
          <t>y</t>
        </is>
      </c>
      <c r="K418" s="232" t="n">
        <v>6084</v>
      </c>
      <c r="L418" s="230" t="n">
        <v>5975.02</v>
      </c>
      <c r="M418" s="232">
        <f>K418-L418</f>
        <v/>
      </c>
      <c r="O418" s="233">
        <f>M418-N418</f>
        <v/>
      </c>
      <c r="P418" s="19">
        <f>(K418/L418)-1</f>
        <v/>
      </c>
    </row>
    <row r="419">
      <c r="A419" t="n">
        <v>38</v>
      </c>
      <c r="B419" t="inlineStr">
        <is>
          <t>SPE7L0-18-V-5140</t>
        </is>
      </c>
      <c r="E419" t="n">
        <v>1</v>
      </c>
      <c r="F419" s="51" t="inlineStr">
        <is>
          <t>KTSDI Cancel</t>
        </is>
      </c>
      <c r="G419" s="4" t="n">
        <v>43206</v>
      </c>
      <c r="H419" t="n">
        <v>120</v>
      </c>
      <c r="K419" s="232" t="n">
        <v>0</v>
      </c>
      <c r="L419" s="255" t="n">
        <v>0</v>
      </c>
      <c r="M419" s="232">
        <f>K419-L419</f>
        <v/>
      </c>
      <c r="O419" s="233">
        <f>M419-N419</f>
        <v/>
      </c>
      <c r="P419" s="19">
        <f>(K419/L419)-1</f>
        <v/>
      </c>
    </row>
    <row r="420">
      <c r="A420" t="n">
        <v>39</v>
      </c>
      <c r="B420" t="inlineStr">
        <is>
          <t>SPE7M5-18-V-7710</t>
        </is>
      </c>
      <c r="E420" t="n">
        <v>6</v>
      </c>
      <c r="F420" s="51" t="inlineStr">
        <is>
          <t>Glenair cancel</t>
        </is>
      </c>
      <c r="G420" s="4" t="n">
        <v>43209</v>
      </c>
      <c r="H420" t="n">
        <v>130</v>
      </c>
      <c r="I420" s="51" t="inlineStr">
        <is>
          <t>Cancel</t>
        </is>
      </c>
      <c r="K420" s="232" t="n">
        <v>0</v>
      </c>
      <c r="L420" s="255" t="n">
        <v>0</v>
      </c>
      <c r="M420" s="232">
        <f>K420-L420</f>
        <v/>
      </c>
      <c r="O420" s="233">
        <f>M420-N420</f>
        <v/>
      </c>
      <c r="P420" s="19">
        <f>(K420/L420)-1</f>
        <v/>
      </c>
    </row>
    <row r="421">
      <c r="A421" t="n">
        <v>40</v>
      </c>
      <c r="B421" t="inlineStr">
        <is>
          <t>SPE4A4-18-V-6541</t>
        </is>
      </c>
      <c r="E421" t="n">
        <v>4</v>
      </c>
      <c r="F421" t="inlineStr">
        <is>
          <t>GEMS</t>
        </is>
      </c>
      <c r="G421" s="4" t="n">
        <v>43210</v>
      </c>
      <c r="H421" t="n">
        <v>170</v>
      </c>
      <c r="I421" t="inlineStr">
        <is>
          <t>WSI-A40</t>
        </is>
      </c>
      <c r="J421" t="inlineStr">
        <is>
          <t>y</t>
        </is>
      </c>
      <c r="K421" s="232" t="n">
        <v>13433.6</v>
      </c>
      <c r="L421" s="230">
        <f>13220+19.84</f>
        <v/>
      </c>
      <c r="M421" s="232">
        <f>K421-L421</f>
        <v/>
      </c>
      <c r="O421" s="233">
        <f>M421-N421</f>
        <v/>
      </c>
      <c r="P421" s="19">
        <f>(K421/L421)-1</f>
        <v/>
      </c>
    </row>
    <row r="422">
      <c r="A422" t="n">
        <v>41</v>
      </c>
      <c r="B422" t="inlineStr">
        <is>
          <t>SPE7MC-18-V-6077</t>
        </is>
      </c>
      <c r="E422" t="n">
        <v>36</v>
      </c>
      <c r="F422" s="160" t="inlineStr">
        <is>
          <t>Glenair 14 extra</t>
        </is>
      </c>
      <c r="G422" s="4" t="n">
        <v>43213</v>
      </c>
      <c r="H422" t="n">
        <v>110</v>
      </c>
      <c r="I422" t="inlineStr">
        <is>
          <t>WSI-A41</t>
        </is>
      </c>
      <c r="J422" t="inlineStr">
        <is>
          <t>y</t>
        </is>
      </c>
      <c r="K422" s="232" t="n">
        <v>3471.84</v>
      </c>
      <c r="L422" s="230" t="n">
        <v>3430.44</v>
      </c>
      <c r="M422" s="232">
        <f>K422-L422</f>
        <v/>
      </c>
      <c r="N422" t="n">
        <v>18.04</v>
      </c>
      <c r="O422" s="233">
        <f>M422-N422</f>
        <v/>
      </c>
      <c r="P422" s="19">
        <f>(K422/L422)-1</f>
        <v/>
      </c>
    </row>
    <row r="423">
      <c r="A423" t="n">
        <v>42</v>
      </c>
      <c r="B423" s="3" t="inlineStr">
        <is>
          <t>SPE7M9-18-V-0722</t>
        </is>
      </c>
      <c r="E423" t="n">
        <v>4</v>
      </c>
      <c r="F423" t="inlineStr">
        <is>
          <t>Glenair addl 4 or cancel</t>
        </is>
      </c>
      <c r="G423" s="4" t="n">
        <v>43213</v>
      </c>
      <c r="H423" t="n">
        <v>160</v>
      </c>
      <c r="I423" t="inlineStr">
        <is>
          <t>WSI-A42</t>
        </is>
      </c>
      <c r="K423" s="230" t="n">
        <v>0</v>
      </c>
      <c r="L423" s="255" t="n">
        <v>0</v>
      </c>
      <c r="M423" s="232">
        <f>K423-L423</f>
        <v/>
      </c>
      <c r="O423" s="233">
        <f>M423-N423</f>
        <v/>
      </c>
      <c r="P423" s="19">
        <f>(K423/L423)-1</f>
        <v/>
      </c>
    </row>
    <row r="424">
      <c r="A424" t="n">
        <v>43</v>
      </c>
      <c r="B424" t="inlineStr">
        <is>
          <t>SPE7M0-18-V-6888</t>
        </is>
      </c>
      <c r="E424" t="n">
        <v>2</v>
      </c>
      <c r="F424" t="inlineStr">
        <is>
          <t>FCX</t>
        </is>
      </c>
      <c r="G424" s="4" t="n">
        <v>43213</v>
      </c>
      <c r="H424" t="n">
        <v>140</v>
      </c>
      <c r="I424" t="inlineStr">
        <is>
          <t>WSI-A43</t>
        </is>
      </c>
      <c r="J424" t="inlineStr">
        <is>
          <t>y</t>
        </is>
      </c>
      <c r="K424" s="232" t="n">
        <v>2739.88</v>
      </c>
      <c r="L424" s="230" t="n">
        <v>2688</v>
      </c>
      <c r="M424" s="232">
        <f>K424-L424</f>
        <v/>
      </c>
      <c r="O424" s="233">
        <f>M424-N424</f>
        <v/>
      </c>
      <c r="P424" s="19">
        <f>(K424/L424)-1</f>
        <v/>
      </c>
    </row>
    <row r="425">
      <c r="A425" t="n">
        <v>44</v>
      </c>
      <c r="B425" s="3" t="inlineStr">
        <is>
          <t>SPE5E4-18-V-6102</t>
        </is>
      </c>
      <c r="E425" t="n">
        <v>15</v>
      </c>
      <c r="F425" t="inlineStr">
        <is>
          <t>Avibank</t>
        </is>
      </c>
      <c r="G425" s="4" t="n">
        <v>43213</v>
      </c>
      <c r="H425" t="n">
        <v>240</v>
      </c>
      <c r="I425" t="inlineStr">
        <is>
          <t>WSI-A44</t>
        </is>
      </c>
      <c r="J425" t="inlineStr">
        <is>
          <t>y</t>
        </is>
      </c>
      <c r="K425" s="232" t="n">
        <v>2516.55</v>
      </c>
      <c r="L425" s="230" t="n">
        <v>2317.05</v>
      </c>
      <c r="M425" s="232">
        <f>K425-L425</f>
        <v/>
      </c>
      <c r="O425" s="233">
        <f>M425-N425</f>
        <v/>
      </c>
      <c r="P425" s="19">
        <f>(K425/L425)-1</f>
        <v/>
      </c>
    </row>
    <row r="426">
      <c r="A426" t="n">
        <v>45</v>
      </c>
      <c r="B426" t="inlineStr">
        <is>
          <t>SPE7M0-18-P-2764</t>
        </is>
      </c>
      <c r="E426" t="n">
        <v>1</v>
      </c>
      <c r="F426" t="inlineStr">
        <is>
          <t>STEDHAM</t>
        </is>
      </c>
      <c r="G426" s="4" t="n">
        <v>43214</v>
      </c>
      <c r="H426" t="n">
        <v>30</v>
      </c>
      <c r="I426" t="inlineStr">
        <is>
          <t>WSI-A45</t>
        </is>
      </c>
      <c r="J426" t="inlineStr">
        <is>
          <t>y</t>
        </is>
      </c>
      <c r="K426" s="232" t="n">
        <v>122.2</v>
      </c>
      <c r="L426" s="230" t="n">
        <v>64.8</v>
      </c>
      <c r="M426" s="232">
        <f>K426-L426</f>
        <v/>
      </c>
      <c r="P426" s="19">
        <f>(K426/L426)-1</f>
        <v/>
      </c>
    </row>
    <row r="427">
      <c r="A427" t="n">
        <v>46</v>
      </c>
      <c r="B427" t="inlineStr">
        <is>
          <t>SPE4A6-18-P-E772</t>
        </is>
      </c>
      <c r="E427" t="n">
        <v>1</v>
      </c>
      <c r="F427" t="inlineStr">
        <is>
          <t>Cameron</t>
        </is>
      </c>
      <c r="G427" s="4" t="n">
        <v>43214</v>
      </c>
      <c r="H427" t="n">
        <v>130</v>
      </c>
      <c r="I427" t="inlineStr">
        <is>
          <t>WSI-A46</t>
        </is>
      </c>
      <c r="J427" t="inlineStr">
        <is>
          <t>y</t>
        </is>
      </c>
      <c r="K427" s="232" t="n">
        <v>3194.63</v>
      </c>
      <c r="L427" s="230" t="n">
        <v>3115</v>
      </c>
      <c r="M427" s="232">
        <f>K427-L427</f>
        <v/>
      </c>
      <c r="P427" s="19">
        <f>(K427/L427)-1</f>
        <v/>
      </c>
    </row>
    <row r="428">
      <c r="A428" t="n">
        <v>47</v>
      </c>
      <c r="B428" t="inlineStr">
        <is>
          <t>SPE7MC-18-V-6115</t>
        </is>
      </c>
      <c r="E428" t="n">
        <v>40</v>
      </c>
      <c r="F428" t="inlineStr">
        <is>
          <t>Sauer PAR Price change</t>
        </is>
      </c>
      <c r="G428" s="4" t="n">
        <v>43214</v>
      </c>
      <c r="I428" s="51" t="inlineStr">
        <is>
          <t>Cancel</t>
        </is>
      </c>
      <c r="K428" s="232" t="n">
        <v>0</v>
      </c>
      <c r="L428" s="255" t="n">
        <v>0</v>
      </c>
      <c r="M428" s="232">
        <f>K428-L428</f>
        <v/>
      </c>
      <c r="P428" s="19">
        <f>(K428/L428)-1</f>
        <v/>
      </c>
    </row>
    <row r="429">
      <c r="A429" t="n">
        <v>48</v>
      </c>
      <c r="B429" t="inlineStr">
        <is>
          <t>SPE7M5-18-V-7924</t>
        </is>
      </c>
      <c r="E429" t="n">
        <v>1</v>
      </c>
      <c r="F429" t="inlineStr">
        <is>
          <t>Metropole</t>
        </is>
      </c>
      <c r="G429" s="4" t="n">
        <v>43216</v>
      </c>
      <c r="H429" t="n">
        <v>120</v>
      </c>
      <c r="I429" t="inlineStr">
        <is>
          <t>WSI-A48</t>
        </is>
      </c>
      <c r="J429" t="inlineStr">
        <is>
          <t>y</t>
        </is>
      </c>
      <c r="K429" s="232" t="n">
        <v>7811.8</v>
      </c>
      <c r="L429" s="230" t="n">
        <v>7700</v>
      </c>
      <c r="M429" s="232">
        <f>K429-L429</f>
        <v/>
      </c>
      <c r="P429" s="19">
        <f>(K429/L429)-1</f>
        <v/>
      </c>
    </row>
    <row r="430">
      <c r="A430" t="n">
        <v>49</v>
      </c>
      <c r="B430" t="inlineStr">
        <is>
          <t>SPE7M0-18-V-7011</t>
        </is>
      </c>
      <c r="E430" t="n">
        <v>13</v>
      </c>
      <c r="F430" t="inlineStr">
        <is>
          <t>Glenair</t>
        </is>
      </c>
      <c r="G430" s="4" t="n">
        <v>43216</v>
      </c>
      <c r="H430" t="n">
        <v>140</v>
      </c>
      <c r="I430" t="inlineStr">
        <is>
          <t>WSI-A49</t>
        </is>
      </c>
      <c r="J430" t="inlineStr">
        <is>
          <t>y</t>
        </is>
      </c>
      <c r="K430" s="232" t="n">
        <v>1258.92</v>
      </c>
      <c r="L430" s="230" t="n">
        <v>853.22</v>
      </c>
      <c r="M430" s="232">
        <f>K430-L430</f>
        <v/>
      </c>
      <c r="P430" s="19">
        <f>(K430/L430)-1</f>
        <v/>
      </c>
    </row>
    <row r="431">
      <c r="A431" t="n">
        <v>50</v>
      </c>
      <c r="B431" t="inlineStr">
        <is>
          <t>SPE7M0-18-V-7017</t>
        </is>
      </c>
      <c r="E431" t="n">
        <v>7</v>
      </c>
      <c r="F431" t="inlineStr">
        <is>
          <t>Glenair</t>
        </is>
      </c>
      <c r="G431" s="4" t="n">
        <v>43216</v>
      </c>
      <c r="H431" t="n">
        <v>120</v>
      </c>
      <c r="I431" t="inlineStr">
        <is>
          <t>WSI-A49</t>
        </is>
      </c>
      <c r="J431" t="inlineStr">
        <is>
          <t>y</t>
        </is>
      </c>
      <c r="K431" s="232" t="n">
        <v>692.16</v>
      </c>
      <c r="L431" s="230" t="n">
        <v>459.48</v>
      </c>
      <c r="M431" s="232">
        <f>K431-L431</f>
        <v/>
      </c>
      <c r="P431" s="19">
        <f>(K431/L431)-1</f>
        <v/>
      </c>
    </row>
    <row r="432">
      <c r="A432" t="n">
        <v>51</v>
      </c>
      <c r="B432" t="inlineStr">
        <is>
          <t>SPE7M1-18-P-4530</t>
        </is>
      </c>
      <c r="E432" t="n">
        <v>3</v>
      </c>
      <c r="F432" t="inlineStr">
        <is>
          <t>Druck</t>
        </is>
      </c>
      <c r="G432" s="4" t="n">
        <v>43216</v>
      </c>
      <c r="H432" t="n">
        <v>210</v>
      </c>
      <c r="I432" t="inlineStr">
        <is>
          <t>WSI-A51</t>
        </is>
      </c>
      <c r="J432" t="inlineStr">
        <is>
          <t>y</t>
        </is>
      </c>
      <c r="K432" s="232" t="n">
        <v>8554.799999999999</v>
      </c>
      <c r="L432" s="255" t="n">
        <v>8457</v>
      </c>
      <c r="M432" s="232">
        <f>K432-L432</f>
        <v/>
      </c>
      <c r="P432" s="19">
        <f>(K432/L432)-1</f>
        <v/>
      </c>
    </row>
    <row r="433">
      <c r="A433" t="n">
        <v>52</v>
      </c>
      <c r="B433" t="inlineStr">
        <is>
          <t>SPE7M5-18-V-8019</t>
        </is>
      </c>
      <c r="E433" t="n">
        <v>18</v>
      </c>
      <c r="F433" s="160" t="inlineStr">
        <is>
          <t>Glenair 2 extra</t>
        </is>
      </c>
      <c r="G433" s="4" t="n">
        <v>43217</v>
      </c>
      <c r="H433" t="n">
        <v>160</v>
      </c>
      <c r="I433" t="inlineStr">
        <is>
          <t>WSI-A52</t>
        </is>
      </c>
      <c r="J433" t="inlineStr">
        <is>
          <t>y</t>
        </is>
      </c>
      <c r="K433" s="232" t="n">
        <v>1425.6</v>
      </c>
      <c r="L433" s="230" t="n">
        <v>1360</v>
      </c>
      <c r="M433" s="232">
        <f>K433-L433</f>
        <v/>
      </c>
      <c r="P433" s="19">
        <f>(K433/L433)-1</f>
        <v/>
      </c>
    </row>
    <row r="434">
      <c r="A434" t="n">
        <v>53</v>
      </c>
      <c r="B434" t="inlineStr">
        <is>
          <t>SPE7M5-18-V-8071</t>
        </is>
      </c>
      <c r="E434" t="n">
        <v>75</v>
      </c>
      <c r="F434" t="inlineStr">
        <is>
          <t>Glenair</t>
        </is>
      </c>
      <c r="G434" s="4" t="n">
        <v>43220</v>
      </c>
      <c r="H434" t="n">
        <v>140</v>
      </c>
      <c r="I434" t="inlineStr">
        <is>
          <t>WSI-A53</t>
        </is>
      </c>
      <c r="J434" t="inlineStr">
        <is>
          <t>Y</t>
        </is>
      </c>
      <c r="K434" s="232" t="n">
        <v>6122.25</v>
      </c>
      <c r="L434" s="230" t="n">
        <v>5931.75</v>
      </c>
      <c r="M434" s="232">
        <f>K434-L434</f>
        <v/>
      </c>
      <c r="P434" s="19">
        <f>(K434/L434)-1</f>
        <v/>
      </c>
    </row>
    <row r="435">
      <c r="K435" s="243">
        <f>SUM(K382:K434)</f>
        <v/>
      </c>
      <c r="L435" s="240">
        <f>SUM(L382:L434)</f>
        <v/>
      </c>
      <c r="M435" s="243">
        <f>K435-L435</f>
        <v/>
      </c>
      <c r="P435" s="92">
        <f>(K435/L435)-1</f>
        <v/>
      </c>
    </row>
    <row r="436"/>
    <row r="437">
      <c r="A437" t="n">
        <v>1</v>
      </c>
      <c r="B437" s="3" t="inlineStr">
        <is>
          <t>SPE7L0-18-V-5600</t>
        </is>
      </c>
      <c r="E437" t="n">
        <v>1</v>
      </c>
      <c r="F437" s="51" t="inlineStr">
        <is>
          <t>KTSDI wt issue check</t>
        </is>
      </c>
      <c r="G437" s="4" t="n">
        <v>43221</v>
      </c>
      <c r="H437" t="n">
        <v>130</v>
      </c>
      <c r="I437" s="51" t="inlineStr">
        <is>
          <t>cancel</t>
        </is>
      </c>
      <c r="K437" s="232" t="n">
        <v>0</v>
      </c>
      <c r="L437" s="233" t="n">
        <v>0</v>
      </c>
      <c r="M437" s="232">
        <f>K437-L437</f>
        <v/>
      </c>
      <c r="O437" s="233">
        <f>M437-N437</f>
        <v/>
      </c>
      <c r="P437" s="19">
        <f>(K437/L437)-1</f>
        <v/>
      </c>
    </row>
    <row r="438">
      <c r="A438" t="n">
        <v>2</v>
      </c>
      <c r="B438" s="3" t="inlineStr">
        <is>
          <t>SPE7M0-18-V-7235</t>
        </is>
      </c>
      <c r="E438" t="n">
        <v>4</v>
      </c>
      <c r="F438" t="inlineStr">
        <is>
          <t>TIMKEN</t>
        </is>
      </c>
      <c r="G438" s="4" t="n">
        <v>43221</v>
      </c>
      <c r="H438" t="n">
        <v>170</v>
      </c>
      <c r="I438" t="inlineStr">
        <is>
          <t>WS-MY02</t>
        </is>
      </c>
      <c r="J438" t="inlineStr">
        <is>
          <t>y</t>
        </is>
      </c>
      <c r="K438" s="232" t="n">
        <v>15310.88</v>
      </c>
      <c r="L438" s="230">
        <f>3774*4</f>
        <v/>
      </c>
      <c r="M438" s="232">
        <f>K438-L438</f>
        <v/>
      </c>
      <c r="O438" s="233">
        <f>M438-N438</f>
        <v/>
      </c>
      <c r="P438" s="19">
        <f>(K438/L438)-1</f>
        <v/>
      </c>
    </row>
    <row r="439">
      <c r="A439" t="n">
        <v>3</v>
      </c>
      <c r="B439" t="inlineStr">
        <is>
          <t>SPE7M5-18-V-8132</t>
        </is>
      </c>
      <c r="E439" t="n">
        <v>18</v>
      </c>
      <c r="F439" t="inlineStr">
        <is>
          <t>Glenair</t>
        </is>
      </c>
      <c r="G439" s="4" t="n">
        <v>43221</v>
      </c>
      <c r="H439" t="n">
        <v>120</v>
      </c>
      <c r="I439" t="inlineStr">
        <is>
          <t>WS-MY03</t>
        </is>
      </c>
      <c r="J439" t="inlineStr">
        <is>
          <t>y</t>
        </is>
      </c>
      <c r="K439" s="232" t="n">
        <v>488.88</v>
      </c>
      <c r="L439" s="230" t="n">
        <v>401.94</v>
      </c>
      <c r="M439" s="232">
        <f>K439-L439</f>
        <v/>
      </c>
      <c r="O439" s="233">
        <f>M439-N439</f>
        <v/>
      </c>
      <c r="P439" s="19">
        <f>(K439/L439)-1</f>
        <v/>
      </c>
    </row>
    <row r="440">
      <c r="A440" t="n">
        <v>4</v>
      </c>
      <c r="B440" s="3" t="inlineStr">
        <is>
          <t>SPE5E9-18-P-2332</t>
        </is>
      </c>
      <c r="E440" t="n">
        <v>8</v>
      </c>
      <c r="F440" t="inlineStr">
        <is>
          <t>AVIBANK wait for 27 awd</t>
        </is>
      </c>
      <c r="G440" s="4" t="n">
        <v>43221</v>
      </c>
      <c r="H440" t="n">
        <v>110</v>
      </c>
      <c r="I440" t="inlineStr">
        <is>
          <t>WS-MY04</t>
        </is>
      </c>
      <c r="K440" s="232" t="n">
        <v>879.84</v>
      </c>
      <c r="L440" s="230" t="n">
        <v>816.24</v>
      </c>
      <c r="M440" s="232">
        <f>K440-L440</f>
        <v/>
      </c>
      <c r="O440" s="233">
        <f>M440-N440</f>
        <v/>
      </c>
      <c r="P440" s="19">
        <f>(K440/L440)-1</f>
        <v/>
      </c>
    </row>
    <row r="441">
      <c r="A441" t="n">
        <v>5</v>
      </c>
      <c r="B441" t="inlineStr">
        <is>
          <t>SPE7MC-18-V-6391</t>
        </is>
      </c>
      <c r="E441" t="n">
        <v>2</v>
      </c>
      <c r="F441" t="inlineStr">
        <is>
          <t>PBM</t>
        </is>
      </c>
      <c r="G441" s="4" t="n">
        <v>43222</v>
      </c>
      <c r="H441" t="n">
        <v>110</v>
      </c>
      <c r="I441" t="inlineStr">
        <is>
          <t>WS-MY05</t>
        </is>
      </c>
      <c r="J441" t="inlineStr">
        <is>
          <t>y</t>
        </is>
      </c>
      <c r="K441" s="232" t="n">
        <v>1138</v>
      </c>
      <c r="L441" s="230" t="n">
        <v>1070</v>
      </c>
      <c r="M441" s="232">
        <f>K441-L441</f>
        <v/>
      </c>
      <c r="O441" s="233">
        <f>M441-N441</f>
        <v/>
      </c>
      <c r="P441" s="19">
        <f>(K441/L441)-1</f>
        <v/>
      </c>
    </row>
    <row r="442">
      <c r="A442" t="n">
        <v>6</v>
      </c>
      <c r="B442" s="3" t="inlineStr">
        <is>
          <t>SPE7M5-18-V-8179</t>
        </is>
      </c>
      <c r="E442" t="n">
        <v>10</v>
      </c>
      <c r="F442" s="51" t="inlineStr">
        <is>
          <t>ITT req change</t>
        </is>
      </c>
      <c r="G442" s="4" t="n">
        <v>43222</v>
      </c>
      <c r="H442" t="n">
        <v>130</v>
      </c>
      <c r="I442" t="inlineStr">
        <is>
          <t>WS-MY06</t>
        </is>
      </c>
      <c r="K442" s="232" t="n">
        <v>1549.6</v>
      </c>
      <c r="L442" s="230" t="n">
        <v>1443.2</v>
      </c>
      <c r="M442" s="232">
        <f>K442-L442</f>
        <v/>
      </c>
      <c r="O442" s="233">
        <f>M442-N442</f>
        <v/>
      </c>
      <c r="P442" s="19">
        <f>(K442/L442)-1</f>
        <v/>
      </c>
    </row>
    <row r="443">
      <c r="A443" t="n">
        <v>7</v>
      </c>
      <c r="B443" t="inlineStr">
        <is>
          <t>SPE7MC-18-V-6417</t>
        </is>
      </c>
      <c r="E443" t="n">
        <v>1</v>
      </c>
      <c r="F443" t="inlineStr">
        <is>
          <t>Flowline</t>
        </is>
      </c>
      <c r="G443" s="4" t="n">
        <v>43222</v>
      </c>
      <c r="H443" t="n">
        <v>120</v>
      </c>
      <c r="I443" t="inlineStr">
        <is>
          <t>WS-MY07</t>
        </is>
      </c>
      <c r="J443" t="inlineStr">
        <is>
          <t>y</t>
        </is>
      </c>
      <c r="K443" s="232" t="n">
        <v>742.89</v>
      </c>
      <c r="L443" s="230" t="n">
        <v>708.9</v>
      </c>
      <c r="M443" s="232">
        <f>K443-L443</f>
        <v/>
      </c>
      <c r="O443" s="233">
        <f>M443-N443</f>
        <v/>
      </c>
      <c r="P443" s="19">
        <f>(K443/L443)-1</f>
        <v/>
      </c>
    </row>
    <row r="444">
      <c r="A444" t="n">
        <v>8</v>
      </c>
      <c r="B444" t="inlineStr">
        <is>
          <t>SPE7M5-18-P-9785</t>
        </is>
      </c>
      <c r="E444" t="n">
        <v>1</v>
      </c>
      <c r="F444" t="inlineStr">
        <is>
          <t>KONGSBERG</t>
        </is>
      </c>
      <c r="G444" s="4" t="n">
        <v>43224</v>
      </c>
      <c r="H444" t="n">
        <v>100</v>
      </c>
      <c r="I444" t="inlineStr">
        <is>
          <t>WS-MY05</t>
        </is>
      </c>
      <c r="J444" t="inlineStr">
        <is>
          <t>y</t>
        </is>
      </c>
      <c r="K444" s="232" t="n">
        <v>868.6</v>
      </c>
      <c r="L444" s="230" t="n">
        <v>761</v>
      </c>
      <c r="M444" s="232">
        <f>K444-L444</f>
        <v/>
      </c>
      <c r="O444" s="233">
        <f>M444-N444</f>
        <v/>
      </c>
      <c r="P444" s="19">
        <f>(K444/L444)-1</f>
        <v/>
      </c>
    </row>
    <row r="445">
      <c r="A445" t="n">
        <v>9</v>
      </c>
      <c r="B445" t="inlineStr">
        <is>
          <t>SPE7M3-18-V-3417</t>
        </is>
      </c>
      <c r="E445" t="n">
        <v>21</v>
      </c>
      <c r="F445" t="inlineStr">
        <is>
          <t>WM NUGENT Cancel</t>
        </is>
      </c>
      <c r="G445" s="4" t="n">
        <v>43227</v>
      </c>
      <c r="H445" t="n">
        <v>160</v>
      </c>
      <c r="I445" t="inlineStr">
        <is>
          <t>WS-MY05</t>
        </is>
      </c>
      <c r="K445" s="232" t="n">
        <v>0</v>
      </c>
      <c r="L445" s="230" t="n">
        <v>0</v>
      </c>
      <c r="M445" s="232">
        <f>K445-L445</f>
        <v/>
      </c>
      <c r="O445" s="233">
        <f>M445-N445</f>
        <v/>
      </c>
      <c r="P445" s="19">
        <f>(K445/L445)-1</f>
        <v/>
      </c>
    </row>
    <row r="446">
      <c r="A446" t="n">
        <v>10</v>
      </c>
      <c r="B446" t="inlineStr">
        <is>
          <t>SPE7M0-18-V-7510</t>
        </is>
      </c>
      <c r="E446" t="n">
        <v>15</v>
      </c>
      <c r="F446" s="160" t="inlineStr">
        <is>
          <t>Glenair 5 avialble</t>
        </is>
      </c>
      <c r="G446" s="4" t="n">
        <v>43228</v>
      </c>
      <c r="H446" t="n">
        <v>150</v>
      </c>
      <c r="I446" t="inlineStr">
        <is>
          <t>WS-MY10</t>
        </is>
      </c>
      <c r="J446" t="inlineStr">
        <is>
          <t>y</t>
        </is>
      </c>
      <c r="K446" s="232" t="n">
        <v>7495.2</v>
      </c>
      <c r="L446" s="230" t="n">
        <v>7371</v>
      </c>
      <c r="M446" s="232">
        <f>K446-L446</f>
        <v/>
      </c>
      <c r="O446" s="233">
        <f>M446-N446</f>
        <v/>
      </c>
      <c r="P446" s="19">
        <f>(K446/L446)-1</f>
        <v/>
      </c>
    </row>
    <row r="447">
      <c r="A447" t="n">
        <v>11</v>
      </c>
      <c r="B447" t="inlineStr">
        <is>
          <t>SPE7M5-18-P-9985</t>
        </is>
      </c>
      <c r="E447" t="n">
        <v>15</v>
      </c>
      <c r="F447" s="160" t="inlineStr">
        <is>
          <t>Glenair 5 avialble</t>
        </is>
      </c>
      <c r="G447" s="4" t="n">
        <v>43229</v>
      </c>
      <c r="H447" t="n">
        <v>140</v>
      </c>
      <c r="I447" t="inlineStr">
        <is>
          <t>WS-MY11</t>
        </is>
      </c>
      <c r="J447" t="inlineStr">
        <is>
          <t>y</t>
        </is>
      </c>
      <c r="K447" s="232" t="n">
        <v>4947.3</v>
      </c>
      <c r="L447" s="230" t="n">
        <v>4813</v>
      </c>
      <c r="M447" s="232">
        <f>K447-L447</f>
        <v/>
      </c>
      <c r="O447" s="233">
        <f>M447-N447</f>
        <v/>
      </c>
      <c r="P447" s="19">
        <f>(K447/L447)-1</f>
        <v/>
      </c>
    </row>
    <row r="448">
      <c r="A448" t="n">
        <v>12</v>
      </c>
      <c r="B448" t="inlineStr">
        <is>
          <t>SPE7M5-18-V-8436</t>
        </is>
      </c>
      <c r="E448" t="n">
        <v>5</v>
      </c>
      <c r="F448" s="51" t="inlineStr">
        <is>
          <t>Glenair</t>
        </is>
      </c>
      <c r="G448" s="4" t="n">
        <v>43230</v>
      </c>
      <c r="H448" t="n">
        <v>140</v>
      </c>
      <c r="I448" t="inlineStr">
        <is>
          <t>WS-MY12</t>
        </is>
      </c>
      <c r="K448" s="232" t="n">
        <v>2244.7</v>
      </c>
      <c r="L448" s="230" t="n">
        <v>2199.8</v>
      </c>
      <c r="M448" s="232">
        <f>K448-L448</f>
        <v/>
      </c>
      <c r="O448" s="233">
        <f>M448-N448</f>
        <v/>
      </c>
      <c r="P448" s="19">
        <f>(K448/L448)-1</f>
        <v/>
      </c>
    </row>
    <row r="449">
      <c r="A449" t="n">
        <v>13</v>
      </c>
      <c r="B449" s="3" t="inlineStr">
        <is>
          <t>SPE7M5-18-P-A062</t>
        </is>
      </c>
      <c r="E449" t="n">
        <v>25</v>
      </c>
      <c r="F449" t="inlineStr">
        <is>
          <t>ITT</t>
        </is>
      </c>
      <c r="G449" s="4" t="n">
        <v>43230</v>
      </c>
      <c r="H449" t="n">
        <v>160</v>
      </c>
      <c r="I449" t="inlineStr">
        <is>
          <t>WS-MY13</t>
        </is>
      </c>
      <c r="J449" t="inlineStr">
        <is>
          <t>y</t>
        </is>
      </c>
      <c r="K449" s="232" t="n">
        <v>26710</v>
      </c>
      <c r="L449" s="230" t="n">
        <v>24497.75</v>
      </c>
      <c r="M449" s="232">
        <f>K449-L449</f>
        <v/>
      </c>
      <c r="O449" s="233">
        <f>M449-N449</f>
        <v/>
      </c>
      <c r="P449" s="19">
        <f>(K449/L449)-1</f>
        <v/>
      </c>
    </row>
    <row r="450">
      <c r="A450" t="n">
        <v>14</v>
      </c>
      <c r="B450" t="inlineStr">
        <is>
          <t>SPE7M5-18-V-8497</t>
        </is>
      </c>
      <c r="E450" t="n">
        <v>36</v>
      </c>
      <c r="F450" t="inlineStr">
        <is>
          <t>Glenair</t>
        </is>
      </c>
      <c r="G450" s="4" t="n">
        <v>43230</v>
      </c>
      <c r="H450" t="n">
        <v>120</v>
      </c>
      <c r="I450" t="inlineStr">
        <is>
          <t>WS-MY14</t>
        </is>
      </c>
      <c r="J450" t="inlineStr">
        <is>
          <t>y</t>
        </is>
      </c>
      <c r="K450" s="232" t="n">
        <v>1385.64</v>
      </c>
      <c r="L450" s="230" t="n">
        <v>1320</v>
      </c>
      <c r="M450" s="232">
        <f>K450-L450</f>
        <v/>
      </c>
      <c r="O450" s="233">
        <f>M450-N450</f>
        <v/>
      </c>
      <c r="P450" s="19">
        <f>(K450/L450)-1</f>
        <v/>
      </c>
    </row>
    <row r="451">
      <c r="A451" t="n">
        <v>15</v>
      </c>
      <c r="B451" t="inlineStr">
        <is>
          <t>SPE7M5-18-V-8593</t>
        </is>
      </c>
      <c r="E451" t="n">
        <v>34</v>
      </c>
      <c r="F451" t="inlineStr">
        <is>
          <t>ITT</t>
        </is>
      </c>
      <c r="G451" s="4" t="n">
        <v>43231</v>
      </c>
      <c r="H451" t="n">
        <v>160</v>
      </c>
      <c r="I451" t="inlineStr">
        <is>
          <t>WS-MY15</t>
        </is>
      </c>
      <c r="J451" t="inlineStr">
        <is>
          <t>y</t>
        </is>
      </c>
      <c r="K451" s="232" t="n">
        <v>29226.4</v>
      </c>
      <c r="L451" s="230" t="n">
        <v>28496.42</v>
      </c>
      <c r="M451" s="232">
        <f>K451-L451</f>
        <v/>
      </c>
      <c r="O451" s="233">
        <f>M451-N451</f>
        <v/>
      </c>
      <c r="P451" s="19">
        <f>(K451/L451)-1</f>
        <v/>
      </c>
    </row>
    <row r="452">
      <c r="A452" t="n">
        <v>16</v>
      </c>
      <c r="B452" t="inlineStr">
        <is>
          <t>SPE4A6-18-V-154U</t>
        </is>
      </c>
      <c r="E452" t="n">
        <v>124</v>
      </c>
      <c r="F452" t="inlineStr">
        <is>
          <t>AVIBANK</t>
        </is>
      </c>
      <c r="G452" s="4" t="n">
        <v>43234</v>
      </c>
      <c r="H452" t="n">
        <v>140</v>
      </c>
      <c r="I452" t="inlineStr">
        <is>
          <t>WS-MY16</t>
        </is>
      </c>
      <c r="J452" t="inlineStr">
        <is>
          <t>y</t>
        </is>
      </c>
      <c r="K452" s="232" t="n">
        <v>1943.08</v>
      </c>
      <c r="L452" s="230" t="n">
        <v>1807.92</v>
      </c>
      <c r="M452" s="232">
        <f>K452-L452</f>
        <v/>
      </c>
      <c r="O452" s="233">
        <f>M452-N452</f>
        <v/>
      </c>
      <c r="P452" s="19">
        <f>(K452/L452)-1</f>
        <v/>
      </c>
    </row>
    <row r="453">
      <c r="A453" t="n">
        <v>17</v>
      </c>
      <c r="B453" t="inlineStr">
        <is>
          <t>SPE7M1-18-P-4787</t>
        </is>
      </c>
      <c r="E453" t="n">
        <v>1</v>
      </c>
      <c r="F453" t="inlineStr">
        <is>
          <t>C&amp;S</t>
        </is>
      </c>
      <c r="G453" s="4" t="n">
        <v>43235</v>
      </c>
      <c r="H453" t="n">
        <v>70</v>
      </c>
      <c r="I453" t="inlineStr">
        <is>
          <t>WS-MY17</t>
        </is>
      </c>
      <c r="J453" t="inlineStr">
        <is>
          <t>y</t>
        </is>
      </c>
      <c r="K453" s="232" t="n">
        <v>293.4</v>
      </c>
      <c r="L453" s="230" t="n">
        <v>254.55</v>
      </c>
      <c r="M453" s="232">
        <f>K453-L453</f>
        <v/>
      </c>
      <c r="O453" s="233">
        <f>M453-N453</f>
        <v/>
      </c>
      <c r="P453" s="19">
        <f>(K453/L453)-1</f>
        <v/>
      </c>
    </row>
    <row r="454">
      <c r="A454" t="n">
        <v>18</v>
      </c>
      <c r="B454" t="inlineStr">
        <is>
          <t>SPE7MC-18-V-6786</t>
        </is>
      </c>
      <c r="E454" t="n">
        <v>2</v>
      </c>
      <c r="F454" t="inlineStr">
        <is>
          <t>PBM</t>
        </is>
      </c>
      <c r="G454" s="4" t="n">
        <v>43236</v>
      </c>
      <c r="H454" t="n">
        <v>140</v>
      </c>
      <c r="I454" t="inlineStr">
        <is>
          <t>WS-MY18</t>
        </is>
      </c>
      <c r="J454" t="inlineStr">
        <is>
          <t>y</t>
        </is>
      </c>
      <c r="K454" s="232" t="n">
        <v>1136.76</v>
      </c>
      <c r="L454" s="230" t="n">
        <v>1070</v>
      </c>
      <c r="M454" s="232">
        <f>K454-L454</f>
        <v/>
      </c>
      <c r="O454" s="233">
        <f>M454-N454</f>
        <v/>
      </c>
      <c r="P454" s="19">
        <f>(K454/L454)-1</f>
        <v/>
      </c>
    </row>
    <row r="455">
      <c r="A455" t="n">
        <v>19</v>
      </c>
      <c r="B455" t="inlineStr">
        <is>
          <t>SPE7M1-18-V-9084</t>
        </is>
      </c>
      <c r="E455" t="n">
        <v>4</v>
      </c>
      <c r="F455" t="inlineStr">
        <is>
          <t>Phornix</t>
        </is>
      </c>
      <c r="G455" s="4" t="n">
        <v>43237</v>
      </c>
      <c r="H455" t="n">
        <v>140</v>
      </c>
      <c r="I455" t="inlineStr">
        <is>
          <t>WS-MY19</t>
        </is>
      </c>
      <c r="J455" t="inlineStr">
        <is>
          <t>y</t>
        </is>
      </c>
      <c r="K455" s="232" t="n">
        <v>12110.56</v>
      </c>
      <c r="L455" s="230" t="n">
        <v>11950.04</v>
      </c>
      <c r="M455" s="232">
        <f>K455-L455</f>
        <v/>
      </c>
      <c r="O455" s="233">
        <f>M455-N455</f>
        <v/>
      </c>
      <c r="P455" s="19">
        <f>(K455/L455)-1</f>
        <v/>
      </c>
    </row>
    <row r="456">
      <c r="A456" t="n">
        <v>20</v>
      </c>
      <c r="B456" t="inlineStr">
        <is>
          <t>SPE7MC-18-V-6825</t>
        </is>
      </c>
      <c r="E456" t="n">
        <v>6</v>
      </c>
      <c r="F456" t="inlineStr">
        <is>
          <t>PBM</t>
        </is>
      </c>
      <c r="G456" s="4" t="n">
        <v>43237</v>
      </c>
      <c r="H456" t="n">
        <v>140</v>
      </c>
      <c r="I456" t="inlineStr">
        <is>
          <t>WS-MY20</t>
        </is>
      </c>
      <c r="J456" t="inlineStr">
        <is>
          <t>y</t>
        </is>
      </c>
      <c r="K456" s="232" t="n">
        <v>6837.6</v>
      </c>
      <c r="L456" s="230" t="n">
        <v>6660</v>
      </c>
      <c r="M456" s="232">
        <f>K456-L456</f>
        <v/>
      </c>
      <c r="N456" s="51">
        <f>67.07+39.04</f>
        <v/>
      </c>
      <c r="O456" s="233">
        <f>M456-N456</f>
        <v/>
      </c>
      <c r="P456" s="19">
        <f>(K456/L456)-1</f>
        <v/>
      </c>
    </row>
    <row r="457">
      <c r="A457" t="n">
        <v>21</v>
      </c>
      <c r="B457" t="inlineStr">
        <is>
          <t>SPE7MC-18-V-6895</t>
        </is>
      </c>
      <c r="E457" t="n">
        <v>6</v>
      </c>
      <c r="F457" t="inlineStr">
        <is>
          <t>Flowline</t>
        </is>
      </c>
      <c r="G457" s="4" t="n">
        <v>43237</v>
      </c>
      <c r="H457" t="n">
        <v>120</v>
      </c>
      <c r="I457" t="inlineStr">
        <is>
          <t>WS-MY21</t>
        </is>
      </c>
      <c r="J457" t="inlineStr">
        <is>
          <t>y</t>
        </is>
      </c>
      <c r="K457" s="232" t="n">
        <v>7658.88</v>
      </c>
      <c r="L457" s="230" t="n">
        <v>7512.36</v>
      </c>
      <c r="M457" s="232">
        <f>K457-L457</f>
        <v/>
      </c>
      <c r="N457" t="n">
        <v>26</v>
      </c>
      <c r="O457" s="233">
        <f>M457-N457</f>
        <v/>
      </c>
      <c r="P457" s="19">
        <f>(K457/L457)-1</f>
        <v/>
      </c>
    </row>
    <row r="458">
      <c r="A458" t="n">
        <v>22</v>
      </c>
      <c r="B458" t="inlineStr">
        <is>
          <t>SPE7M8-18-V-1467</t>
        </is>
      </c>
      <c r="E458" t="n">
        <v>23</v>
      </c>
      <c r="F458" t="inlineStr">
        <is>
          <t>Morse</t>
        </is>
      </c>
      <c r="G458" s="4" t="n">
        <v>43237</v>
      </c>
      <c r="H458" t="n">
        <v>120</v>
      </c>
      <c r="I458" t="inlineStr">
        <is>
          <t>WS-MY22</t>
        </is>
      </c>
      <c r="K458" s="232" t="n">
        <v>14553.02</v>
      </c>
      <c r="L458" s="230" t="n">
        <v>14283</v>
      </c>
      <c r="M458" s="232">
        <f>K458-L458</f>
        <v/>
      </c>
      <c r="O458" s="233">
        <f>M458-N458</f>
        <v/>
      </c>
      <c r="P458" s="19">
        <f>(K458/L458)-1</f>
        <v/>
      </c>
    </row>
    <row r="459">
      <c r="A459" t="n">
        <v>23</v>
      </c>
      <c r="B459" t="inlineStr">
        <is>
          <t>SPE5E9-18-P-2542</t>
        </is>
      </c>
      <c r="E459" t="n">
        <v>5</v>
      </c>
      <c r="F459" t="inlineStr">
        <is>
          <t>HIAB</t>
        </is>
      </c>
      <c r="G459" s="4" t="n">
        <v>43241</v>
      </c>
      <c r="I459" t="inlineStr">
        <is>
          <t>WS-MY23</t>
        </is>
      </c>
      <c r="J459" t="inlineStr">
        <is>
          <t>y</t>
        </is>
      </c>
      <c r="K459" s="232" t="n">
        <v>1548</v>
      </c>
      <c r="L459" s="230" t="n">
        <v>1515.43</v>
      </c>
      <c r="M459" s="232">
        <f>K459-L459</f>
        <v/>
      </c>
      <c r="O459" s="233">
        <f>M459-N459</f>
        <v/>
      </c>
      <c r="P459" s="19">
        <f>(K459/L459)-1</f>
        <v/>
      </c>
    </row>
    <row r="460">
      <c r="A460" t="n">
        <v>24</v>
      </c>
      <c r="B460" t="inlineStr">
        <is>
          <t>SPE7M0-18-V-7892</t>
        </is>
      </c>
      <c r="E460" t="n">
        <v>12</v>
      </c>
      <c r="F460" s="58" t="inlineStr">
        <is>
          <t>Aerofit Waitin for 27 awrd</t>
        </is>
      </c>
      <c r="G460" s="4" t="n">
        <v>43241</v>
      </c>
      <c r="I460" t="inlineStr">
        <is>
          <t>WS-MY24</t>
        </is>
      </c>
      <c r="K460" s="230" t="n">
        <v>215.28</v>
      </c>
      <c r="L460" s="230">
        <f>12*12</f>
        <v/>
      </c>
      <c r="M460" s="232">
        <f>K460-L460</f>
        <v/>
      </c>
      <c r="O460" s="233">
        <f>M460-N460</f>
        <v/>
      </c>
      <c r="P460" s="19">
        <f>(K460/L460)-1</f>
        <v/>
      </c>
    </row>
    <row r="461">
      <c r="A461" t="n">
        <v>25</v>
      </c>
      <c r="B461" s="3" t="inlineStr">
        <is>
          <t>text</t>
        </is>
      </c>
      <c r="E461" t="n">
        <v>58</v>
      </c>
      <c r="F461" s="58" t="inlineStr">
        <is>
          <t>ITT</t>
        </is>
      </c>
      <c r="G461" s="4" t="n">
        <v>43243</v>
      </c>
      <c r="H461" t="n">
        <v>210</v>
      </c>
      <c r="I461" t="inlineStr">
        <is>
          <t>WS-MY25</t>
        </is>
      </c>
      <c r="J461" t="inlineStr">
        <is>
          <t>y</t>
        </is>
      </c>
      <c r="K461" s="256" t="n">
        <v>11294.92</v>
      </c>
      <c r="L461" s="230" t="n">
        <v>10661.56</v>
      </c>
      <c r="M461" s="232">
        <f>K461-L461</f>
        <v/>
      </c>
      <c r="O461" s="233">
        <f>M461-N461</f>
        <v/>
      </c>
      <c r="P461" s="19">
        <f>(K461/L461)-1</f>
        <v/>
      </c>
    </row>
    <row r="462">
      <c r="A462" t="n">
        <v>27</v>
      </c>
      <c r="B462" s="3" t="inlineStr">
        <is>
          <t>SPE5E2-18-V-7779</t>
        </is>
      </c>
      <c r="E462" t="n">
        <v>20</v>
      </c>
      <c r="F462" s="51" t="inlineStr">
        <is>
          <t>AVIBANK from stock</t>
        </is>
      </c>
      <c r="G462" s="4" t="n">
        <v>43244</v>
      </c>
      <c r="H462" t="n">
        <v>210</v>
      </c>
      <c r="J462" t="inlineStr">
        <is>
          <t>y</t>
        </is>
      </c>
      <c r="K462" s="232" t="n">
        <v>4072.8</v>
      </c>
      <c r="L462" s="230" t="n">
        <v>100</v>
      </c>
      <c r="M462" s="232">
        <f>K462-L462</f>
        <v/>
      </c>
      <c r="O462" s="233">
        <f>M462-N462</f>
        <v/>
      </c>
      <c r="P462" s="19">
        <f>(K462/L462)-1</f>
        <v/>
      </c>
    </row>
    <row r="463">
      <c r="A463" t="n">
        <v>28</v>
      </c>
      <c r="B463" t="inlineStr">
        <is>
          <t>SPE4A4-18-V-7707</t>
        </is>
      </c>
      <c r="E463" t="n">
        <v>5</v>
      </c>
      <c r="F463" t="inlineStr">
        <is>
          <t>GEMS</t>
        </is>
      </c>
      <c r="G463" s="4" t="n">
        <v>43244</v>
      </c>
      <c r="H463" t="n">
        <v>160</v>
      </c>
      <c r="I463" t="inlineStr">
        <is>
          <t>WS-MY28</t>
        </is>
      </c>
      <c r="J463" t="inlineStr">
        <is>
          <t>Y</t>
        </is>
      </c>
      <c r="K463" s="232" t="n">
        <v>38647.45</v>
      </c>
      <c r="L463" s="230">
        <f>38000+59.03</f>
        <v/>
      </c>
      <c r="M463" s="232">
        <f>K463-L463</f>
        <v/>
      </c>
      <c r="N463">
        <f>21.32+21.32+21.32</f>
        <v/>
      </c>
      <c r="O463" s="233">
        <f>M463-N463</f>
        <v/>
      </c>
      <c r="P463" s="19">
        <f>(K463/L463)-1</f>
        <v/>
      </c>
    </row>
    <row r="464">
      <c r="A464" t="n">
        <v>29</v>
      </c>
      <c r="B464" t="inlineStr">
        <is>
          <t>SPE7M5-18-V-9186</t>
        </is>
      </c>
      <c r="E464" t="n">
        <v>2</v>
      </c>
      <c r="F464" t="inlineStr">
        <is>
          <t>C&amp;S</t>
        </is>
      </c>
      <c r="G464" s="4" t="n">
        <v>43245</v>
      </c>
      <c r="H464" t="n">
        <v>120</v>
      </c>
      <c r="I464" t="inlineStr">
        <is>
          <t>WS-MY29</t>
        </is>
      </c>
      <c r="J464" t="inlineStr">
        <is>
          <t>y</t>
        </is>
      </c>
      <c r="K464" s="232" t="n">
        <v>813.6</v>
      </c>
      <c r="L464" s="230" t="n">
        <v>769.2</v>
      </c>
      <c r="M464" s="232">
        <f>K464-L464</f>
        <v/>
      </c>
      <c r="O464" s="233">
        <f>M464-N464</f>
        <v/>
      </c>
      <c r="P464" s="19">
        <f>(K464/L464)-1</f>
        <v/>
      </c>
    </row>
    <row r="465">
      <c r="A465" t="n">
        <v>30</v>
      </c>
      <c r="B465" t="inlineStr">
        <is>
          <t>SPE5E4-18-V-7103</t>
        </is>
      </c>
      <c r="E465" t="n">
        <v>26</v>
      </c>
      <c r="F465" s="160" t="inlineStr">
        <is>
          <t>AVIBANK</t>
        </is>
      </c>
      <c r="G465" s="4" t="n">
        <v>43245</v>
      </c>
      <c r="H465" t="n">
        <v>180</v>
      </c>
      <c r="I465" t="inlineStr">
        <is>
          <t>WS-MY30</t>
        </is>
      </c>
      <c r="J465" t="inlineStr">
        <is>
          <t>y</t>
        </is>
      </c>
      <c r="K465" s="232" t="n">
        <v>2908.88</v>
      </c>
      <c r="L465" s="230" t="n">
        <v>3306.5</v>
      </c>
      <c r="M465" s="232">
        <f>K465-L465</f>
        <v/>
      </c>
      <c r="O465" s="233">
        <f>M465-N465</f>
        <v/>
      </c>
      <c r="P465" s="19">
        <f>(K465/L465)-1</f>
        <v/>
      </c>
    </row>
    <row r="466">
      <c r="A466" t="n">
        <v>31</v>
      </c>
      <c r="B466" t="inlineStr">
        <is>
          <t>SPE7M0-18-V-8064</t>
        </is>
      </c>
      <c r="E466" t="n">
        <v>1</v>
      </c>
      <c r="F466" t="inlineStr">
        <is>
          <t>HIAB</t>
        </is>
      </c>
      <c r="G466" s="4" t="n">
        <v>43245</v>
      </c>
      <c r="H466" t="n">
        <v>120</v>
      </c>
      <c r="I466" t="inlineStr">
        <is>
          <t>WS-MY31</t>
        </is>
      </c>
      <c r="J466" t="inlineStr">
        <is>
          <t>y</t>
        </is>
      </c>
      <c r="K466" s="232" t="n">
        <v>484.96</v>
      </c>
      <c r="L466" s="230" t="n">
        <v>445.52</v>
      </c>
      <c r="M466" s="232">
        <f>K466-L466</f>
        <v/>
      </c>
      <c r="O466" s="233">
        <f>M466-N466</f>
        <v/>
      </c>
      <c r="P466" s="19">
        <f>(K466/L466)-1</f>
        <v/>
      </c>
    </row>
    <row r="467">
      <c r="A467" t="n">
        <v>32</v>
      </c>
      <c r="B467" t="inlineStr">
        <is>
          <t>SPE4A4-18-V-7842</t>
        </is>
      </c>
      <c r="E467" t="n">
        <v>21</v>
      </c>
      <c r="F467" t="inlineStr">
        <is>
          <t>East/West</t>
        </is>
      </c>
      <c r="G467" s="4" t="n">
        <v>43249</v>
      </c>
      <c r="H467" t="n">
        <v>180</v>
      </c>
      <c r="I467" t="inlineStr">
        <is>
          <t>WS-MY32</t>
        </is>
      </c>
      <c r="J467" t="inlineStr">
        <is>
          <t>y</t>
        </is>
      </c>
      <c r="K467" s="232" t="n">
        <v>14233.8</v>
      </c>
      <c r="L467" s="233" t="n">
        <v>14011.2</v>
      </c>
      <c r="M467" s="232">
        <f>K467-L467</f>
        <v/>
      </c>
      <c r="N467" s="51">
        <f>27+27+27+32</f>
        <v/>
      </c>
      <c r="O467" s="233">
        <f>M467-N467</f>
        <v/>
      </c>
      <c r="P467" s="19">
        <f>(K467/L467)-1</f>
        <v/>
      </c>
    </row>
    <row r="468">
      <c r="A468" t="n">
        <v>33</v>
      </c>
      <c r="B468" t="inlineStr">
        <is>
          <t>SPE7M1-18-V-9489</t>
        </is>
      </c>
      <c r="E468" t="n">
        <v>23</v>
      </c>
      <c r="F468" t="inlineStr">
        <is>
          <t>Indeeco</t>
        </is>
      </c>
      <c r="G468" s="4" t="n">
        <v>43249</v>
      </c>
      <c r="H468" t="n">
        <v>130</v>
      </c>
      <c r="I468" t="inlineStr">
        <is>
          <t>WS-MY33</t>
        </is>
      </c>
      <c r="J468" t="inlineStr">
        <is>
          <t>y</t>
        </is>
      </c>
      <c r="K468" s="232" t="n">
        <v>2941.47</v>
      </c>
      <c r="L468" s="233" t="n">
        <v>2883.05</v>
      </c>
      <c r="M468" s="232">
        <f>K468-L468</f>
        <v/>
      </c>
      <c r="O468" s="233">
        <f>M468-N468</f>
        <v/>
      </c>
      <c r="P468" s="19">
        <f>(K468/L468)-1</f>
        <v/>
      </c>
    </row>
    <row r="469">
      <c r="A469" t="n">
        <v>34</v>
      </c>
      <c r="B469" t="inlineStr">
        <is>
          <t>SPE4A6-18-V-196C</t>
        </is>
      </c>
      <c r="E469" t="n">
        <v>50</v>
      </c>
      <c r="F469" t="inlineStr">
        <is>
          <t>POWER HEAT</t>
        </is>
      </c>
      <c r="G469" s="4" t="n">
        <v>43249</v>
      </c>
      <c r="H469" t="n">
        <v>120</v>
      </c>
      <c r="I469" t="inlineStr">
        <is>
          <t>WS-MY34</t>
        </is>
      </c>
      <c r="J469" t="inlineStr">
        <is>
          <t>y</t>
        </is>
      </c>
      <c r="K469" s="232" t="n">
        <v>5173</v>
      </c>
      <c r="L469" s="233" t="n">
        <v>4900</v>
      </c>
      <c r="M469" s="232">
        <f>K469-L469</f>
        <v/>
      </c>
      <c r="O469" s="233">
        <f>M469-N469</f>
        <v/>
      </c>
      <c r="P469" s="19">
        <f>(K469/L469)-1</f>
        <v/>
      </c>
    </row>
    <row r="470">
      <c r="A470" t="n">
        <v>35</v>
      </c>
      <c r="B470" t="inlineStr">
        <is>
          <t>SPE7M5-18-V-9229</t>
        </is>
      </c>
      <c r="E470" t="n">
        <v>16</v>
      </c>
      <c r="F470" t="inlineStr">
        <is>
          <t>DRUCK</t>
        </is>
      </c>
      <c r="G470" s="4" t="n">
        <v>43249</v>
      </c>
      <c r="H470" t="n">
        <v>160</v>
      </c>
      <c r="I470" t="inlineStr">
        <is>
          <t>WS-MY35</t>
        </is>
      </c>
      <c r="J470" t="inlineStr">
        <is>
          <t>y</t>
        </is>
      </c>
      <c r="K470" s="232" t="n">
        <v>15594.88</v>
      </c>
      <c r="L470" s="230" t="n">
        <v>15466</v>
      </c>
      <c r="M470" s="232">
        <f>K470-L470</f>
        <v/>
      </c>
      <c r="O470" s="233">
        <f>M470-N470</f>
        <v/>
      </c>
      <c r="P470" s="19">
        <f>(K470/L470)-1</f>
        <v/>
      </c>
    </row>
    <row r="471">
      <c r="A471" t="n">
        <v>36</v>
      </c>
      <c r="B471" t="inlineStr">
        <is>
          <t>SPE7M0-18-V-8133</t>
        </is>
      </c>
      <c r="E471" t="n">
        <v>1</v>
      </c>
      <c r="F471" t="inlineStr">
        <is>
          <t>Sicentific</t>
        </is>
      </c>
      <c r="G471" s="4" t="n">
        <v>43249</v>
      </c>
      <c r="H471" t="n">
        <v>120</v>
      </c>
      <c r="I471" t="inlineStr">
        <is>
          <t>WS-MY36</t>
        </is>
      </c>
      <c r="J471" t="inlineStr">
        <is>
          <t>y</t>
        </is>
      </c>
      <c r="K471" s="232" t="n">
        <v>99.94</v>
      </c>
      <c r="L471" s="230" t="n">
        <v>69.95</v>
      </c>
      <c r="M471" s="232">
        <f>K471-L471</f>
        <v/>
      </c>
      <c r="O471" s="233">
        <f>M471-N471</f>
        <v/>
      </c>
      <c r="P471" s="19">
        <f>(K471/L471)-1</f>
        <v/>
      </c>
    </row>
    <row r="472">
      <c r="A472" t="n">
        <v>37</v>
      </c>
      <c r="B472" s="3" t="inlineStr">
        <is>
          <t>SPE5E9-18-P-2626</t>
        </is>
      </c>
      <c r="E472" t="n">
        <v>20</v>
      </c>
      <c r="F472" s="64" t="inlineStr">
        <is>
          <t>AVIBANK</t>
        </is>
      </c>
      <c r="G472" s="4" t="n">
        <v>43250</v>
      </c>
      <c r="H472" t="n">
        <v>150</v>
      </c>
      <c r="I472" t="inlineStr">
        <is>
          <t>WS-MY37</t>
        </is>
      </c>
      <c r="J472" t="inlineStr">
        <is>
          <t>y</t>
        </is>
      </c>
      <c r="K472" s="232" t="n">
        <v>1484.2</v>
      </c>
      <c r="L472" s="230" t="n">
        <v>1615.5</v>
      </c>
      <c r="M472" s="232">
        <f>K472-L472</f>
        <v/>
      </c>
      <c r="O472" s="233">
        <f>M472-N472</f>
        <v/>
      </c>
      <c r="P472" s="19">
        <f>(K472/L472)-1</f>
        <v/>
      </c>
      <c r="Q472" s="51" t="inlineStr">
        <is>
          <t>5 in stock</t>
        </is>
      </c>
    </row>
    <row r="473">
      <c r="A473" t="n">
        <v>38</v>
      </c>
      <c r="B473" t="inlineStr">
        <is>
          <t>SPE7MC-18-V-7295</t>
        </is>
      </c>
      <c r="E473" t="n">
        <v>7</v>
      </c>
      <c r="F473" t="inlineStr">
        <is>
          <t>GEMS</t>
        </is>
      </c>
      <c r="G473" s="4" t="n">
        <v>43250</v>
      </c>
      <c r="H473" t="n">
        <v>140</v>
      </c>
      <c r="I473" t="inlineStr">
        <is>
          <t>WS-MY38</t>
        </is>
      </c>
      <c r="J473" t="inlineStr">
        <is>
          <t>y</t>
        </is>
      </c>
      <c r="K473" s="232" t="n">
        <v>7093.66</v>
      </c>
      <c r="L473" s="230">
        <f>6965+25.11</f>
        <v/>
      </c>
      <c r="M473" s="232">
        <f>K473-L473</f>
        <v/>
      </c>
      <c r="N473" t="n">
        <v>29.76</v>
      </c>
      <c r="O473" s="233">
        <f>M473-N473</f>
        <v/>
      </c>
      <c r="P473" s="19">
        <f>(K473/L473)-1</f>
        <v/>
      </c>
    </row>
    <row r="474">
      <c r="A474" t="n">
        <v>39</v>
      </c>
      <c r="B474" t="inlineStr">
        <is>
          <t>SPE5EJ-18-V-6017</t>
        </is>
      </c>
      <c r="E474" t="n">
        <v>48</v>
      </c>
      <c r="F474" t="inlineStr">
        <is>
          <t>MAFO</t>
        </is>
      </c>
      <c r="G474" s="4" t="n">
        <v>43250</v>
      </c>
      <c r="H474" t="n">
        <v>140</v>
      </c>
      <c r="I474" t="inlineStr">
        <is>
          <t>WS-MY39</t>
        </is>
      </c>
      <c r="J474" t="inlineStr">
        <is>
          <t>y</t>
        </is>
      </c>
      <c r="K474" s="232" t="n">
        <v>8375.040000000001</v>
      </c>
      <c r="L474" s="230" t="n">
        <v>7921.31</v>
      </c>
      <c r="M474" s="232">
        <f>K474-L474</f>
        <v/>
      </c>
      <c r="O474" s="233">
        <f>M474-N474</f>
        <v/>
      </c>
      <c r="P474" s="19">
        <f>(K474/L474)-1</f>
        <v/>
      </c>
    </row>
    <row r="475">
      <c r="A475" t="n">
        <v>40</v>
      </c>
      <c r="B475" t="inlineStr">
        <is>
          <t>SPE5E8-18-V-6863</t>
        </is>
      </c>
      <c r="E475" t="n">
        <v>6</v>
      </c>
      <c r="F475" t="inlineStr">
        <is>
          <t>C&amp;S</t>
        </is>
      </c>
      <c r="G475" s="4" t="n">
        <v>43251</v>
      </c>
      <c r="H475" t="n">
        <v>140</v>
      </c>
      <c r="I475" t="inlineStr">
        <is>
          <t>WS-MY40</t>
        </is>
      </c>
      <c r="J475" t="inlineStr">
        <is>
          <t>y</t>
        </is>
      </c>
      <c r="K475" s="232" t="n">
        <v>2419.08</v>
      </c>
      <c r="L475" s="230" t="n">
        <v>2370</v>
      </c>
      <c r="M475" s="232">
        <f>K475-L475</f>
        <v/>
      </c>
      <c r="O475" s="233">
        <f>M475-N475</f>
        <v/>
      </c>
      <c r="P475" s="19">
        <f>(K475/L475)-1</f>
        <v/>
      </c>
    </row>
    <row r="476">
      <c r="A476" t="n">
        <v>41</v>
      </c>
      <c r="B476" t="inlineStr">
        <is>
          <t>SPE7L1-18-V-5717</t>
        </is>
      </c>
      <c r="E476" t="n">
        <v>8</v>
      </c>
      <c r="F476" t="inlineStr">
        <is>
          <t>KTSDI</t>
        </is>
      </c>
      <c r="G476" s="4" t="n">
        <v>43251</v>
      </c>
      <c r="H476" t="n">
        <v>120</v>
      </c>
      <c r="I476" t="inlineStr">
        <is>
          <t>WS-MY41</t>
        </is>
      </c>
      <c r="J476" t="inlineStr">
        <is>
          <t>y</t>
        </is>
      </c>
      <c r="K476" s="232" t="n">
        <v>4305.92</v>
      </c>
      <c r="L476" s="230" t="n">
        <v>4232.16</v>
      </c>
      <c r="M476" s="232">
        <f>K476-L476</f>
        <v/>
      </c>
      <c r="N476" s="51">
        <f>37.09+37.09</f>
        <v/>
      </c>
      <c r="O476" s="254">
        <f>M476-N476</f>
        <v/>
      </c>
      <c r="P476" s="19">
        <f>(K476/L476)-1</f>
        <v/>
      </c>
    </row>
    <row r="477">
      <c r="A477" t="n">
        <v>42</v>
      </c>
      <c r="B477" t="inlineStr">
        <is>
          <t>SPE7M1-18-V-9574</t>
        </is>
      </c>
      <c r="E477" t="n">
        <v>49</v>
      </c>
      <c r="F477" s="160" t="inlineStr">
        <is>
          <t>Sicentific</t>
        </is>
      </c>
      <c r="G477" s="4" t="n">
        <v>43251</v>
      </c>
      <c r="H477" t="n">
        <v>60</v>
      </c>
      <c r="I477" t="inlineStr">
        <is>
          <t>WS-MY42</t>
        </is>
      </c>
      <c r="J477" t="inlineStr">
        <is>
          <t>y</t>
        </is>
      </c>
      <c r="K477" s="232" t="n">
        <v>1972.74</v>
      </c>
      <c r="L477" s="230" t="n">
        <v>1897.5</v>
      </c>
      <c r="M477" s="232">
        <f>K477-L477</f>
        <v/>
      </c>
      <c r="O477" s="233">
        <f>M477-N477</f>
        <v/>
      </c>
      <c r="P477" s="19">
        <f>(K477/L477)-1</f>
        <v/>
      </c>
    </row>
    <row r="478">
      <c r="A478" t="n">
        <v>43</v>
      </c>
      <c r="B478" t="inlineStr">
        <is>
          <t>SPE7L2-18-V-1493</t>
        </is>
      </c>
      <c r="E478" t="n">
        <v>1</v>
      </c>
      <c r="F478" t="inlineStr">
        <is>
          <t>KTSDI</t>
        </is>
      </c>
      <c r="G478" s="4" t="n">
        <v>43251</v>
      </c>
      <c r="H478" t="n">
        <v>120</v>
      </c>
      <c r="I478" t="inlineStr">
        <is>
          <t>WS-MY43</t>
        </is>
      </c>
      <c r="J478" t="inlineStr">
        <is>
          <t>y</t>
        </is>
      </c>
      <c r="K478" s="232" t="n">
        <v>2259.62</v>
      </c>
      <c r="L478" s="230" t="n">
        <v>2173.82</v>
      </c>
      <c r="M478" s="232">
        <f>K478-L478</f>
        <v/>
      </c>
      <c r="N478" t="n">
        <v>35.75</v>
      </c>
      <c r="O478" s="233">
        <f>M478-N478</f>
        <v/>
      </c>
      <c r="P478" s="19">
        <f>(K478/L478)-1</f>
        <v/>
      </c>
    </row>
    <row r="479">
      <c r="K479" s="243">
        <f>SUM(K437:K478)</f>
        <v/>
      </c>
      <c r="L479" s="240">
        <f>SUM(L437:L478)</f>
        <v/>
      </c>
      <c r="M479" s="243">
        <f>K479-L479</f>
        <v/>
      </c>
      <c r="O479" s="233">
        <f>M479-N479</f>
        <v/>
      </c>
      <c r="P479" s="92">
        <f>(K479/L479)-1</f>
        <v/>
      </c>
    </row>
    <row r="480">
      <c r="O480" s="233">
        <f>M480-N480</f>
        <v/>
      </c>
      <c r="P480" s="19">
        <f>(K480/L480)-1</f>
        <v/>
      </c>
    </row>
    <row r="481">
      <c r="A481" t="n">
        <v>1</v>
      </c>
      <c r="B481" s="3" t="inlineStr">
        <is>
          <t>SPE5E2-18-V-8004</t>
        </is>
      </c>
      <c r="E481" t="n">
        <v>59</v>
      </c>
      <c r="F481" t="inlineStr">
        <is>
          <t>AVIBANK</t>
        </is>
      </c>
      <c r="G481" s="4" t="n">
        <v>43252</v>
      </c>
      <c r="H481" t="n">
        <v>150</v>
      </c>
      <c r="I481" t="inlineStr">
        <is>
          <t>WS-JU01</t>
        </is>
      </c>
      <c r="J481" t="inlineStr">
        <is>
          <t>y</t>
        </is>
      </c>
      <c r="K481" s="232" t="n">
        <v>6409.76</v>
      </c>
      <c r="L481" s="230" t="n">
        <v>6335.42</v>
      </c>
      <c r="M481" s="232">
        <f>K481-L481</f>
        <v/>
      </c>
      <c r="N481" t="n">
        <v>11.86</v>
      </c>
      <c r="O481" s="233">
        <f>M481-N481</f>
        <v/>
      </c>
      <c r="P481" s="19">
        <f>(K481/L481)-1</f>
        <v/>
      </c>
    </row>
    <row r="482">
      <c r="A482" t="n">
        <v>2</v>
      </c>
      <c r="B482" t="inlineStr">
        <is>
          <t>SPE7L3-18-P-7123</t>
        </is>
      </c>
      <c r="F482" s="51" t="inlineStr">
        <is>
          <t>KTSDI Cancel</t>
        </is>
      </c>
      <c r="G482" s="4" t="n">
        <v>43252</v>
      </c>
      <c r="K482" s="232" t="n">
        <v>0</v>
      </c>
      <c r="L482" s="230" t="n">
        <v>0</v>
      </c>
      <c r="M482" s="232">
        <f>K482-L482</f>
        <v/>
      </c>
      <c r="O482" s="233">
        <f>M482-N482</f>
        <v/>
      </c>
      <c r="P482" s="19">
        <f>(K482/L482)-1</f>
        <v/>
      </c>
    </row>
    <row r="483">
      <c r="A483" t="n">
        <v>3</v>
      </c>
      <c r="B483" t="inlineStr">
        <is>
          <t>SPE7M8-18-V-1542</t>
        </is>
      </c>
      <c r="E483" t="n">
        <v>106</v>
      </c>
      <c r="F483" t="inlineStr">
        <is>
          <t>Cole</t>
        </is>
      </c>
      <c r="G483" s="4" t="n">
        <v>43255</v>
      </c>
      <c r="H483" t="n">
        <v>160</v>
      </c>
      <c r="I483" t="inlineStr">
        <is>
          <t>WS-JU02</t>
        </is>
      </c>
      <c r="J483" t="inlineStr">
        <is>
          <t>y</t>
        </is>
      </c>
      <c r="K483" s="232" t="n">
        <v>23359.22</v>
      </c>
      <c r="L483" s="230" t="n">
        <v>23199.16</v>
      </c>
      <c r="M483" s="232">
        <f>K483-L483</f>
        <v/>
      </c>
      <c r="O483" s="233">
        <f>M483-N483</f>
        <v/>
      </c>
      <c r="P483" s="19">
        <f>(K483/L483)-1</f>
        <v/>
      </c>
    </row>
    <row r="484">
      <c r="A484" t="n">
        <v>4</v>
      </c>
      <c r="B484" s="3" t="inlineStr">
        <is>
          <t>SPE7M4-18-P-3152</t>
        </is>
      </c>
      <c r="E484" t="n">
        <v>1</v>
      </c>
      <c r="F484" t="inlineStr">
        <is>
          <t>PRECEE</t>
        </is>
      </c>
      <c r="G484" s="4" t="n">
        <v>43256</v>
      </c>
      <c r="H484" t="n">
        <v>260</v>
      </c>
      <c r="I484" t="inlineStr">
        <is>
          <t>WS-JU03</t>
        </is>
      </c>
      <c r="J484" t="inlineStr">
        <is>
          <t>y</t>
        </is>
      </c>
      <c r="K484" s="232" t="n">
        <v>16897.46</v>
      </c>
      <c r="L484" s="230" t="n">
        <v>16136</v>
      </c>
      <c r="M484" s="232">
        <f>K484-L484</f>
        <v/>
      </c>
      <c r="O484" s="233">
        <f>M484-N484</f>
        <v/>
      </c>
      <c r="P484" s="19">
        <f>(K484/L484)-1</f>
        <v/>
      </c>
    </row>
    <row r="485">
      <c r="A485" t="n">
        <v>5</v>
      </c>
      <c r="B485" t="inlineStr">
        <is>
          <t>SPE5EJ-18-V-6194</t>
        </is>
      </c>
      <c r="E485" t="n">
        <v>12</v>
      </c>
      <c r="F485" t="inlineStr">
        <is>
          <t>KTSDI</t>
        </is>
      </c>
      <c r="G485" s="4" t="n">
        <v>43256</v>
      </c>
      <c r="H485" t="n">
        <v>120</v>
      </c>
      <c r="I485" t="inlineStr">
        <is>
          <t>WS-JU04</t>
        </is>
      </c>
      <c r="J485" t="inlineStr">
        <is>
          <t>y</t>
        </is>
      </c>
      <c r="K485" s="232" t="n">
        <v>2592</v>
      </c>
      <c r="L485" s="230" t="n">
        <v>2504</v>
      </c>
      <c r="M485" s="232">
        <f>K485-L485</f>
        <v/>
      </c>
      <c r="O485" s="233">
        <f>M485-N485</f>
        <v/>
      </c>
      <c r="P485" s="19">
        <f>(K485/L485)-1</f>
        <v/>
      </c>
    </row>
    <row r="486">
      <c r="A486" t="n">
        <v>6</v>
      </c>
      <c r="B486" t="inlineStr">
        <is>
          <t>SPE7MC-18-V-7504</t>
        </is>
      </c>
      <c r="E486" t="n">
        <v>34</v>
      </c>
      <c r="F486" s="160" t="inlineStr">
        <is>
          <t>Glenair</t>
        </is>
      </c>
      <c r="G486" s="4" t="n">
        <v>43256</v>
      </c>
      <c r="H486" t="n">
        <v>140</v>
      </c>
      <c r="I486" t="inlineStr">
        <is>
          <t>WS-JU06</t>
        </is>
      </c>
      <c r="J486" t="inlineStr">
        <is>
          <t>y</t>
        </is>
      </c>
      <c r="K486" s="232" t="n">
        <v>4240.48</v>
      </c>
      <c r="L486" s="230" t="n">
        <v>4078.3</v>
      </c>
      <c r="M486" s="232">
        <f>K486-L486</f>
        <v/>
      </c>
      <c r="O486" s="233">
        <f>M486-N486</f>
        <v/>
      </c>
      <c r="P486" s="19">
        <f>(K486/L486)-1</f>
        <v/>
      </c>
    </row>
    <row r="487">
      <c r="A487" t="n">
        <v>7</v>
      </c>
      <c r="B487" t="inlineStr">
        <is>
          <t>SPE7MC-18-V-7580</t>
        </is>
      </c>
      <c r="E487" t="n">
        <v>14</v>
      </c>
      <c r="F487" t="inlineStr">
        <is>
          <t>Kern</t>
        </is>
      </c>
      <c r="G487" s="4" t="n">
        <v>43257</v>
      </c>
      <c r="H487" t="n">
        <v>140</v>
      </c>
      <c r="I487" t="inlineStr">
        <is>
          <t>WS-JU07</t>
        </is>
      </c>
      <c r="J487" t="inlineStr">
        <is>
          <t>y</t>
        </is>
      </c>
      <c r="K487" s="232" t="n">
        <v>2159.92</v>
      </c>
      <c r="L487" s="230" t="n">
        <v>2104.2</v>
      </c>
      <c r="M487" s="232">
        <f>K487-L487</f>
        <v/>
      </c>
      <c r="O487" s="233">
        <f>M487-N487</f>
        <v/>
      </c>
      <c r="P487" s="19">
        <f>(K487/L487)-1</f>
        <v/>
      </c>
    </row>
    <row r="488">
      <c r="A488" t="n">
        <v>8</v>
      </c>
      <c r="B488" t="inlineStr">
        <is>
          <t>SPE5EM-18-V-5741</t>
        </is>
      </c>
      <c r="E488" t="n">
        <v>2</v>
      </c>
      <c r="F488" s="160" t="inlineStr">
        <is>
          <t>ACE WIRE SPRING</t>
        </is>
      </c>
      <c r="G488" s="4" t="n">
        <v>43257</v>
      </c>
      <c r="H488" t="n">
        <v>145</v>
      </c>
      <c r="I488" t="inlineStr">
        <is>
          <t>WS-JU08</t>
        </is>
      </c>
      <c r="J488" t="inlineStr">
        <is>
          <t>y</t>
        </is>
      </c>
      <c r="K488" s="232" t="n">
        <v>1225.68</v>
      </c>
      <c r="L488" s="230" t="n">
        <v>1150</v>
      </c>
      <c r="M488" s="232">
        <f>K488-L488</f>
        <v/>
      </c>
      <c r="O488" s="233">
        <f>M488-N488</f>
        <v/>
      </c>
      <c r="P488" s="19">
        <f>(K488/L488)-1</f>
        <v/>
      </c>
    </row>
    <row r="489">
      <c r="A489" t="n">
        <v>9</v>
      </c>
      <c r="B489" t="inlineStr">
        <is>
          <t>SPE7M5-18-V-9614</t>
        </is>
      </c>
      <c r="E489" t="n">
        <v>7</v>
      </c>
      <c r="F489" t="inlineStr">
        <is>
          <t>Glenair</t>
        </is>
      </c>
      <c r="G489" s="4" t="n">
        <v>43257</v>
      </c>
      <c r="H489" t="n">
        <v>140</v>
      </c>
      <c r="I489" t="inlineStr">
        <is>
          <t>WS-JY08</t>
        </is>
      </c>
      <c r="J489" t="inlineStr">
        <is>
          <t>y</t>
        </is>
      </c>
      <c r="K489" s="232" t="n">
        <v>1914.36</v>
      </c>
      <c r="L489" s="255">
        <f>146.12*7</f>
        <v/>
      </c>
      <c r="M489" s="232">
        <f>K489-L489</f>
        <v/>
      </c>
      <c r="O489" s="233">
        <f>M489-N489</f>
        <v/>
      </c>
      <c r="P489" s="19">
        <f>(K489/L489)-1</f>
        <v/>
      </c>
    </row>
    <row r="490">
      <c r="A490" t="n">
        <v>10</v>
      </c>
      <c r="B490" t="inlineStr">
        <is>
          <t>SPE7M5-18-V-9756</t>
        </is>
      </c>
      <c r="E490" t="n">
        <v>68</v>
      </c>
      <c r="F490" t="inlineStr">
        <is>
          <t>Glenair</t>
        </is>
      </c>
      <c r="G490" s="4" t="n">
        <v>43257</v>
      </c>
      <c r="H490" t="n">
        <v>140</v>
      </c>
      <c r="I490" t="inlineStr">
        <is>
          <t>WS-JU10</t>
        </is>
      </c>
      <c r="J490" t="inlineStr">
        <is>
          <t>y</t>
        </is>
      </c>
      <c r="K490" s="232" t="n">
        <v>2800.92</v>
      </c>
      <c r="L490" s="230">
        <f>40.24*68</f>
        <v/>
      </c>
      <c r="M490" s="232">
        <f>K490-L490</f>
        <v/>
      </c>
      <c r="O490" s="233">
        <f>M490-N490</f>
        <v/>
      </c>
      <c r="P490" s="19">
        <f>(K490/L490)-1</f>
        <v/>
      </c>
    </row>
    <row r="491">
      <c r="A491" t="n">
        <v>11</v>
      </c>
      <c r="B491" t="inlineStr">
        <is>
          <t>SPE7MC-18-V-7550</t>
        </is>
      </c>
      <c r="E491" t="n">
        <v>80</v>
      </c>
      <c r="F491" t="inlineStr">
        <is>
          <t>Crane PAR Cancelled</t>
        </is>
      </c>
      <c r="G491" s="4" t="n">
        <v>43257</v>
      </c>
      <c r="K491" s="232" t="n">
        <v>0</v>
      </c>
      <c r="L491" s="230" t="n">
        <v>0</v>
      </c>
      <c r="M491" s="232">
        <f>K491-L491</f>
        <v/>
      </c>
      <c r="O491" s="233">
        <f>M491-N491</f>
        <v/>
      </c>
      <c r="P491" s="19">
        <f>(K491/L491)-1</f>
        <v/>
      </c>
    </row>
    <row r="492">
      <c r="A492" t="n">
        <v>12</v>
      </c>
      <c r="B492" t="inlineStr">
        <is>
          <t>SPE7M5-18-V-9726</t>
        </is>
      </c>
      <c r="E492" t="n">
        <v>90</v>
      </c>
      <c r="F492" s="160" t="inlineStr">
        <is>
          <t>Glenair</t>
        </is>
      </c>
      <c r="G492" s="4" t="n">
        <v>43257</v>
      </c>
      <c r="H492" t="n">
        <v>140</v>
      </c>
      <c r="I492" t="inlineStr">
        <is>
          <t>WS-JU12</t>
        </is>
      </c>
      <c r="J492" t="inlineStr">
        <is>
          <t>y</t>
        </is>
      </c>
      <c r="K492" s="232" t="n">
        <v>3808.8</v>
      </c>
      <c r="L492" s="230" t="n">
        <v>3796</v>
      </c>
      <c r="M492" s="232">
        <f>K492-L492</f>
        <v/>
      </c>
      <c r="O492" s="233">
        <f>M492-N492</f>
        <v/>
      </c>
      <c r="P492" s="19">
        <f>(K492/L492)-1</f>
        <v/>
      </c>
    </row>
    <row r="493">
      <c r="A493" t="n">
        <v>13</v>
      </c>
      <c r="B493" t="inlineStr">
        <is>
          <t>SPE5EJ-18-V-6376</t>
        </is>
      </c>
      <c r="E493" t="n">
        <v>20</v>
      </c>
      <c r="F493" t="inlineStr">
        <is>
          <t>MORRIS</t>
        </is>
      </c>
      <c r="G493" s="4" t="n">
        <v>43258</v>
      </c>
      <c r="H493" t="n">
        <v>140</v>
      </c>
      <c r="I493" t="inlineStr">
        <is>
          <t>WS-JU13</t>
        </is>
      </c>
      <c r="J493" t="inlineStr">
        <is>
          <t>y</t>
        </is>
      </c>
      <c r="K493" s="232" t="n">
        <v>7448</v>
      </c>
      <c r="L493" s="230" t="n">
        <v>7336</v>
      </c>
      <c r="M493" s="232">
        <f>K493-L493</f>
        <v/>
      </c>
      <c r="O493" s="233">
        <f>M493-N493</f>
        <v/>
      </c>
      <c r="P493" s="19">
        <f>(K493/L493)-1</f>
        <v/>
      </c>
    </row>
    <row r="494">
      <c r="A494" t="n">
        <v>14</v>
      </c>
      <c r="B494" t="inlineStr">
        <is>
          <t>SPE5E9-18-V-4717</t>
        </is>
      </c>
      <c r="E494" t="n">
        <v>90</v>
      </c>
      <c r="F494" t="inlineStr">
        <is>
          <t>AVIBANK Cancelled</t>
        </is>
      </c>
      <c r="G494" s="4" t="n">
        <v>43258</v>
      </c>
      <c r="H494" t="n">
        <v>240</v>
      </c>
      <c r="K494" s="232" t="n">
        <v>0</v>
      </c>
      <c r="L494" s="230" t="n">
        <v>0</v>
      </c>
      <c r="M494" s="232">
        <f>K494-L494</f>
        <v/>
      </c>
      <c r="O494" s="233">
        <f>M494-N494</f>
        <v/>
      </c>
      <c r="P494" s="19">
        <f>(K494/L494)-1</f>
        <v/>
      </c>
    </row>
    <row r="495">
      <c r="A495" t="n">
        <v>15</v>
      </c>
      <c r="B495" t="inlineStr">
        <is>
          <t>SPE5EK-18-P-1852</t>
        </is>
      </c>
      <c r="E495" t="n">
        <v>1</v>
      </c>
      <c r="F495" t="inlineStr">
        <is>
          <t>FLOWLINS</t>
        </is>
      </c>
      <c r="G495" s="4" t="n">
        <v>43258</v>
      </c>
      <c r="H495" t="n">
        <v>120</v>
      </c>
      <c r="I495" t="inlineStr">
        <is>
          <t>WS-JU15</t>
        </is>
      </c>
      <c r="J495" t="inlineStr">
        <is>
          <t>y</t>
        </is>
      </c>
      <c r="K495" s="232" t="n">
        <v>447.8</v>
      </c>
      <c r="L495" s="230" t="n">
        <v>405.9</v>
      </c>
      <c r="M495" s="232">
        <f>K495-L495</f>
        <v/>
      </c>
      <c r="P495" s="19">
        <f>(K495/L495)-1</f>
        <v/>
      </c>
    </row>
    <row r="496">
      <c r="A496" t="n">
        <v>16</v>
      </c>
      <c r="B496" t="inlineStr">
        <is>
          <t>SPE7M8-18-V-1582</t>
        </is>
      </c>
      <c r="E496" t="n">
        <v>18</v>
      </c>
      <c r="F496" t="inlineStr">
        <is>
          <t>GEMS</t>
        </is>
      </c>
      <c r="G496" s="4" t="n">
        <v>43259</v>
      </c>
      <c r="H496" t="n">
        <v>130</v>
      </c>
      <c r="I496" t="inlineStr">
        <is>
          <t>WS-JU16</t>
        </is>
      </c>
      <c r="J496" t="inlineStr">
        <is>
          <t>y</t>
        </is>
      </c>
      <c r="K496" s="232" t="n">
        <v>16642.44</v>
      </c>
      <c r="L496" s="230">
        <f>16380+25.18</f>
        <v/>
      </c>
      <c r="M496" s="232">
        <f>K496-L496</f>
        <v/>
      </c>
      <c r="N496" t="n">
        <v>30.09</v>
      </c>
      <c r="P496" s="19">
        <f>(K496/L496)-1</f>
        <v/>
      </c>
    </row>
    <row r="497">
      <c r="A497" t="n">
        <v>17</v>
      </c>
      <c r="B497" t="inlineStr">
        <is>
          <t>SPE7M5-18-V-9842</t>
        </is>
      </c>
      <c r="E497" t="n">
        <v>12</v>
      </c>
      <c r="F497" t="inlineStr">
        <is>
          <t>Glenair</t>
        </is>
      </c>
      <c r="G497" s="4" t="n">
        <v>43259</v>
      </c>
      <c r="H497" t="n">
        <v>150</v>
      </c>
      <c r="I497" t="inlineStr">
        <is>
          <t>WS-JU17</t>
        </is>
      </c>
      <c r="J497" t="inlineStr">
        <is>
          <t>y</t>
        </is>
      </c>
      <c r="K497" s="232" t="n">
        <v>4427.04</v>
      </c>
      <c r="L497" s="230" t="n">
        <v>4399.44</v>
      </c>
      <c r="M497" s="232">
        <f>K497-L497</f>
        <v/>
      </c>
      <c r="P497" s="19">
        <f>(K497/L497)-1</f>
        <v/>
      </c>
    </row>
    <row r="498">
      <c r="A498" t="n">
        <v>18</v>
      </c>
      <c r="B498" t="inlineStr">
        <is>
          <t>SPE7M4-18-P-3211</t>
        </is>
      </c>
      <c r="E498" t="n">
        <v>11</v>
      </c>
      <c r="F498" t="inlineStr">
        <is>
          <t>PRECEE</t>
        </is>
      </c>
      <c r="G498" s="4" t="n">
        <v>43262</v>
      </c>
      <c r="H498" t="n">
        <v>280</v>
      </c>
      <c r="I498" t="inlineStr">
        <is>
          <t>WS-JU18</t>
        </is>
      </c>
      <c r="K498" s="232" t="n">
        <v>0</v>
      </c>
      <c r="L498" s="230" t="n">
        <v>0</v>
      </c>
      <c r="M498" s="232">
        <f>K498-L498</f>
        <v/>
      </c>
      <c r="P498" s="19">
        <f>(K498/L498)-1</f>
        <v/>
      </c>
    </row>
    <row r="499">
      <c r="A499" t="n">
        <v>19</v>
      </c>
      <c r="B499" s="3" t="inlineStr">
        <is>
          <t>SPE7M4-18-V-5312</t>
        </is>
      </c>
      <c r="E499" t="n">
        <v>5</v>
      </c>
      <c r="F499" t="inlineStr">
        <is>
          <t>PRECEE</t>
        </is>
      </c>
      <c r="G499" s="4" t="n">
        <v>43262</v>
      </c>
      <c r="H499" t="n">
        <v>280</v>
      </c>
      <c r="I499" t="inlineStr">
        <is>
          <t>WS-JU19</t>
        </is>
      </c>
      <c r="J499" t="inlineStr">
        <is>
          <t>y</t>
        </is>
      </c>
      <c r="K499" s="232" t="n">
        <v>79973.5</v>
      </c>
      <c r="L499" s="230">
        <f>15623*5</f>
        <v/>
      </c>
      <c r="M499" s="232">
        <f>K499-L499</f>
        <v/>
      </c>
      <c r="P499" s="19">
        <f>(K499/L499)-1</f>
        <v/>
      </c>
    </row>
    <row r="500">
      <c r="A500" t="n">
        <v>20</v>
      </c>
      <c r="B500" t="inlineStr">
        <is>
          <t>SPE7M3-18-V-4255</t>
        </is>
      </c>
      <c r="E500" t="n">
        <v>114</v>
      </c>
      <c r="F500" t="inlineStr">
        <is>
          <t>Aerofit</t>
        </is>
      </c>
      <c r="G500" s="4" t="n">
        <v>43262</v>
      </c>
      <c r="H500" t="n">
        <v>200</v>
      </c>
      <c r="I500" t="inlineStr">
        <is>
          <t>WS-JU20</t>
        </is>
      </c>
      <c r="J500" t="inlineStr">
        <is>
          <t>y</t>
        </is>
      </c>
      <c r="K500" s="232" t="n">
        <v>26436.6</v>
      </c>
      <c r="L500" s="230" t="n">
        <v>25997.7</v>
      </c>
      <c r="M500" s="232">
        <f>K500-L500</f>
        <v/>
      </c>
      <c r="P500" s="19">
        <f>(K500/L500)-1</f>
        <v/>
      </c>
    </row>
    <row r="501">
      <c r="A501" t="n">
        <v>21</v>
      </c>
      <c r="B501" t="inlineStr">
        <is>
          <t>SPE4A4-18-V-8421</t>
        </is>
      </c>
      <c r="E501" t="n">
        <v>16</v>
      </c>
      <c r="F501" t="inlineStr">
        <is>
          <t>GEMS</t>
        </is>
      </c>
      <c r="G501" s="4" t="n">
        <v>43263</v>
      </c>
      <c r="H501" t="n">
        <v>100</v>
      </c>
      <c r="I501" t="inlineStr">
        <is>
          <t>WS-JU21</t>
        </is>
      </c>
      <c r="J501" t="inlineStr">
        <is>
          <t>y</t>
        </is>
      </c>
      <c r="K501" s="232" t="n">
        <v>9737.120000000001</v>
      </c>
      <c r="L501" s="230">
        <f>9520+41.21</f>
        <v/>
      </c>
      <c r="M501" s="232">
        <f>K501-L501</f>
        <v/>
      </c>
      <c r="N501" t="n">
        <v>46.44</v>
      </c>
      <c r="P501" s="19">
        <f>(K501/L501)-1</f>
        <v/>
      </c>
    </row>
    <row r="502">
      <c r="A502" t="n">
        <v>22</v>
      </c>
      <c r="B502" t="inlineStr">
        <is>
          <t>SPE4A6-18-V-257J</t>
        </is>
      </c>
      <c r="E502" t="n">
        <v>70</v>
      </c>
      <c r="F502" t="inlineStr">
        <is>
          <t>Total Temperature</t>
        </is>
      </c>
      <c r="G502" s="4" t="n">
        <v>43264</v>
      </c>
      <c r="H502" t="n">
        <v>140</v>
      </c>
      <c r="I502" t="inlineStr">
        <is>
          <t>WS-JU22</t>
        </is>
      </c>
      <c r="J502" t="inlineStr">
        <is>
          <t>y</t>
        </is>
      </c>
      <c r="K502" s="232" t="n">
        <v>18461.8</v>
      </c>
      <c r="L502" s="230" t="n">
        <v>18137.7</v>
      </c>
      <c r="M502" s="232">
        <f>K502-L502</f>
        <v/>
      </c>
      <c r="N502" t="n">
        <v>46.16</v>
      </c>
      <c r="P502" s="19">
        <f>(K502/L502)-1</f>
        <v/>
      </c>
    </row>
    <row r="503">
      <c r="A503" t="n">
        <v>23</v>
      </c>
      <c r="B503" t="inlineStr">
        <is>
          <t>SPE7M8-18-V-1663</t>
        </is>
      </c>
      <c r="E503" t="n">
        <v>5</v>
      </c>
      <c r="F503" t="inlineStr">
        <is>
          <t>GEMS</t>
        </is>
      </c>
      <c r="G503" s="4" t="n">
        <v>43264</v>
      </c>
      <c r="H503" t="n">
        <v>120</v>
      </c>
      <c r="I503" t="inlineStr">
        <is>
          <t>WS-JU23</t>
        </is>
      </c>
      <c r="J503" t="inlineStr">
        <is>
          <t>y</t>
        </is>
      </c>
      <c r="K503" s="232" t="n">
        <v>2618.1</v>
      </c>
      <c r="L503" s="230">
        <f>2535+20.25</f>
        <v/>
      </c>
      <c r="M503" s="232">
        <f>K503-L503</f>
        <v/>
      </c>
      <c r="N503" t="n">
        <v>21.32</v>
      </c>
      <c r="P503" s="19">
        <f>(K503/L503)-1</f>
        <v/>
      </c>
    </row>
    <row r="504">
      <c r="A504" t="n">
        <v>24</v>
      </c>
      <c r="B504" t="inlineStr">
        <is>
          <t>SPE7M9-18-V-0722</t>
        </is>
      </c>
      <c r="E504" t="n">
        <v>8</v>
      </c>
      <c r="F504" s="161" t="inlineStr">
        <is>
          <t>Glenair mod with 4 added</t>
        </is>
      </c>
      <c r="G504" s="4" t="n">
        <v>43266</v>
      </c>
      <c r="H504" t="n">
        <v>130</v>
      </c>
      <c r="I504" s="51" t="inlineStr">
        <is>
          <t>WSI-A42</t>
        </is>
      </c>
      <c r="J504" t="inlineStr">
        <is>
          <t>y</t>
        </is>
      </c>
      <c r="K504" s="232" t="n">
        <v>33825.28</v>
      </c>
      <c r="L504" s="230" t="n">
        <v>29022.6</v>
      </c>
      <c r="M504" s="232">
        <f>K504-L504</f>
        <v/>
      </c>
      <c r="P504" s="19">
        <f>(K504/L504)-1</f>
        <v/>
      </c>
    </row>
    <row r="505">
      <c r="A505" t="n">
        <v>25</v>
      </c>
      <c r="B505" t="inlineStr">
        <is>
          <t>SPE5E0-18-V-4254</t>
        </is>
      </c>
      <c r="E505" t="n">
        <v>11</v>
      </c>
      <c r="F505" t="inlineStr">
        <is>
          <t>GRISWOLD</t>
        </is>
      </c>
      <c r="G505" s="4" t="n">
        <v>43266</v>
      </c>
      <c r="H505" t="n">
        <v>60</v>
      </c>
      <c r="I505" t="inlineStr">
        <is>
          <t>WS-JU25</t>
        </is>
      </c>
      <c r="J505" t="inlineStr">
        <is>
          <t>y</t>
        </is>
      </c>
      <c r="K505" s="232" t="n">
        <v>152.79</v>
      </c>
      <c r="L505" s="230" t="n">
        <v>110</v>
      </c>
      <c r="M505" s="232">
        <f>K505-L505</f>
        <v/>
      </c>
      <c r="P505" s="19">
        <f>(K505/L505)-1</f>
        <v/>
      </c>
    </row>
    <row r="506">
      <c r="A506" t="n">
        <v>26</v>
      </c>
      <c r="B506" t="inlineStr">
        <is>
          <t>SPE4A4-18-V-8695</t>
        </is>
      </c>
      <c r="E506" t="n">
        <v>1</v>
      </c>
      <c r="F506" t="inlineStr">
        <is>
          <t>GEMS Long Box</t>
        </is>
      </c>
      <c r="G506" s="4" t="n">
        <v>43269</v>
      </c>
      <c r="H506" t="n">
        <v>120</v>
      </c>
      <c r="I506" t="inlineStr">
        <is>
          <t>WS-JU26</t>
        </is>
      </c>
      <c r="J506" t="inlineStr">
        <is>
          <t>y</t>
        </is>
      </c>
      <c r="K506" s="232" t="n">
        <v>1372.8</v>
      </c>
      <c r="L506" s="230">
        <f>1316+38.97</f>
        <v/>
      </c>
      <c r="M506" s="232">
        <f>K506-L506</f>
        <v/>
      </c>
      <c r="N506" t="n">
        <v>40</v>
      </c>
      <c r="P506" s="19">
        <f>(K506/L506)-1</f>
        <v/>
      </c>
    </row>
    <row r="507">
      <c r="A507" t="n">
        <v>27</v>
      </c>
      <c r="B507" t="inlineStr">
        <is>
          <t>SPE7M9-18-V-0914</t>
        </is>
      </c>
      <c r="E507" t="n">
        <v>24</v>
      </c>
      <c r="F507" t="inlineStr">
        <is>
          <t>HIAB</t>
        </is>
      </c>
      <c r="G507" s="4" t="n">
        <v>43269</v>
      </c>
      <c r="H507" t="n">
        <v>140</v>
      </c>
      <c r="I507" t="inlineStr">
        <is>
          <t>WS-JU27</t>
        </is>
      </c>
      <c r="K507" s="232" t="n">
        <v>10673.28</v>
      </c>
      <c r="L507" s="230" t="n">
        <v>10488.32</v>
      </c>
      <c r="M507" s="232">
        <f>K507-L507</f>
        <v/>
      </c>
      <c r="P507" s="19">
        <f>(K507/L507)-1</f>
        <v/>
      </c>
    </row>
    <row r="508">
      <c r="A508" t="n">
        <v>28</v>
      </c>
      <c r="B508" t="inlineStr">
        <is>
          <t>SPE7M5-18-P-B343</t>
        </is>
      </c>
      <c r="E508" t="n">
        <v>42</v>
      </c>
      <c r="F508" t="inlineStr">
        <is>
          <t>Glenair</t>
        </is>
      </c>
      <c r="G508" s="4" t="n">
        <v>43269</v>
      </c>
      <c r="H508" t="n">
        <v>140</v>
      </c>
      <c r="I508" t="inlineStr">
        <is>
          <t>WS-JU28</t>
        </is>
      </c>
      <c r="J508" t="inlineStr">
        <is>
          <t>y</t>
        </is>
      </c>
      <c r="K508" s="232" t="n">
        <v>7504.98</v>
      </c>
      <c r="L508" s="230" t="n">
        <v>7378</v>
      </c>
      <c r="M508" s="232">
        <f>K508-L508</f>
        <v/>
      </c>
      <c r="P508" s="19">
        <f>(K508/L508)-1</f>
        <v/>
      </c>
    </row>
    <row r="509">
      <c r="A509" t="n">
        <v>29</v>
      </c>
      <c r="B509" s="3" t="inlineStr">
        <is>
          <t>SPE7M4-18-V-5486</t>
        </is>
      </c>
      <c r="E509" t="n">
        <v>2</v>
      </c>
      <c r="F509" t="inlineStr">
        <is>
          <t>PREECE</t>
        </is>
      </c>
      <c r="G509" s="4" t="n">
        <v>43269</v>
      </c>
      <c r="H509" t="n">
        <v>240</v>
      </c>
      <c r="I509" t="inlineStr">
        <is>
          <t>WS-JU29</t>
        </is>
      </c>
      <c r="K509" s="232" t="n">
        <v>13768</v>
      </c>
      <c r="L509" s="230" t="n">
        <v>13060</v>
      </c>
      <c r="M509" s="232">
        <f>K509-L509</f>
        <v/>
      </c>
      <c r="P509" s="19">
        <f>(K509/L509)-1</f>
        <v/>
      </c>
    </row>
    <row r="510">
      <c r="A510" t="n">
        <v>30</v>
      </c>
      <c r="B510" t="inlineStr">
        <is>
          <t>SPE4A4-18-V-8788</t>
        </is>
      </c>
      <c r="E510" t="n">
        <v>9</v>
      </c>
      <c r="F510" s="51" t="inlineStr">
        <is>
          <t>GEMS Long Box</t>
        </is>
      </c>
      <c r="G510" s="4" t="n">
        <v>43270</v>
      </c>
      <c r="H510" t="n">
        <v>140</v>
      </c>
      <c r="I510" t="inlineStr">
        <is>
          <t>WS-JU30</t>
        </is>
      </c>
      <c r="J510" t="inlineStr">
        <is>
          <t>y</t>
        </is>
      </c>
      <c r="K510" s="232" t="n">
        <v>15898.95</v>
      </c>
      <c r="L510" s="230">
        <f>15318+141.09</f>
        <v/>
      </c>
      <c r="M510" s="232">
        <f>K510-L510</f>
        <v/>
      </c>
      <c r="N510" s="255" t="n">
        <v>158.1</v>
      </c>
      <c r="O510" s="233">
        <f>+M510-N510</f>
        <v/>
      </c>
      <c r="P510" s="19">
        <f>(K510/L510)-1</f>
        <v/>
      </c>
    </row>
    <row r="511">
      <c r="A511" t="n">
        <v>31</v>
      </c>
      <c r="B511" t="inlineStr">
        <is>
          <t>SPE7M1-18-V-017B</t>
        </is>
      </c>
      <c r="E511" t="n">
        <v>73</v>
      </c>
      <c r="F511" t="inlineStr">
        <is>
          <t>MORPAC PAR Mod</t>
        </is>
      </c>
      <c r="G511" s="4" t="n">
        <v>43270</v>
      </c>
      <c r="I511" s="51" t="inlineStr">
        <is>
          <t>WS-JU31</t>
        </is>
      </c>
      <c r="K511" s="257" t="n">
        <v>2260.08</v>
      </c>
      <c r="L511" s="255" t="n">
        <v>2176.13</v>
      </c>
      <c r="M511" s="232">
        <f>K511-L511</f>
        <v/>
      </c>
      <c r="P511" s="19">
        <f>(K511/L511)-1</f>
        <v/>
      </c>
    </row>
    <row r="512">
      <c r="A512" t="n">
        <v>32</v>
      </c>
      <c r="B512" t="inlineStr">
        <is>
          <t>SPE7MC-18-V-8087</t>
        </is>
      </c>
      <c r="E512" t="n">
        <v>8</v>
      </c>
      <c r="F512" t="inlineStr">
        <is>
          <t>Glenair</t>
        </is>
      </c>
      <c r="G512" s="4" t="n">
        <v>43270</v>
      </c>
      <c r="I512" t="inlineStr">
        <is>
          <t>WS-JU32</t>
        </is>
      </c>
      <c r="K512" s="232" t="n">
        <v>990.96</v>
      </c>
      <c r="L512" s="230" t="n">
        <v>968.2</v>
      </c>
      <c r="M512" s="232">
        <f>K512-L512</f>
        <v/>
      </c>
      <c r="P512" s="19">
        <f>(K512/L512)-1</f>
        <v/>
      </c>
    </row>
    <row r="513">
      <c r="A513" t="n">
        <v>33</v>
      </c>
      <c r="B513" t="inlineStr">
        <is>
          <t>SPE7M5-18-P-B604</t>
        </is>
      </c>
      <c r="E513" t="n">
        <v>3</v>
      </c>
      <c r="F513" t="inlineStr">
        <is>
          <t>GEMS</t>
        </is>
      </c>
      <c r="G513" s="4" t="n">
        <v>43270</v>
      </c>
      <c r="H513" t="n">
        <v>130</v>
      </c>
      <c r="I513" t="inlineStr">
        <is>
          <t>WS-JU33</t>
        </is>
      </c>
      <c r="J513" t="inlineStr">
        <is>
          <t>y</t>
        </is>
      </c>
      <c r="K513" s="232" t="n">
        <v>6276.24</v>
      </c>
      <c r="L513" s="230">
        <f>6162+22.67</f>
        <v/>
      </c>
      <c r="M513" s="232">
        <f>K513-L513</f>
        <v/>
      </c>
      <c r="P513" s="19">
        <f>(K513/L513)-1</f>
        <v/>
      </c>
    </row>
    <row r="514">
      <c r="A514" t="n">
        <v>34</v>
      </c>
      <c r="B514" s="3" t="inlineStr">
        <is>
          <t>SPE4A6-18-V-284Z</t>
        </is>
      </c>
      <c r="E514" t="n">
        <v>11</v>
      </c>
      <c r="F514" t="inlineStr">
        <is>
          <t>AVIBANK</t>
        </is>
      </c>
      <c r="G514" s="4" t="n">
        <v>43270</v>
      </c>
      <c r="H514" t="n">
        <v>170</v>
      </c>
      <c r="I514" t="inlineStr">
        <is>
          <t>WS-JU34</t>
        </is>
      </c>
      <c r="K514" s="232" t="n">
        <v>900.13</v>
      </c>
      <c r="L514" s="255" t="n">
        <v>834.6799999999999</v>
      </c>
      <c r="M514" s="232">
        <f>K514-L514</f>
        <v/>
      </c>
      <c r="P514" s="19">
        <f>(K514/L514)-1</f>
        <v/>
      </c>
    </row>
    <row r="515">
      <c r="A515" t="n">
        <v>35</v>
      </c>
      <c r="B515" t="inlineStr">
        <is>
          <t>SPE7M5-18-P-B598</t>
        </is>
      </c>
      <c r="E515" t="n">
        <v>3</v>
      </c>
      <c r="F515" t="inlineStr">
        <is>
          <t>INDECO</t>
        </is>
      </c>
      <c r="G515" s="4" t="n">
        <v>43270</v>
      </c>
      <c r="H515" t="n">
        <v>120</v>
      </c>
      <c r="I515" t="inlineStr">
        <is>
          <t>WS-JU35</t>
        </is>
      </c>
      <c r="J515" t="inlineStr">
        <is>
          <t>y</t>
        </is>
      </c>
      <c r="K515" s="232" t="n">
        <v>757.95</v>
      </c>
      <c r="L515" s="230" t="n">
        <v>713.85</v>
      </c>
      <c r="M515" s="232">
        <f>K515-L515</f>
        <v/>
      </c>
      <c r="P515" s="19">
        <f>(K515/L515)-1</f>
        <v/>
      </c>
    </row>
    <row r="516">
      <c r="A516" t="n">
        <v>36</v>
      </c>
      <c r="B516" t="inlineStr">
        <is>
          <t>SPE4A4-18-V-8870</t>
        </is>
      </c>
      <c r="E516" t="n">
        <v>10</v>
      </c>
      <c r="F516" t="inlineStr">
        <is>
          <t>GEMS</t>
        </is>
      </c>
      <c r="G516" s="4" t="n">
        <v>43271</v>
      </c>
      <c r="H516" t="n">
        <v>120</v>
      </c>
      <c r="I516" t="inlineStr">
        <is>
          <t>WS-JU36</t>
        </is>
      </c>
      <c r="J516" t="inlineStr">
        <is>
          <t>y</t>
        </is>
      </c>
      <c r="K516" s="232" t="n">
        <v>14317.4</v>
      </c>
      <c r="L516" s="230">
        <f>13950+86.2</f>
        <v/>
      </c>
      <c r="M516" s="232">
        <f>K516-L516</f>
        <v/>
      </c>
      <c r="N516" s="51">
        <f>47.68+47.68</f>
        <v/>
      </c>
      <c r="P516" s="19">
        <f>(K516/L516)-1</f>
        <v/>
      </c>
    </row>
    <row r="517">
      <c r="A517" t="n">
        <v>37</v>
      </c>
      <c r="B517" t="inlineStr">
        <is>
          <t>SPE5EM-18-V-6151</t>
        </is>
      </c>
      <c r="E517" t="n">
        <v>5</v>
      </c>
      <c r="F517" t="inlineStr">
        <is>
          <t>ACE WIRE SPRING</t>
        </is>
      </c>
      <c r="G517" s="4" t="n">
        <v>43271</v>
      </c>
      <c r="H517" t="n">
        <v>120</v>
      </c>
      <c r="I517" t="inlineStr">
        <is>
          <t>WS-JU08</t>
        </is>
      </c>
      <c r="J517" t="inlineStr">
        <is>
          <t>y</t>
        </is>
      </c>
      <c r="K517" s="232" t="n">
        <v>2864.6</v>
      </c>
      <c r="L517" s="230">
        <f>575*8</f>
        <v/>
      </c>
      <c r="M517" s="232">
        <f>K517-L517</f>
        <v/>
      </c>
      <c r="P517" s="19">
        <f>(K517/L517)-1</f>
        <v/>
      </c>
    </row>
    <row r="518">
      <c r="A518" t="n">
        <v>38</v>
      </c>
      <c r="B518" t="inlineStr">
        <is>
          <t>SPE7MC-18-V-8118</t>
        </is>
      </c>
      <c r="E518" t="n">
        <v>14</v>
      </c>
      <c r="F518" t="inlineStr">
        <is>
          <t>Indeeco</t>
        </is>
      </c>
      <c r="G518" s="4" t="n">
        <v>43271</v>
      </c>
      <c r="H518" t="n">
        <v>120</v>
      </c>
      <c r="I518" t="inlineStr">
        <is>
          <t>WS-JU38</t>
        </is>
      </c>
      <c r="J518" t="inlineStr">
        <is>
          <t>y</t>
        </is>
      </c>
      <c r="K518" s="232" t="n">
        <v>1726.2</v>
      </c>
      <c r="L518" s="230" t="n">
        <v>1680</v>
      </c>
      <c r="M518" s="232">
        <f>K518-L518</f>
        <v/>
      </c>
      <c r="P518" s="19">
        <f>(K518/L518)-1</f>
        <v/>
      </c>
    </row>
    <row r="519">
      <c r="A519" t="n">
        <v>39</v>
      </c>
      <c r="B519" t="inlineStr">
        <is>
          <t>SPE7MC-18-V-8185</t>
        </is>
      </c>
      <c r="E519" t="n">
        <v>3</v>
      </c>
      <c r="F519" t="inlineStr">
        <is>
          <t>Flowline</t>
        </is>
      </c>
      <c r="G519" s="4" t="n">
        <v>43271</v>
      </c>
      <c r="H519" t="n">
        <v>120</v>
      </c>
      <c r="I519" t="inlineStr">
        <is>
          <t>WS-JU39</t>
        </is>
      </c>
      <c r="J519" t="inlineStr">
        <is>
          <t>y</t>
        </is>
      </c>
      <c r="K519" s="232" t="n">
        <v>689.61</v>
      </c>
      <c r="L519" s="230" t="n">
        <v>627.75</v>
      </c>
      <c r="M519" s="232">
        <f>K519-L519</f>
        <v/>
      </c>
      <c r="P519" s="19">
        <f>(K519/L519)-1</f>
        <v/>
      </c>
    </row>
    <row r="520">
      <c r="A520" t="n">
        <v>40</v>
      </c>
      <c r="B520" t="inlineStr">
        <is>
          <t>SPE7M5-18-V-015F</t>
        </is>
      </c>
      <c r="E520" t="n">
        <v>2</v>
      </c>
      <c r="F520" t="inlineStr">
        <is>
          <t>Glenair Cancelled</t>
        </is>
      </c>
      <c r="G520" s="4" t="n">
        <v>43271</v>
      </c>
      <c r="K520" s="232" t="n">
        <v>0</v>
      </c>
      <c r="L520" s="230" t="n">
        <v>0</v>
      </c>
      <c r="M520" s="232">
        <f>K520-L520</f>
        <v/>
      </c>
      <c r="P520" s="19">
        <f>(K520/L520)-1</f>
        <v/>
      </c>
    </row>
    <row r="521">
      <c r="A521" t="n">
        <v>41</v>
      </c>
      <c r="B521" t="inlineStr">
        <is>
          <t>SPE7M8-18-P-2873</t>
        </is>
      </c>
      <c r="E521" t="n">
        <v>3</v>
      </c>
      <c r="F521" t="inlineStr">
        <is>
          <t>GEMS</t>
        </is>
      </c>
      <c r="G521" s="4" t="n">
        <v>43272</v>
      </c>
      <c r="H521" t="n">
        <v>120</v>
      </c>
      <c r="I521" t="inlineStr">
        <is>
          <t>WS-JU41</t>
        </is>
      </c>
      <c r="J521" t="inlineStr">
        <is>
          <t>y</t>
        </is>
      </c>
      <c r="K521" s="232" t="n">
        <v>10799.46</v>
      </c>
      <c r="L521" s="230">
        <f>10605+23.63</f>
        <v/>
      </c>
      <c r="M521" s="232">
        <f>K521-L521</f>
        <v/>
      </c>
      <c r="P521" s="19">
        <f>(K521/L521)-1</f>
        <v/>
      </c>
    </row>
    <row r="522">
      <c r="A522" t="n">
        <v>42</v>
      </c>
      <c r="B522" t="inlineStr">
        <is>
          <t>SPE5EJ-18-V-6762</t>
        </is>
      </c>
      <c r="E522" t="n">
        <v>49</v>
      </c>
      <c r="F522" t="inlineStr">
        <is>
          <t>GRISWOLD</t>
        </is>
      </c>
      <c r="G522" s="4" t="n">
        <v>43273</v>
      </c>
      <c r="I522" t="inlineStr">
        <is>
          <t>WS-JU42</t>
        </is>
      </c>
      <c r="J522" t="inlineStr">
        <is>
          <t>y</t>
        </is>
      </c>
      <c r="K522" s="232" t="n">
        <v>464.03</v>
      </c>
      <c r="L522" s="230" t="n">
        <v>392</v>
      </c>
      <c r="M522" s="232">
        <f>K522-L522</f>
        <v/>
      </c>
      <c r="P522" s="19">
        <f>(K522/L522)-1</f>
        <v/>
      </c>
    </row>
    <row r="523">
      <c r="A523" t="n">
        <v>43</v>
      </c>
      <c r="B523" t="inlineStr">
        <is>
          <t>SPE4A4-18-V-9049</t>
        </is>
      </c>
      <c r="E523" t="n">
        <v>8</v>
      </c>
      <c r="F523" t="inlineStr">
        <is>
          <t>GEMS</t>
        </is>
      </c>
      <c r="G523" s="4" t="n">
        <v>43273</v>
      </c>
      <c r="H523" t="n">
        <v>160</v>
      </c>
      <c r="I523" t="inlineStr">
        <is>
          <t>WS-JU43</t>
        </is>
      </c>
      <c r="J523" t="inlineStr">
        <is>
          <t>y</t>
        </is>
      </c>
      <c r="K523" s="232" t="n">
        <v>13076.8</v>
      </c>
      <c r="L523" s="230">
        <f>12720+90.5</f>
        <v/>
      </c>
      <c r="M523" s="232">
        <f>K523-L523</f>
        <v/>
      </c>
      <c r="N523" s="51">
        <f>47.61+47.61</f>
        <v/>
      </c>
      <c r="P523" s="19">
        <f>(K523/L523)-1</f>
        <v/>
      </c>
    </row>
    <row r="524">
      <c r="A524" t="n">
        <v>44</v>
      </c>
      <c r="B524" s="3" t="inlineStr">
        <is>
          <t>SPE7M4-18-V-5548</t>
        </is>
      </c>
      <c r="E524" t="n">
        <v>2</v>
      </c>
      <c r="F524" t="inlineStr">
        <is>
          <t>PREECE</t>
        </is>
      </c>
      <c r="G524" s="4" t="n">
        <v>43273</v>
      </c>
      <c r="I524" t="inlineStr">
        <is>
          <t>WS-JU19</t>
        </is>
      </c>
      <c r="J524" t="inlineStr">
        <is>
          <t>y</t>
        </is>
      </c>
      <c r="K524" s="232" t="n">
        <v>32818</v>
      </c>
      <c r="L524" s="230">
        <f>15623*2</f>
        <v/>
      </c>
      <c r="M524" s="232">
        <f>K524-L524</f>
        <v/>
      </c>
      <c r="P524" s="19">
        <f>(K524/L524)-1</f>
        <v/>
      </c>
    </row>
    <row r="525">
      <c r="A525" t="n">
        <v>45</v>
      </c>
      <c r="B525" t="inlineStr">
        <is>
          <t>SPE7M1-18-V-023D</t>
        </is>
      </c>
      <c r="E525" t="n">
        <v>1</v>
      </c>
      <c r="F525" t="inlineStr">
        <is>
          <t>KONGSBERG</t>
        </is>
      </c>
      <c r="G525" s="4" t="n">
        <v>43276</v>
      </c>
      <c r="H525" t="n">
        <v>100</v>
      </c>
      <c r="I525" t="inlineStr">
        <is>
          <t>WS-JU45</t>
        </is>
      </c>
      <c r="J525" t="inlineStr">
        <is>
          <t>y</t>
        </is>
      </c>
      <c r="K525" s="232" t="n">
        <v>299.49</v>
      </c>
      <c r="L525" s="230" t="n">
        <v>201</v>
      </c>
      <c r="M525" s="232">
        <f>K525-L525</f>
        <v/>
      </c>
      <c r="P525" s="19">
        <f>(K525/L525)-1</f>
        <v/>
      </c>
    </row>
    <row r="526">
      <c r="A526" t="n">
        <v>46</v>
      </c>
      <c r="B526" t="inlineStr">
        <is>
          <t>SPE7MC-18-V-8374</t>
        </is>
      </c>
      <c r="E526" t="n">
        <v>2</v>
      </c>
      <c r="F526" t="inlineStr">
        <is>
          <t>Indeeco</t>
        </is>
      </c>
      <c r="G526" s="4" t="n">
        <v>43276</v>
      </c>
      <c r="I526" t="inlineStr">
        <is>
          <t>WS-JU46</t>
        </is>
      </c>
      <c r="J526" t="inlineStr">
        <is>
          <t>y</t>
        </is>
      </c>
      <c r="K526" s="232" t="n">
        <v>92.40000000000001</v>
      </c>
      <c r="L526" s="230" t="n">
        <v>50</v>
      </c>
      <c r="M526" s="232">
        <f>K526-L526</f>
        <v/>
      </c>
      <c r="P526" s="19">
        <f>(K526/L526)-1</f>
        <v/>
      </c>
    </row>
    <row r="527">
      <c r="A527" t="n">
        <v>47</v>
      </c>
      <c r="B527" t="inlineStr">
        <is>
          <t>SPE7M4-18-V-5567</t>
        </is>
      </c>
      <c r="E527" t="n">
        <v>6</v>
      </c>
      <c r="F527" t="inlineStr">
        <is>
          <t>Advance Mfg</t>
        </is>
      </c>
      <c r="G527" s="4" t="n">
        <v>43276</v>
      </c>
      <c r="I527" t="inlineStr">
        <is>
          <t>WS-JU47</t>
        </is>
      </c>
      <c r="J527" t="inlineStr">
        <is>
          <t>y</t>
        </is>
      </c>
      <c r="K527" s="232" t="n">
        <v>5986.08</v>
      </c>
      <c r="L527" s="230" t="n">
        <v>5910</v>
      </c>
      <c r="M527" s="232">
        <f>K527-L527</f>
        <v/>
      </c>
      <c r="P527" s="19">
        <f>(K527/L527)-1</f>
        <v/>
      </c>
    </row>
    <row r="528">
      <c r="A528" t="n">
        <v>48</v>
      </c>
      <c r="B528" t="inlineStr">
        <is>
          <t>SPE7M1-18-V-022Z</t>
        </is>
      </c>
      <c r="E528" t="n">
        <v>1</v>
      </c>
      <c r="F528" t="inlineStr">
        <is>
          <t>Munter</t>
        </is>
      </c>
      <c r="G528" s="4" t="n">
        <v>43276</v>
      </c>
      <c r="H528" t="n">
        <v>160</v>
      </c>
      <c r="I528" t="inlineStr">
        <is>
          <t>WS-JU48</t>
        </is>
      </c>
      <c r="J528" t="inlineStr">
        <is>
          <t>y</t>
        </is>
      </c>
      <c r="K528" s="232" t="n">
        <v>11617.9</v>
      </c>
      <c r="L528" s="230" t="n">
        <v>11431</v>
      </c>
      <c r="M528" s="232">
        <f>K528-L528</f>
        <v/>
      </c>
      <c r="N528" t="n">
        <v>44.5</v>
      </c>
      <c r="P528" s="19">
        <f>(K528/L528)-1</f>
        <v/>
      </c>
    </row>
    <row r="529">
      <c r="A529" t="n">
        <v>49</v>
      </c>
      <c r="B529" t="inlineStr">
        <is>
          <t>SPE4A6-18-V-298X</t>
        </is>
      </c>
      <c r="E529" t="n">
        <v>2</v>
      </c>
      <c r="F529" t="inlineStr">
        <is>
          <t>East/West</t>
        </is>
      </c>
      <c r="G529" s="4" t="n">
        <v>43276</v>
      </c>
      <c r="H529" t="n">
        <v>120</v>
      </c>
      <c r="I529" t="inlineStr">
        <is>
          <t>WS-JU49</t>
        </is>
      </c>
      <c r="K529" s="232" t="n">
        <v>464.8</v>
      </c>
      <c r="L529" s="232" t="n">
        <v>397</v>
      </c>
      <c r="M529" s="232">
        <f>K529-L529</f>
        <v/>
      </c>
      <c r="P529" s="19">
        <f>(K529/L529)-1</f>
        <v/>
      </c>
    </row>
    <row r="530">
      <c r="A530" t="n">
        <v>50</v>
      </c>
      <c r="B530" t="inlineStr">
        <is>
          <t>SPE7M9-18-V-0958</t>
        </is>
      </c>
      <c r="E530" t="n">
        <v>3</v>
      </c>
      <c r="F530" t="inlineStr">
        <is>
          <t>MORRIS</t>
        </is>
      </c>
      <c r="G530" s="4" t="n">
        <v>43277</v>
      </c>
      <c r="H530" t="n">
        <v>140</v>
      </c>
      <c r="I530" t="inlineStr">
        <is>
          <t>WS-JU50</t>
        </is>
      </c>
      <c r="J530" t="inlineStr">
        <is>
          <t>y</t>
        </is>
      </c>
      <c r="K530" s="232" t="n">
        <v>1868.22</v>
      </c>
      <c r="L530" s="230">
        <f>609*3</f>
        <v/>
      </c>
      <c r="M530" s="232">
        <f>K530-L530</f>
        <v/>
      </c>
      <c r="P530" s="19">
        <f>(K530/L530)-1</f>
        <v/>
      </c>
    </row>
    <row r="531">
      <c r="A531" t="n">
        <v>51</v>
      </c>
      <c r="B531" t="inlineStr">
        <is>
          <t>SPE7L3-18-V-8790</t>
        </is>
      </c>
      <c r="E531" t="n">
        <v>1</v>
      </c>
      <c r="F531" t="inlineStr">
        <is>
          <t>TIM PRICE</t>
        </is>
      </c>
      <c r="G531" s="4" t="n">
        <v>43279</v>
      </c>
      <c r="H531" t="n">
        <v>160</v>
      </c>
      <c r="I531" t="inlineStr">
        <is>
          <t>WS-JU51</t>
        </is>
      </c>
      <c r="J531" t="inlineStr">
        <is>
          <t>y</t>
        </is>
      </c>
      <c r="K531" s="232" t="n">
        <v>3042.55</v>
      </c>
      <c r="L531" s="230" t="n">
        <v>2974</v>
      </c>
      <c r="M531" s="232">
        <f>K531-L531</f>
        <v/>
      </c>
      <c r="N531" t="n">
        <v>23.68</v>
      </c>
      <c r="P531" s="19">
        <f>(K531/L531)-1</f>
        <v/>
      </c>
    </row>
    <row r="532">
      <c r="A532" t="n">
        <v>52</v>
      </c>
      <c r="B532" t="inlineStr">
        <is>
          <t>SPE7M3-18-V-4633</t>
        </is>
      </c>
      <c r="E532" t="n">
        <v>19</v>
      </c>
      <c r="F532" t="inlineStr">
        <is>
          <t>Flowline</t>
        </is>
      </c>
      <c r="G532" s="4" t="n">
        <v>43279</v>
      </c>
      <c r="H532" t="n">
        <v>130</v>
      </c>
      <c r="I532" t="inlineStr">
        <is>
          <t>WS-JU52</t>
        </is>
      </c>
      <c r="K532" s="232" t="n">
        <v>1470.6</v>
      </c>
      <c r="L532" s="230" t="n">
        <v>1406.76</v>
      </c>
      <c r="M532" s="232">
        <f>K532-L532</f>
        <v/>
      </c>
      <c r="N532" t="n">
        <v>22.78</v>
      </c>
      <c r="P532" s="19">
        <f>(K532/L532)-1</f>
        <v/>
      </c>
    </row>
    <row r="533">
      <c r="A533" t="n">
        <v>53</v>
      </c>
      <c r="B533" t="inlineStr">
        <is>
          <t>SPE5E8-18-V-7865</t>
        </is>
      </c>
      <c r="E533" t="n">
        <v>815</v>
      </c>
      <c r="F533" t="inlineStr">
        <is>
          <t>AVIBANK</t>
        </is>
      </c>
      <c r="G533" s="4" t="n">
        <v>43280</v>
      </c>
      <c r="H533" t="n">
        <v>190</v>
      </c>
      <c r="I533" t="inlineStr">
        <is>
          <t>WS-JU53</t>
        </is>
      </c>
      <c r="J533" t="inlineStr">
        <is>
          <t>y</t>
        </is>
      </c>
      <c r="K533" s="232" t="n">
        <v>23708.35</v>
      </c>
      <c r="L533" s="230" t="n">
        <v>23097.1</v>
      </c>
      <c r="M533" s="232">
        <f>K533-L533</f>
        <v/>
      </c>
      <c r="P533" s="19">
        <f>(K533/L533)-1</f>
        <v/>
      </c>
    </row>
    <row r="534">
      <c r="A534" t="n">
        <v>54</v>
      </c>
      <c r="B534" t="inlineStr">
        <is>
          <t>SPE4A4-18-V-9402</t>
        </is>
      </c>
      <c r="E534" t="n">
        <v>183</v>
      </c>
      <c r="F534" t="inlineStr">
        <is>
          <t>L-Com PAR Cancelled</t>
        </is>
      </c>
      <c r="G534" s="4" t="n">
        <v>43280</v>
      </c>
      <c r="H534" t="n">
        <v>120</v>
      </c>
      <c r="K534" s="232" t="n">
        <v>0</v>
      </c>
      <c r="L534" s="230" t="n">
        <v>0</v>
      </c>
      <c r="M534" s="232">
        <f>K534-L534</f>
        <v/>
      </c>
      <c r="P534" s="19">
        <f>(K534/L534)-1</f>
        <v/>
      </c>
    </row>
    <row r="535">
      <c r="A535" t="n">
        <v>55</v>
      </c>
      <c r="B535" t="inlineStr">
        <is>
          <t>SPE4A0-18-V-1231</t>
        </is>
      </c>
      <c r="E535" t="n">
        <v>35</v>
      </c>
      <c r="F535" t="inlineStr">
        <is>
          <t>GEMS</t>
        </is>
      </c>
      <c r="G535" s="4" t="n">
        <v>43280</v>
      </c>
      <c r="H535" t="n">
        <v>120</v>
      </c>
      <c r="I535" t="inlineStr">
        <is>
          <t>WS-JU55</t>
        </is>
      </c>
      <c r="J535" t="inlineStr">
        <is>
          <t>y</t>
        </is>
      </c>
      <c r="K535" s="232" t="n">
        <v>17231.9</v>
      </c>
      <c r="L535" s="230">
        <f>16975+49.79</f>
        <v/>
      </c>
      <c r="M535" s="232">
        <f>K535-L535</f>
        <v/>
      </c>
      <c r="N535">
        <f>29.06+30.09</f>
        <v/>
      </c>
      <c r="P535" s="19">
        <f>(K535/L535)-1</f>
        <v/>
      </c>
    </row>
    <row r="536">
      <c r="K536" s="243">
        <f>SUM(K481:K535)</f>
        <v/>
      </c>
      <c r="L536" s="231">
        <f>SUM(L481:L535)</f>
        <v/>
      </c>
      <c r="M536" s="243">
        <f>K536-L536</f>
        <v/>
      </c>
      <c r="P536" s="92">
        <f>(K536/L536)-1</f>
        <v/>
      </c>
    </row>
    <row r="537">
      <c r="M537" s="232">
        <f>M484+M489+M496+M499+M500+M502+M504+M509+M510+M516+M524+M533+M535+M535</f>
        <v/>
      </c>
      <c r="P537" s="19">
        <f>(K537/L537)-1</f>
        <v/>
      </c>
    </row>
    <row r="538">
      <c r="M538" s="232" t="n"/>
      <c r="P538" s="19">
        <f>(K538/L538)-1</f>
        <v/>
      </c>
    </row>
    <row r="539"/>
    <row r="540">
      <c r="A540" t="n">
        <v>1</v>
      </c>
      <c r="B540" t="inlineStr">
        <is>
          <t>SPE7M1-18-V-032P</t>
        </is>
      </c>
      <c r="E540" t="n">
        <v>35</v>
      </c>
      <c r="F540" t="inlineStr">
        <is>
          <t>CPI</t>
        </is>
      </c>
      <c r="G540" s="4" t="n">
        <v>43283</v>
      </c>
      <c r="H540" t="n">
        <v>140</v>
      </c>
      <c r="I540" t="inlineStr">
        <is>
          <t>WS-JY01</t>
        </is>
      </c>
      <c r="J540" t="inlineStr">
        <is>
          <t>y</t>
        </is>
      </c>
      <c r="K540" s="232" t="n">
        <v>10646.3</v>
      </c>
      <c r="L540" s="230" t="n">
        <v>10347.97</v>
      </c>
      <c r="M540" s="232">
        <f>K540-L540</f>
        <v/>
      </c>
      <c r="N540" t="n">
        <v>12.9</v>
      </c>
      <c r="P540" s="19">
        <f>(K540/L540)-1</f>
        <v/>
      </c>
    </row>
    <row r="541">
      <c r="A541" t="n">
        <v>2</v>
      </c>
      <c r="B541" s="3" t="inlineStr">
        <is>
          <t>SPE7M4-18-P-3513</t>
        </is>
      </c>
      <c r="E541" t="n">
        <v>1</v>
      </c>
      <c r="F541" t="inlineStr">
        <is>
          <t>PREECE</t>
        </is>
      </c>
      <c r="G541" s="4" t="n">
        <v>43283</v>
      </c>
      <c r="H541" t="n">
        <v>260</v>
      </c>
      <c r="I541" t="inlineStr">
        <is>
          <t>WS-JY02</t>
        </is>
      </c>
      <c r="J541" t="inlineStr">
        <is>
          <t>y</t>
        </is>
      </c>
      <c r="K541" s="232" t="n">
        <v>14860</v>
      </c>
      <c r="L541" s="230" t="n">
        <v>14220</v>
      </c>
      <c r="M541" s="232">
        <f>K541-L541</f>
        <v/>
      </c>
      <c r="P541" s="19">
        <f>(K541/L541)-1</f>
        <v/>
      </c>
    </row>
    <row r="542">
      <c r="A542" t="n">
        <v>3</v>
      </c>
      <c r="B542" t="inlineStr">
        <is>
          <t>SPE7M5-18-P-C141</t>
        </is>
      </c>
      <c r="E542" t="n">
        <v>10</v>
      </c>
      <c r="F542" t="inlineStr">
        <is>
          <t>DRUCK</t>
        </is>
      </c>
      <c r="G542" s="4" t="n">
        <v>43283</v>
      </c>
      <c r="H542" t="n">
        <v>150</v>
      </c>
      <c r="I542" t="inlineStr">
        <is>
          <t>WS-JY03</t>
        </is>
      </c>
      <c r="J542" t="inlineStr">
        <is>
          <t>y</t>
        </is>
      </c>
      <c r="K542" s="232" t="n">
        <v>5273.8</v>
      </c>
      <c r="L542" s="230" t="n">
        <v>5230</v>
      </c>
      <c r="M542" s="232">
        <f>K542-L542</f>
        <v/>
      </c>
      <c r="P542" s="19">
        <f>(K542/L542)-1</f>
        <v/>
      </c>
    </row>
    <row r="543">
      <c r="A543" t="n">
        <v>4</v>
      </c>
      <c r="B543" t="inlineStr">
        <is>
          <t>SPE4A4-18-V-9537</t>
        </is>
      </c>
      <c r="E543" t="n">
        <v>5</v>
      </c>
      <c r="F543" t="inlineStr">
        <is>
          <t>GEMS Cancelled</t>
        </is>
      </c>
      <c r="G543" s="4" t="n">
        <v>43283</v>
      </c>
      <c r="I543" t="inlineStr">
        <is>
          <t>WS-JY04</t>
        </is>
      </c>
      <c r="J543" t="inlineStr">
        <is>
          <t>y</t>
        </is>
      </c>
      <c r="K543" s="232" t="n">
        <v>0</v>
      </c>
      <c r="L543" s="230" t="n">
        <v>0</v>
      </c>
      <c r="M543" s="232">
        <f>K543-L543</f>
        <v/>
      </c>
      <c r="P543" s="19">
        <f>(K543/L543)-1</f>
        <v/>
      </c>
    </row>
    <row r="544">
      <c r="A544" t="n">
        <v>5</v>
      </c>
      <c r="B544" t="inlineStr">
        <is>
          <t>text</t>
        </is>
      </c>
      <c r="E544" t="n">
        <v>27</v>
      </c>
      <c r="F544" t="inlineStr">
        <is>
          <t>C S ANTENNAS</t>
        </is>
      </c>
      <c r="G544" s="4" t="n">
        <v>43284</v>
      </c>
      <c r="H544" t="n">
        <v>120</v>
      </c>
      <c r="I544" t="inlineStr">
        <is>
          <t>WS-JY05</t>
        </is>
      </c>
      <c r="J544" t="inlineStr">
        <is>
          <t>y</t>
        </is>
      </c>
      <c r="K544" s="232" t="n">
        <v>3323.7</v>
      </c>
      <c r="L544" s="230" t="n">
        <v>3240</v>
      </c>
      <c r="M544" s="232">
        <f>K544-L544</f>
        <v/>
      </c>
      <c r="P544" s="19">
        <f>(K544/L544)-1</f>
        <v/>
      </c>
    </row>
    <row r="545">
      <c r="A545" t="n">
        <v>6</v>
      </c>
      <c r="B545" s="3" t="inlineStr">
        <is>
          <t>SPE5E4-18-V-8477</t>
        </is>
      </c>
      <c r="E545" t="n">
        <v>13</v>
      </c>
      <c r="F545" t="inlineStr">
        <is>
          <t>AVIBANK MFG</t>
        </is>
      </c>
      <c r="G545" s="4" t="n">
        <v>43284</v>
      </c>
      <c r="H545" t="n">
        <v>150</v>
      </c>
      <c r="I545" t="inlineStr">
        <is>
          <t>WS-JY06</t>
        </is>
      </c>
      <c r="J545" t="inlineStr">
        <is>
          <t>y</t>
        </is>
      </c>
      <c r="K545" s="232" t="n">
        <v>1036.62</v>
      </c>
      <c r="L545" s="230" t="n">
        <v>940</v>
      </c>
      <c r="M545" s="232">
        <f>K545-L545</f>
        <v/>
      </c>
      <c r="P545" s="19">
        <f>(K545/L545)-1</f>
        <v/>
      </c>
    </row>
    <row r="546">
      <c r="A546" t="n">
        <v>7</v>
      </c>
      <c r="B546" t="inlineStr">
        <is>
          <t>SPE7M5-18-V-034S</t>
        </is>
      </c>
      <c r="E546" t="n">
        <v>37</v>
      </c>
      <c r="F546" t="inlineStr">
        <is>
          <t>Glenair</t>
        </is>
      </c>
      <c r="G546" s="4" t="n">
        <v>43286</v>
      </c>
      <c r="H546" t="n">
        <v>120</v>
      </c>
      <c r="I546" t="inlineStr">
        <is>
          <t>WS-JY07</t>
        </is>
      </c>
      <c r="K546" s="232" t="n">
        <v>3421.39</v>
      </c>
      <c r="L546" s="255" t="n">
        <v>3349.61</v>
      </c>
      <c r="M546" s="232">
        <f>K546-L546</f>
        <v/>
      </c>
      <c r="P546" s="19">
        <f>(K546/L546)-1</f>
        <v/>
      </c>
    </row>
    <row r="547">
      <c r="A547" t="n">
        <v>8</v>
      </c>
      <c r="B547" t="inlineStr">
        <is>
          <t>SPE7M5-18-V-034N</t>
        </is>
      </c>
      <c r="E547" t="n">
        <v>9</v>
      </c>
      <c r="F547" s="160" t="inlineStr">
        <is>
          <t>Glenair</t>
        </is>
      </c>
      <c r="G547" s="4" t="n">
        <v>43286</v>
      </c>
      <c r="H547" t="n">
        <v>140</v>
      </c>
      <c r="I547" t="inlineStr">
        <is>
          <t>WS-JY08</t>
        </is>
      </c>
      <c r="K547" s="232" t="n">
        <v>1881</v>
      </c>
      <c r="L547" s="230">
        <f>146.12*9</f>
        <v/>
      </c>
      <c r="M547" s="232">
        <f>K547-L547</f>
        <v/>
      </c>
      <c r="P547" s="19">
        <f>(K547/L547)-1</f>
        <v/>
      </c>
    </row>
    <row r="548">
      <c r="A548" t="n">
        <v>9</v>
      </c>
      <c r="B548" t="inlineStr">
        <is>
          <t>SPE7M1-18-V-039N</t>
        </is>
      </c>
      <c r="E548" t="n">
        <v>1</v>
      </c>
      <c r="F548" t="inlineStr">
        <is>
          <t>ELMA Cancel</t>
        </is>
      </c>
      <c r="G548" s="4" t="n">
        <v>43290</v>
      </c>
      <c r="H548" t="n">
        <v>180</v>
      </c>
      <c r="I548" t="inlineStr">
        <is>
          <t>WS-JY09</t>
        </is>
      </c>
      <c r="K548" s="232" t="n">
        <v>0</v>
      </c>
      <c r="L548" s="230" t="n">
        <v>0</v>
      </c>
      <c r="M548" s="232">
        <f>K548-L548</f>
        <v/>
      </c>
      <c r="P548" s="19">
        <f>(K548/L548)-1</f>
        <v/>
      </c>
    </row>
    <row r="549">
      <c r="A549" t="n">
        <v>10</v>
      </c>
      <c r="B549" t="inlineStr">
        <is>
          <t>SPE7M5-18-P-C176</t>
        </is>
      </c>
      <c r="E549" t="n">
        <v>74</v>
      </c>
      <c r="F549" t="inlineStr">
        <is>
          <t>ITT</t>
        </is>
      </c>
      <c r="G549" s="4" t="n">
        <v>43290</v>
      </c>
      <c r="H549" t="n">
        <v>150</v>
      </c>
      <c r="I549" t="inlineStr">
        <is>
          <t>WS-JY10</t>
        </is>
      </c>
      <c r="J549" t="inlineStr">
        <is>
          <t>y</t>
        </is>
      </c>
      <c r="K549" s="232" t="n">
        <v>1710.14</v>
      </c>
      <c r="L549" s="230" t="n">
        <v>1509.6</v>
      </c>
      <c r="M549" s="232">
        <f>K549-L549</f>
        <v/>
      </c>
      <c r="P549" s="19">
        <f>(K549/L549)-1</f>
        <v/>
      </c>
    </row>
    <row r="550">
      <c r="A550" t="n">
        <v>11</v>
      </c>
      <c r="B550" t="inlineStr">
        <is>
          <t>SPE7M0-18-V-9397</t>
        </is>
      </c>
      <c r="E550" t="n">
        <v>12</v>
      </c>
      <c r="F550" t="inlineStr">
        <is>
          <t>MUNTER</t>
        </is>
      </c>
      <c r="G550" s="4" t="n">
        <v>43290</v>
      </c>
      <c r="H550" t="n">
        <v>140</v>
      </c>
      <c r="I550" t="inlineStr">
        <is>
          <t>WS-JY11</t>
        </is>
      </c>
      <c r="J550" t="inlineStr">
        <is>
          <t>y</t>
        </is>
      </c>
      <c r="K550" s="232" t="n">
        <v>8200.559999999999</v>
      </c>
      <c r="L550" s="230" t="n">
        <v>8040</v>
      </c>
      <c r="M550" s="232">
        <f>K550-L550</f>
        <v/>
      </c>
      <c r="N550" s="51">
        <f>45.25*3</f>
        <v/>
      </c>
      <c r="P550" s="19">
        <f>(K550/L550)-1</f>
        <v/>
      </c>
    </row>
    <row r="551">
      <c r="A551" t="n">
        <v>12</v>
      </c>
      <c r="B551" t="inlineStr">
        <is>
          <t>SPE5EJ-18-V-7085</t>
        </is>
      </c>
      <c r="E551" t="n">
        <v>5</v>
      </c>
      <c r="F551" t="inlineStr">
        <is>
          <t>KTSDI</t>
        </is>
      </c>
      <c r="G551" s="4" t="n">
        <v>43290</v>
      </c>
      <c r="H551" t="n">
        <v>120</v>
      </c>
      <c r="I551" t="inlineStr">
        <is>
          <t>WS-JY13</t>
        </is>
      </c>
      <c r="J551" t="inlineStr">
        <is>
          <t>y</t>
        </is>
      </c>
      <c r="K551" s="232" t="n">
        <v>98.45</v>
      </c>
      <c r="L551" s="230" t="n">
        <v>57.7</v>
      </c>
      <c r="M551" s="232">
        <f>K551-L551</f>
        <v/>
      </c>
      <c r="P551" s="19">
        <f>(K551/L551)-1</f>
        <v/>
      </c>
    </row>
    <row r="552">
      <c r="A552" t="n">
        <v>13</v>
      </c>
      <c r="B552" t="inlineStr">
        <is>
          <t>SPE5E7-18-V-5053</t>
        </is>
      </c>
      <c r="E552" t="n">
        <v>20</v>
      </c>
      <c r="F552" t="inlineStr">
        <is>
          <t>KTSDI</t>
        </is>
      </c>
      <c r="G552" s="4" t="n">
        <v>43290</v>
      </c>
      <c r="H552" t="n">
        <v>120</v>
      </c>
      <c r="I552" t="inlineStr">
        <is>
          <t>WS-JY13</t>
        </is>
      </c>
      <c r="J552" t="inlineStr">
        <is>
          <t>y</t>
        </is>
      </c>
      <c r="K552" s="232" t="n">
        <v>2884</v>
      </c>
      <c r="L552" s="230" t="n">
        <v>2813</v>
      </c>
      <c r="M552" s="232">
        <f>K552-L552</f>
        <v/>
      </c>
      <c r="P552" s="19">
        <f>(K552/L552)-1</f>
        <v/>
      </c>
    </row>
    <row r="553">
      <c r="A553" t="n">
        <v>14</v>
      </c>
      <c r="B553" t="inlineStr">
        <is>
          <t>SPE4A4-18-V-9734</t>
        </is>
      </c>
      <c r="E553" t="n">
        <v>14</v>
      </c>
      <c r="F553" t="inlineStr">
        <is>
          <t>GEMS</t>
        </is>
      </c>
      <c r="G553" s="4" t="n">
        <v>43292</v>
      </c>
      <c r="H553" t="n">
        <v>90</v>
      </c>
      <c r="I553" t="inlineStr">
        <is>
          <t>WS-JY14</t>
        </is>
      </c>
      <c r="J553" t="inlineStr">
        <is>
          <t>y</t>
        </is>
      </c>
      <c r="K553" s="232" t="n">
        <v>10697.26</v>
      </c>
      <c r="L553" s="230">
        <f>10430+25.93</f>
        <v/>
      </c>
      <c r="M553" s="232">
        <f>K553-L553</f>
        <v/>
      </c>
      <c r="N553" t="n">
        <v>31.19</v>
      </c>
      <c r="P553" s="19">
        <f>(K553/L553)-1</f>
        <v/>
      </c>
    </row>
    <row r="554">
      <c r="A554" t="n">
        <v>15</v>
      </c>
      <c r="B554" t="inlineStr">
        <is>
          <t>SPE5EK-18-V-5401</t>
        </is>
      </c>
      <c r="E554" t="n">
        <v>5</v>
      </c>
      <c r="F554" t="inlineStr">
        <is>
          <t>Flowline</t>
        </is>
      </c>
      <c r="G554" s="4" t="n">
        <v>43292</v>
      </c>
      <c r="H554" t="n">
        <v>130</v>
      </c>
      <c r="I554" t="inlineStr">
        <is>
          <t>WS-JY15</t>
        </is>
      </c>
      <c r="J554" t="inlineStr">
        <is>
          <t>y</t>
        </is>
      </c>
      <c r="K554" s="232" t="n">
        <v>2147.1</v>
      </c>
      <c r="L554" s="230" t="n">
        <v>2053.9</v>
      </c>
      <c r="M554" s="232">
        <f>K554-L554</f>
        <v/>
      </c>
      <c r="P554" s="19">
        <f>(K554/L554)-1</f>
        <v/>
      </c>
    </row>
    <row r="555">
      <c r="A555" t="n">
        <v>16</v>
      </c>
      <c r="B555" t="inlineStr">
        <is>
          <t>SPE7M5-18-V-052L</t>
        </is>
      </c>
      <c r="E555" t="n">
        <v>233</v>
      </c>
      <c r="F555" t="inlineStr">
        <is>
          <t>KONSBERG</t>
        </is>
      </c>
      <c r="G555" s="4" t="n">
        <v>43292</v>
      </c>
      <c r="H555" t="n">
        <v>120</v>
      </c>
      <c r="I555" t="inlineStr">
        <is>
          <t>WS-JY16</t>
        </is>
      </c>
      <c r="J555" t="inlineStr">
        <is>
          <t>y</t>
        </is>
      </c>
      <c r="K555" s="232" t="n">
        <v>1453.92</v>
      </c>
      <c r="L555" s="230" t="n">
        <v>1029.21</v>
      </c>
      <c r="M555" s="232">
        <f>K555-L555</f>
        <v/>
      </c>
      <c r="P555" s="19">
        <f>(K555/L555)-1</f>
        <v/>
      </c>
    </row>
    <row r="556">
      <c r="A556" t="n">
        <v>17</v>
      </c>
      <c r="B556" t="inlineStr">
        <is>
          <t>SPE7M5-18-V-050P</t>
        </is>
      </c>
      <c r="E556" t="n">
        <v>1</v>
      </c>
      <c r="F556" t="inlineStr">
        <is>
          <t>KONSBERG</t>
        </is>
      </c>
      <c r="G556" s="4" t="n">
        <v>43292</v>
      </c>
      <c r="H556" t="n">
        <v>90</v>
      </c>
      <c r="I556" t="inlineStr">
        <is>
          <t>WS-JY17</t>
        </is>
      </c>
      <c r="J556" t="inlineStr">
        <is>
          <t>y</t>
        </is>
      </c>
      <c r="K556" s="232" t="n">
        <v>866.8200000000001</v>
      </c>
      <c r="L556" s="230" t="n">
        <v>761</v>
      </c>
      <c r="M556" s="232">
        <f>K556-L556</f>
        <v/>
      </c>
      <c r="P556" s="19">
        <f>(K556/L556)-1</f>
        <v/>
      </c>
    </row>
    <row r="557">
      <c r="A557" t="n">
        <v>18</v>
      </c>
      <c r="B557" t="inlineStr">
        <is>
          <t>SPE7M8-18-V-1882</t>
        </is>
      </c>
      <c r="E557" t="n">
        <v>12</v>
      </c>
      <c r="F557" s="160" t="inlineStr">
        <is>
          <t>AEROFIT</t>
        </is>
      </c>
      <c r="G557" s="4" t="n">
        <v>43292</v>
      </c>
      <c r="H557" t="n">
        <v>65</v>
      </c>
      <c r="I557" t="inlineStr">
        <is>
          <t>WS-MY24</t>
        </is>
      </c>
      <c r="J557" t="inlineStr">
        <is>
          <t>y</t>
        </is>
      </c>
      <c r="K557" s="232" t="n">
        <v>213.12</v>
      </c>
      <c r="L557" s="230">
        <f>12*13</f>
        <v/>
      </c>
      <c r="M557" s="232">
        <f>K557-L557</f>
        <v/>
      </c>
      <c r="P557" s="19">
        <f>(K557/L557)-1</f>
        <v/>
      </c>
    </row>
    <row r="558">
      <c r="A558" t="n">
        <v>19</v>
      </c>
      <c r="B558" t="inlineStr">
        <is>
          <t>SPE7M5-18-V-051X</t>
        </is>
      </c>
      <c r="E558" t="n">
        <v>151</v>
      </c>
      <c r="F558" t="inlineStr">
        <is>
          <t>KONGSBERG</t>
        </is>
      </c>
      <c r="G558" s="4" t="n">
        <v>43292</v>
      </c>
      <c r="H558" t="n">
        <v>140</v>
      </c>
      <c r="I558" t="inlineStr">
        <is>
          <t>WS-JY19</t>
        </is>
      </c>
      <c r="J558" t="inlineStr">
        <is>
          <t>y</t>
        </is>
      </c>
      <c r="K558" s="232" t="n">
        <v>1389.2</v>
      </c>
      <c r="L558" s="230" t="n">
        <v>1118</v>
      </c>
      <c r="M558" s="232">
        <f>K558-L558</f>
        <v/>
      </c>
      <c r="P558" s="19">
        <f>(K558/L558)-1</f>
        <v/>
      </c>
    </row>
    <row r="559">
      <c r="A559" t="n">
        <v>20</v>
      </c>
      <c r="B559" t="inlineStr">
        <is>
          <t>SPE7M5-18-V-054R</t>
        </is>
      </c>
      <c r="E559" t="n">
        <v>194</v>
      </c>
      <c r="F559" t="inlineStr">
        <is>
          <t>KONGSBERG</t>
        </is>
      </c>
      <c r="G559" s="4" t="n">
        <v>43294</v>
      </c>
      <c r="H559" t="n">
        <v>90</v>
      </c>
      <c r="I559" t="inlineStr">
        <is>
          <t>WS-JY20</t>
        </is>
      </c>
      <c r="J559" t="inlineStr">
        <is>
          <t>y</t>
        </is>
      </c>
      <c r="K559" s="232" t="n">
        <v>1616.02</v>
      </c>
      <c r="L559" s="230" t="n">
        <v>1147.21</v>
      </c>
      <c r="M559" s="232">
        <f>K559-L559</f>
        <v/>
      </c>
      <c r="P559" s="19">
        <f>(K559/L559)-1</f>
        <v/>
      </c>
      <c r="Q559" s="233">
        <f>L555+L558</f>
        <v/>
      </c>
    </row>
    <row r="560">
      <c r="A560" t="n">
        <v>21</v>
      </c>
      <c r="B560" t="inlineStr">
        <is>
          <t>SPE7M0-18-V-9605</t>
        </is>
      </c>
      <c r="E560" t="n">
        <v>1</v>
      </c>
      <c r="F560" t="inlineStr">
        <is>
          <t>Glenair</t>
        </is>
      </c>
      <c r="G560" s="4" t="n">
        <v>43294</v>
      </c>
      <c r="H560" t="n">
        <v>120</v>
      </c>
      <c r="I560" t="inlineStr">
        <is>
          <t>WS-JY21</t>
        </is>
      </c>
      <c r="J560" t="inlineStr">
        <is>
          <t>y</t>
        </is>
      </c>
      <c r="K560" s="232" t="n">
        <v>221.6</v>
      </c>
      <c r="L560" s="230" t="n">
        <v>178.95</v>
      </c>
      <c r="M560" s="232">
        <f>K560-L560</f>
        <v/>
      </c>
      <c r="P560" s="19">
        <f>(K560/L560)-1</f>
        <v/>
      </c>
    </row>
    <row r="561">
      <c r="A561" t="n">
        <v>22</v>
      </c>
      <c r="B561" t="inlineStr">
        <is>
          <t>SPE4A6-18-P-L089</t>
        </is>
      </c>
      <c r="E561" t="n">
        <v>9</v>
      </c>
      <c r="F561" t="inlineStr">
        <is>
          <t>GEMS PAR Cancelled</t>
        </is>
      </c>
      <c r="G561" s="4" t="n">
        <v>43294</v>
      </c>
      <c r="H561" t="n">
        <v>140</v>
      </c>
      <c r="K561" s="232" t="n">
        <v>0</v>
      </c>
      <c r="L561" s="230" t="n">
        <v>0</v>
      </c>
      <c r="M561" s="232">
        <f>K561-L561</f>
        <v/>
      </c>
      <c r="P561" s="19">
        <f>(K561/L561)-1</f>
        <v/>
      </c>
    </row>
    <row r="562">
      <c r="A562" t="n">
        <v>23</v>
      </c>
      <c r="B562" t="inlineStr">
        <is>
          <t>SPE5E0-18-V-4696</t>
        </is>
      </c>
      <c r="E562" t="n">
        <v>14</v>
      </c>
      <c r="F562" t="inlineStr">
        <is>
          <t>LEE Spring</t>
        </is>
      </c>
      <c r="G562" s="4" t="n">
        <v>43297</v>
      </c>
      <c r="H562" t="n">
        <v>120</v>
      </c>
      <c r="I562" t="inlineStr">
        <is>
          <t>WS-JY23</t>
        </is>
      </c>
      <c r="J562" t="inlineStr">
        <is>
          <t>y</t>
        </is>
      </c>
      <c r="K562" s="232" t="n">
        <v>156.52</v>
      </c>
      <c r="L562" s="230" t="n">
        <v>135.6</v>
      </c>
      <c r="M562" s="232">
        <f>K562-L562</f>
        <v/>
      </c>
      <c r="P562" s="19">
        <f>(K562/L562)-1</f>
        <v/>
      </c>
    </row>
    <row r="563">
      <c r="A563" t="n">
        <v>24</v>
      </c>
      <c r="B563" s="3" t="inlineStr">
        <is>
          <t>SPE7M1-18-P-5926</t>
        </is>
      </c>
      <c r="E563" t="n">
        <v>8</v>
      </c>
      <c r="F563" t="inlineStr">
        <is>
          <t>Glenair</t>
        </is>
      </c>
      <c r="G563" s="4" t="n">
        <v>43297</v>
      </c>
      <c r="H563" t="n">
        <v>140</v>
      </c>
      <c r="I563" t="inlineStr">
        <is>
          <t>WS-JY24</t>
        </is>
      </c>
      <c r="J563" t="inlineStr">
        <is>
          <t>y</t>
        </is>
      </c>
      <c r="K563" s="232" t="n">
        <v>7638.24</v>
      </c>
      <c r="L563" s="230" t="n">
        <v>7546.8</v>
      </c>
      <c r="M563" s="232">
        <f>K563-L563</f>
        <v/>
      </c>
      <c r="P563" s="19">
        <f>(K563/L563)-1</f>
        <v/>
      </c>
    </row>
    <row r="564">
      <c r="A564" t="n">
        <v>25</v>
      </c>
      <c r="B564" t="inlineStr">
        <is>
          <t>SPE7M5-18-V-058J</t>
        </is>
      </c>
      <c r="E564" t="n">
        <v>109</v>
      </c>
      <c r="F564" t="inlineStr">
        <is>
          <t>Glenair</t>
        </is>
      </c>
      <c r="G564" s="4" t="n">
        <v>43297</v>
      </c>
      <c r="H564" t="n">
        <v>140</v>
      </c>
      <c r="I564" t="inlineStr">
        <is>
          <t>WS-JY22</t>
        </is>
      </c>
      <c r="J564" t="inlineStr">
        <is>
          <t>y</t>
        </is>
      </c>
      <c r="K564" s="232" t="n">
        <v>5383.51</v>
      </c>
      <c r="L564" s="230" t="n">
        <v>5277.78</v>
      </c>
      <c r="M564" s="232">
        <f>K564-L564</f>
        <v/>
      </c>
      <c r="N564" t="n">
        <v>18</v>
      </c>
      <c r="P564" s="19">
        <f>(K564/L564)-1</f>
        <v/>
      </c>
    </row>
    <row r="565">
      <c r="A565" t="n">
        <v>26</v>
      </c>
      <c r="B565" t="inlineStr">
        <is>
          <t>SPE4A4-18-V-9936</t>
        </is>
      </c>
      <c r="E565" t="n">
        <v>14</v>
      </c>
      <c r="F565" t="inlineStr">
        <is>
          <t>Glenair</t>
        </is>
      </c>
      <c r="G565" s="4" t="n">
        <v>43298</v>
      </c>
      <c r="H565" t="n">
        <v>140</v>
      </c>
      <c r="I565" t="inlineStr">
        <is>
          <t>WS-JY23</t>
        </is>
      </c>
      <c r="J565" t="inlineStr">
        <is>
          <t>y</t>
        </is>
      </c>
      <c r="K565" s="232" t="n">
        <v>6080.2</v>
      </c>
      <c r="L565" s="230" t="n">
        <v>6100.6</v>
      </c>
      <c r="M565" s="232">
        <f>K565-L565</f>
        <v/>
      </c>
      <c r="P565" s="19">
        <f>(K565/L565)-1</f>
        <v/>
      </c>
    </row>
    <row r="566">
      <c r="A566" t="n">
        <v>27</v>
      </c>
      <c r="B566" t="inlineStr">
        <is>
          <t>SPE4A4-18-V-9929</t>
        </is>
      </c>
      <c r="E566" t="n">
        <v>15</v>
      </c>
      <c r="F566" t="inlineStr">
        <is>
          <t>Glenair</t>
        </is>
      </c>
      <c r="G566" s="4" t="n">
        <v>43298</v>
      </c>
      <c r="H566" t="n">
        <v>140</v>
      </c>
      <c r="I566" t="inlineStr">
        <is>
          <t>WS-JY27</t>
        </is>
      </c>
      <c r="J566" t="inlineStr">
        <is>
          <t>y</t>
        </is>
      </c>
      <c r="K566" s="232" t="n">
        <v>5769</v>
      </c>
      <c r="L566" s="230">
        <f>183.7*15</f>
        <v/>
      </c>
      <c r="M566" s="232">
        <f>K566-L566</f>
        <v/>
      </c>
      <c r="P566" s="19">
        <f>(K566/L566)-1</f>
        <v/>
      </c>
    </row>
    <row r="567">
      <c r="A567" t="n">
        <v>28</v>
      </c>
      <c r="B567" t="inlineStr">
        <is>
          <t>SPE4A6-18-P-K799</t>
        </is>
      </c>
      <c r="E567" t="n">
        <v>1</v>
      </c>
      <c r="F567" s="51" t="inlineStr">
        <is>
          <t>GEMS Long</t>
        </is>
      </c>
      <c r="G567" s="4" t="n">
        <v>43298</v>
      </c>
      <c r="H567" t="n">
        <v>120</v>
      </c>
      <c r="I567" t="inlineStr">
        <is>
          <t>WS-JY28</t>
        </is>
      </c>
      <c r="J567" t="inlineStr">
        <is>
          <t>y</t>
        </is>
      </c>
      <c r="K567" s="232" t="n">
        <v>2956.6</v>
      </c>
      <c r="L567" s="230">
        <f>2882+47.03</f>
        <v/>
      </c>
      <c r="M567" s="232">
        <f>K567-L567</f>
        <v/>
      </c>
      <c r="N567" s="255" t="n">
        <v>53.11</v>
      </c>
      <c r="O567" s="233">
        <f>+M567-N567</f>
        <v/>
      </c>
      <c r="P567" s="19">
        <f>(K567/L567)-1</f>
        <v/>
      </c>
    </row>
    <row r="568">
      <c r="A568" t="n">
        <v>29</v>
      </c>
      <c r="B568" t="inlineStr">
        <is>
          <t>SPE4A5-18-V-2879</t>
        </is>
      </c>
      <c r="E568" t="n">
        <v>3</v>
      </c>
      <c r="F568" t="inlineStr">
        <is>
          <t>Glenair PAR Cancelled</t>
        </is>
      </c>
      <c r="G568" s="4" t="n">
        <v>43300</v>
      </c>
      <c r="H568" t="n">
        <v>140</v>
      </c>
      <c r="I568" t="inlineStr">
        <is>
          <t>WS-JY29</t>
        </is>
      </c>
      <c r="K568" s="232" t="n">
        <v>0</v>
      </c>
      <c r="L568" s="230" t="n">
        <v>0</v>
      </c>
      <c r="M568" s="232">
        <f>K568-L568</f>
        <v/>
      </c>
      <c r="P568" s="19">
        <f>(K568/L568)-1</f>
        <v/>
      </c>
    </row>
    <row r="569">
      <c r="A569" t="n">
        <v>30</v>
      </c>
      <c r="B569" t="inlineStr">
        <is>
          <t>SPE7M5-18-V-064U</t>
        </is>
      </c>
      <c r="E569" t="n">
        <v>42</v>
      </c>
      <c r="F569" t="inlineStr">
        <is>
          <t>Glenair</t>
        </is>
      </c>
      <c r="G569" s="4" t="n">
        <v>43304</v>
      </c>
      <c r="H569" t="n">
        <v>140</v>
      </c>
      <c r="I569" t="inlineStr">
        <is>
          <t>WS-JY30</t>
        </is>
      </c>
      <c r="J569" t="inlineStr">
        <is>
          <t>y</t>
        </is>
      </c>
      <c r="K569" s="232" t="n">
        <v>19978.56</v>
      </c>
      <c r="L569" s="230" t="n">
        <v>19860.96</v>
      </c>
      <c r="M569" s="232">
        <f>K569-L569</f>
        <v/>
      </c>
      <c r="P569" s="19">
        <f>(K569/L569)-1</f>
        <v/>
      </c>
    </row>
    <row r="570">
      <c r="A570" t="n">
        <v>31</v>
      </c>
      <c r="B570" t="inlineStr">
        <is>
          <t>SPE4A6-18-P-L684</t>
        </is>
      </c>
      <c r="E570" t="n">
        <v>22</v>
      </c>
      <c r="F570" t="inlineStr">
        <is>
          <t>WORLD MAGNETICS</t>
        </is>
      </c>
      <c r="G570" s="4" t="n">
        <v>43304</v>
      </c>
      <c r="H570" t="n">
        <v>140</v>
      </c>
      <c r="I570" t="inlineStr">
        <is>
          <t>WS-JY31</t>
        </is>
      </c>
      <c r="J570" t="inlineStr">
        <is>
          <t>y</t>
        </is>
      </c>
      <c r="K570" s="232" t="n">
        <v>5185.18</v>
      </c>
      <c r="L570" s="230" t="n">
        <v>5058.68</v>
      </c>
      <c r="M570" s="232">
        <f>K570-L570</f>
        <v/>
      </c>
      <c r="N570" s="51">
        <f>25.3+22.35+22.35</f>
        <v/>
      </c>
      <c r="P570" s="19">
        <f>(K570/L570)-1</f>
        <v/>
      </c>
    </row>
    <row r="571">
      <c r="A571" t="n">
        <v>32</v>
      </c>
      <c r="B571" t="inlineStr">
        <is>
          <t>SPE7M5-18-V-064J</t>
        </is>
      </c>
      <c r="E571" t="n">
        <v>32</v>
      </c>
      <c r="F571" t="inlineStr">
        <is>
          <t>Phoneix Logistics</t>
        </is>
      </c>
      <c r="G571" s="4" t="n">
        <v>43304</v>
      </c>
      <c r="H571" t="n">
        <v>140</v>
      </c>
      <c r="I571" t="inlineStr">
        <is>
          <t>WS-JY32</t>
        </is>
      </c>
      <c r="J571" t="inlineStr">
        <is>
          <t>y</t>
        </is>
      </c>
      <c r="K571" s="232" t="n">
        <v>21623.36</v>
      </c>
      <c r="L571" s="230" t="n">
        <v>21506.24</v>
      </c>
      <c r="M571" s="232">
        <f>K571-L571</f>
        <v/>
      </c>
      <c r="P571" s="19">
        <f>(K571/L571)-1</f>
        <v/>
      </c>
    </row>
    <row r="572">
      <c r="A572" t="n">
        <v>33</v>
      </c>
      <c r="B572" t="inlineStr">
        <is>
          <t>SPE7M0-18-V-9958</t>
        </is>
      </c>
      <c r="E572" t="n">
        <v>2</v>
      </c>
      <c r="F572" t="inlineStr">
        <is>
          <t>PBM</t>
        </is>
      </c>
      <c r="G572" s="4" t="n">
        <v>43304</v>
      </c>
      <c r="H572" t="n">
        <v>140</v>
      </c>
      <c r="I572" t="inlineStr">
        <is>
          <t>WS-JY33</t>
        </is>
      </c>
      <c r="J572" t="inlineStr">
        <is>
          <t>y</t>
        </is>
      </c>
      <c r="K572" s="232" t="n">
        <v>6328</v>
      </c>
      <c r="L572" s="230" t="n">
        <v>6102</v>
      </c>
      <c r="M572" s="232">
        <f>K572-L572</f>
        <v/>
      </c>
      <c r="N572" s="51" t="n">
        <v>81</v>
      </c>
      <c r="P572" s="19">
        <f>(K572/L572)-1</f>
        <v/>
      </c>
    </row>
    <row r="573">
      <c r="A573" t="n">
        <v>34</v>
      </c>
      <c r="B573" t="inlineStr">
        <is>
          <t>SPE4A4-18-V-008G</t>
        </is>
      </c>
      <c r="E573" t="n">
        <v>7</v>
      </c>
      <c r="F573" t="inlineStr">
        <is>
          <t>GEMS</t>
        </is>
      </c>
      <c r="G573" s="4" t="n">
        <v>43304</v>
      </c>
      <c r="H573" t="n">
        <v>140</v>
      </c>
      <c r="I573" t="inlineStr">
        <is>
          <t>WS-JY34</t>
        </is>
      </c>
      <c r="J573" t="inlineStr">
        <is>
          <t>y</t>
        </is>
      </c>
      <c r="K573" s="232" t="n">
        <v>8258.459999999999</v>
      </c>
      <c r="L573" s="230">
        <f>8022+46.83</f>
        <v/>
      </c>
      <c r="M573" s="232">
        <f>K573-L573</f>
        <v/>
      </c>
      <c r="N573" t="n">
        <v>50.49</v>
      </c>
      <c r="O573" s="233">
        <f>+M573-N573</f>
        <v/>
      </c>
      <c r="P573" s="19">
        <f>(K573/L573)-1</f>
        <v/>
      </c>
    </row>
    <row r="574">
      <c r="A574" t="n">
        <v>35</v>
      </c>
      <c r="B574" t="inlineStr">
        <is>
          <t>SPE7M8-18-V-1980</t>
        </is>
      </c>
      <c r="E574" t="n">
        <v>5</v>
      </c>
      <c r="F574" t="inlineStr">
        <is>
          <t>GEMS</t>
        </is>
      </c>
      <c r="G574" s="4" t="n">
        <v>43305</v>
      </c>
      <c r="H574" t="n">
        <v>140</v>
      </c>
      <c r="I574" t="inlineStr">
        <is>
          <t>WS-JY35</t>
        </is>
      </c>
      <c r="J574" t="inlineStr">
        <is>
          <t>y</t>
        </is>
      </c>
      <c r="K574" s="232" t="n">
        <v>15937.1</v>
      </c>
      <c r="L574" s="230">
        <f>15675+41.53</f>
        <v/>
      </c>
      <c r="M574" s="232">
        <f>K574-L574</f>
        <v/>
      </c>
      <c r="N574" t="n">
        <v>47.76</v>
      </c>
      <c r="O574" s="233">
        <f>+M574-N574</f>
        <v/>
      </c>
      <c r="P574" s="19">
        <f>(K574/L574)-1</f>
        <v/>
      </c>
    </row>
    <row r="575">
      <c r="A575" t="n">
        <v>36</v>
      </c>
      <c r="B575" t="inlineStr">
        <is>
          <t>SPE7M8-18-V-1984</t>
        </is>
      </c>
      <c r="E575" t="n">
        <v>7</v>
      </c>
      <c r="F575" t="inlineStr">
        <is>
          <t>GEMS</t>
        </is>
      </c>
      <c r="G575" s="4" t="n">
        <v>43306</v>
      </c>
      <c r="H575" t="n">
        <v>140</v>
      </c>
      <c r="I575" t="inlineStr">
        <is>
          <t>WS-JY36</t>
        </is>
      </c>
      <c r="J575" t="inlineStr">
        <is>
          <t>y</t>
        </is>
      </c>
      <c r="K575" s="232" t="n">
        <v>12240.69</v>
      </c>
      <c r="L575" s="230">
        <f>12110+17.68</f>
        <v/>
      </c>
      <c r="M575" s="232">
        <f>K575-L575</f>
        <v/>
      </c>
      <c r="N575" t="n">
        <v>20.87</v>
      </c>
      <c r="P575" s="19">
        <f>(K575/L575)-1</f>
        <v/>
      </c>
    </row>
    <row r="576">
      <c r="A576" t="n">
        <v>37</v>
      </c>
      <c r="B576" t="inlineStr">
        <is>
          <t>SPE7M5-18-V-069N</t>
        </is>
      </c>
      <c r="E576" t="n">
        <v>19</v>
      </c>
      <c r="F576" s="160" t="inlineStr">
        <is>
          <t>Glenair</t>
        </is>
      </c>
      <c r="G576" s="4" t="n">
        <v>43306</v>
      </c>
      <c r="H576" t="n">
        <v>140</v>
      </c>
      <c r="I576" t="inlineStr">
        <is>
          <t>WS-JY37</t>
        </is>
      </c>
      <c r="J576" t="inlineStr">
        <is>
          <t>y</t>
        </is>
      </c>
      <c r="K576" s="232" t="n">
        <v>3287</v>
      </c>
      <c r="L576" s="230" t="n">
        <v>3240.2</v>
      </c>
      <c r="M576" s="232">
        <f>K576-L576</f>
        <v/>
      </c>
      <c r="P576" s="19">
        <f>(K576/L576)-1</f>
        <v/>
      </c>
    </row>
    <row r="577">
      <c r="A577" t="n">
        <v>38</v>
      </c>
      <c r="B577" t="inlineStr">
        <is>
          <t>SPE5EK-18-V-5636</t>
        </is>
      </c>
      <c r="E577" t="n">
        <v>20</v>
      </c>
      <c r="F577" t="inlineStr">
        <is>
          <t>Glenair</t>
        </is>
      </c>
      <c r="G577" s="4" t="n">
        <v>43306</v>
      </c>
      <c r="H577" t="n">
        <v>140</v>
      </c>
      <c r="I577" t="inlineStr">
        <is>
          <t>WS-JY38</t>
        </is>
      </c>
      <c r="J577" t="inlineStr">
        <is>
          <t>y</t>
        </is>
      </c>
      <c r="K577" s="232" t="n">
        <v>3036.4</v>
      </c>
      <c r="L577" s="230" t="n">
        <v>2985.2</v>
      </c>
      <c r="M577" s="232">
        <f>K577-L577</f>
        <v/>
      </c>
      <c r="P577" s="19">
        <f>(K577/L577)-1</f>
        <v/>
      </c>
    </row>
    <row r="578">
      <c r="A578" t="n">
        <v>39</v>
      </c>
      <c r="B578" t="inlineStr">
        <is>
          <t>SPE7M8-18-P-3233</t>
        </is>
      </c>
      <c r="E578" t="n">
        <v>4</v>
      </c>
      <c r="F578" t="inlineStr">
        <is>
          <t>GEMS</t>
        </is>
      </c>
      <c r="G578" s="4" t="n">
        <v>43308</v>
      </c>
      <c r="H578" t="n">
        <v>140</v>
      </c>
      <c r="I578" t="inlineStr">
        <is>
          <t>WS-JY39</t>
        </is>
      </c>
      <c r="J578" t="inlineStr">
        <is>
          <t>y</t>
        </is>
      </c>
      <c r="K578" s="232" t="n">
        <v>24715.36</v>
      </c>
      <c r="L578" s="230">
        <f>24320+14.93</f>
        <v/>
      </c>
      <c r="M578" s="232">
        <f>K578-L578</f>
        <v/>
      </c>
      <c r="N578" t="n">
        <v>18.09</v>
      </c>
      <c r="O578" s="233">
        <f>+M578-N578</f>
        <v/>
      </c>
      <c r="P578" s="19">
        <f>(K578/L578)-1</f>
        <v/>
      </c>
    </row>
    <row r="579">
      <c r="A579" t="n">
        <v>40</v>
      </c>
      <c r="B579" t="inlineStr">
        <is>
          <t>SPE7M8-18-P-3238</t>
        </is>
      </c>
      <c r="E579" t="n">
        <v>1</v>
      </c>
      <c r="F579" t="inlineStr">
        <is>
          <t>GEMS</t>
        </is>
      </c>
      <c r="G579" s="4" t="n">
        <v>43309</v>
      </c>
      <c r="H579" t="n">
        <v>120</v>
      </c>
      <c r="I579" t="inlineStr">
        <is>
          <t>WS-JY40</t>
        </is>
      </c>
      <c r="J579" t="inlineStr">
        <is>
          <t>y</t>
        </is>
      </c>
      <c r="K579" s="232" t="n">
        <v>1058</v>
      </c>
      <c r="L579" s="230">
        <f>1010+12.32</f>
        <v/>
      </c>
      <c r="M579" s="232">
        <f>K579-L579</f>
        <v/>
      </c>
      <c r="N579" t="n">
        <v>12.96</v>
      </c>
      <c r="P579" s="19">
        <f>(K579/L579)-1</f>
        <v/>
      </c>
    </row>
    <row r="580">
      <c r="A580" t="n">
        <v>41</v>
      </c>
      <c r="B580" t="inlineStr">
        <is>
          <t>SPE5E2-18-P-1233</t>
        </is>
      </c>
      <c r="E580" t="n">
        <v>30</v>
      </c>
      <c r="F580" s="160" t="inlineStr">
        <is>
          <t>Lee spring</t>
        </is>
      </c>
      <c r="G580" s="4" t="n">
        <v>43311</v>
      </c>
      <c r="H580" t="n">
        <v>90</v>
      </c>
      <c r="I580" t="inlineStr">
        <is>
          <t>WS-JY41</t>
        </is>
      </c>
      <c r="J580" t="inlineStr">
        <is>
          <t>y</t>
        </is>
      </c>
      <c r="K580" s="232" t="n">
        <v>233.4</v>
      </c>
      <c r="L580" s="255" t="n">
        <v>199</v>
      </c>
      <c r="M580" s="232">
        <f>K580-L580</f>
        <v/>
      </c>
      <c r="P580" s="19">
        <f>(K580/L580)-1</f>
        <v/>
      </c>
    </row>
    <row r="581">
      <c r="A581" t="n">
        <v>42</v>
      </c>
      <c r="B581" t="inlineStr">
        <is>
          <t>SPE7MC-18-V-9439</t>
        </is>
      </c>
      <c r="E581" t="n">
        <v>174</v>
      </c>
      <c r="F581" t="inlineStr">
        <is>
          <t>MAFO</t>
        </is>
      </c>
      <c r="G581" s="4" t="n">
        <v>43311</v>
      </c>
      <c r="H581" t="n">
        <v>140</v>
      </c>
      <c r="I581" t="inlineStr">
        <is>
          <t>WS-JY42</t>
        </is>
      </c>
      <c r="J581" t="inlineStr">
        <is>
          <t>y</t>
        </is>
      </c>
      <c r="K581" s="232" t="n">
        <v>12472.32</v>
      </c>
      <c r="L581" s="230" t="n">
        <v>11239.82</v>
      </c>
      <c r="M581" s="232">
        <f>K581-L581</f>
        <v/>
      </c>
      <c r="P581" s="19">
        <f>(K581/L581)-1</f>
        <v/>
      </c>
    </row>
    <row r="582">
      <c r="K582" s="243">
        <f>SUM(K540:K581)</f>
        <v/>
      </c>
      <c r="L582" s="240">
        <f>SUM(L540:L581)</f>
        <v/>
      </c>
      <c r="M582" s="243">
        <f>K582-L582</f>
        <v/>
      </c>
      <c r="P582" s="92">
        <f>(K582/L582)-1</f>
        <v/>
      </c>
    </row>
    <row r="583">
      <c r="N583" s="232">
        <f>M540+M541+M547+M549+M553+M555+M558+M559+M566+M572+M574+M578+M581</f>
        <v/>
      </c>
      <c r="P583" s="19" t="n"/>
    </row>
    <row r="584">
      <c r="A584" t="n">
        <v>1</v>
      </c>
      <c r="B584" s="3" t="inlineStr">
        <is>
          <t>SPE4A0-18-V-1442</t>
        </is>
      </c>
      <c r="E584" t="n">
        <v>9</v>
      </c>
      <c r="F584" s="160" t="inlineStr">
        <is>
          <t>AVIBANK</t>
        </is>
      </c>
      <c r="G584" s="4" t="n">
        <v>43313</v>
      </c>
      <c r="H584" t="n">
        <v>160</v>
      </c>
      <c r="I584" t="inlineStr">
        <is>
          <t>WS-AU01</t>
        </is>
      </c>
      <c r="K584" s="232" t="n">
        <v>672.12</v>
      </c>
      <c r="L584" s="230" t="n">
        <v>513.1</v>
      </c>
      <c r="M584" s="232">
        <f>K584-L584</f>
        <v/>
      </c>
      <c r="P584" s="19">
        <f>(K584/L584)-1</f>
        <v/>
      </c>
    </row>
    <row r="585">
      <c r="A585" t="n">
        <v>2</v>
      </c>
      <c r="B585" s="3" t="inlineStr">
        <is>
          <t>SPE8EN-18-P-0956</t>
        </is>
      </c>
      <c r="E585" t="n">
        <v>7</v>
      </c>
      <c r="F585" t="inlineStr">
        <is>
          <t>GEMS</t>
        </is>
      </c>
      <c r="G585" s="4" t="n">
        <v>43313</v>
      </c>
      <c r="H585" t="n">
        <v>135</v>
      </c>
      <c r="I585" t="inlineStr">
        <is>
          <t>WS-AU02</t>
        </is>
      </c>
      <c r="J585" t="inlineStr">
        <is>
          <t>y</t>
        </is>
      </c>
      <c r="K585" s="232" t="n">
        <v>44394</v>
      </c>
      <c r="L585" s="230">
        <f>43400+78.04</f>
        <v/>
      </c>
      <c r="M585" s="232">
        <f>K585-L585</f>
        <v/>
      </c>
      <c r="N585" s="232">
        <f>26.51+26.51+26.51</f>
        <v/>
      </c>
      <c r="P585" s="19">
        <f>(K585/L585)-1</f>
        <v/>
      </c>
    </row>
    <row r="586">
      <c r="A586" t="n">
        <v>3</v>
      </c>
      <c r="B586" s="3" t="inlineStr">
        <is>
          <t>SPE7M5-18-V-082D</t>
        </is>
      </c>
      <c r="E586" t="n">
        <v>75</v>
      </c>
      <c r="F586" t="inlineStr">
        <is>
          <t>Glenair</t>
        </is>
      </c>
      <c r="G586" s="4" t="n">
        <v>43313</v>
      </c>
      <c r="H586" t="n">
        <v>160</v>
      </c>
      <c r="I586" t="inlineStr">
        <is>
          <t>WS-AU03</t>
        </is>
      </c>
      <c r="K586" s="232" t="n">
        <v>3587.25</v>
      </c>
      <c r="L586" s="230" t="n">
        <v>3521.25</v>
      </c>
      <c r="M586" s="232">
        <f>K586-L586</f>
        <v/>
      </c>
      <c r="P586" s="19">
        <f>(K586/L586)-1</f>
        <v/>
      </c>
    </row>
    <row r="587">
      <c r="A587" t="n">
        <v>4</v>
      </c>
      <c r="B587" t="inlineStr">
        <is>
          <t>SPE7M4-18-V-6129</t>
        </is>
      </c>
      <c r="E587" t="n">
        <v>8</v>
      </c>
      <c r="F587" t="inlineStr">
        <is>
          <t>DRUCK PAR</t>
        </is>
      </c>
      <c r="G587" s="4" t="n">
        <v>43315</v>
      </c>
      <c r="H587" t="n">
        <v>140</v>
      </c>
      <c r="I587" s="51" t="inlineStr">
        <is>
          <t>WS-AU04</t>
        </is>
      </c>
      <c r="K587" s="232" t="n">
        <v>1471.04</v>
      </c>
      <c r="L587" s="255" t="n">
        <v>1408</v>
      </c>
      <c r="M587" s="232">
        <f>K587-L587</f>
        <v/>
      </c>
      <c r="P587" s="19">
        <f>(K587/L587)-1</f>
        <v/>
      </c>
    </row>
    <row r="588">
      <c r="A588" t="n">
        <v>5</v>
      </c>
      <c r="B588" s="3" t="inlineStr">
        <is>
          <t>SPE5EM-18-P-1770</t>
        </is>
      </c>
      <c r="E588" t="n">
        <v>11</v>
      </c>
      <c r="F588" t="inlineStr">
        <is>
          <t>Morris</t>
        </is>
      </c>
      <c r="G588" s="4" t="n">
        <v>43315</v>
      </c>
      <c r="H588" t="n">
        <v>110</v>
      </c>
      <c r="I588" t="inlineStr">
        <is>
          <t>WS-AU05</t>
        </is>
      </c>
      <c r="J588" t="inlineStr">
        <is>
          <t>y</t>
        </is>
      </c>
      <c r="K588" s="232" t="n">
        <v>1219.46</v>
      </c>
      <c r="L588" s="230" t="n">
        <v>1172.49</v>
      </c>
      <c r="M588" s="232">
        <f>K588-L588</f>
        <v/>
      </c>
      <c r="P588" s="19">
        <f>(K588/L588)-1</f>
        <v/>
      </c>
    </row>
    <row r="589">
      <c r="A589" t="n">
        <v>6</v>
      </c>
      <c r="B589" t="inlineStr">
        <is>
          <t>SPE7M8-18-P-3331</t>
        </is>
      </c>
      <c r="E589" t="n">
        <v>29</v>
      </c>
      <c r="F589" t="inlineStr">
        <is>
          <t>GEMS</t>
        </is>
      </c>
      <c r="G589" s="4" t="n">
        <v>43318</v>
      </c>
      <c r="H589" t="n">
        <v>140</v>
      </c>
      <c r="I589" t="inlineStr">
        <is>
          <t>WS-AU06</t>
        </is>
      </c>
      <c r="J589" t="inlineStr">
        <is>
          <t>y</t>
        </is>
      </c>
      <c r="K589" s="232" t="n">
        <v>20979.76</v>
      </c>
      <c r="L589" s="230">
        <f>20590+28.7</f>
        <v/>
      </c>
      <c r="M589" s="237">
        <f>K589-L589</f>
        <v/>
      </c>
      <c r="N589" t="n">
        <v>37.17</v>
      </c>
      <c r="P589" s="19">
        <f>(K589/L589)-1</f>
        <v/>
      </c>
    </row>
    <row r="590">
      <c r="A590" t="n">
        <v>7</v>
      </c>
      <c r="B590" t="inlineStr">
        <is>
          <t>SPE7MC-18-V-9631</t>
        </is>
      </c>
      <c r="E590" t="n">
        <v>3</v>
      </c>
      <c r="F590" t="inlineStr">
        <is>
          <t>DRUCK</t>
        </is>
      </c>
      <c r="G590" s="4" t="n">
        <v>43318</v>
      </c>
      <c r="H590" t="n">
        <v>130</v>
      </c>
      <c r="I590" t="inlineStr">
        <is>
          <t>WS-AU07</t>
        </is>
      </c>
      <c r="J590" t="inlineStr">
        <is>
          <t>y</t>
        </is>
      </c>
      <c r="K590" s="232" t="n">
        <v>1439.49</v>
      </c>
      <c r="L590" s="230" t="n">
        <v>1401</v>
      </c>
      <c r="M590" s="232">
        <f>K590-L590</f>
        <v/>
      </c>
      <c r="P590" s="19">
        <f>(K590/L590)-1</f>
        <v/>
      </c>
    </row>
    <row r="591">
      <c r="A591" t="n">
        <v>8</v>
      </c>
      <c r="B591" t="inlineStr">
        <is>
          <t>SPE7M1-18-V-075W</t>
        </is>
      </c>
      <c r="E591" t="n">
        <v>3</v>
      </c>
      <c r="F591" t="inlineStr">
        <is>
          <t>DRUCK</t>
        </is>
      </c>
      <c r="G591" s="4" t="n">
        <v>43318</v>
      </c>
      <c r="H591" t="n">
        <v>150</v>
      </c>
      <c r="I591" t="inlineStr">
        <is>
          <t>WS-AU08</t>
        </is>
      </c>
      <c r="J591" t="inlineStr">
        <is>
          <t>y</t>
        </is>
      </c>
      <c r="K591" s="232" t="n">
        <v>8553.540000000001</v>
      </c>
      <c r="L591" s="230" t="n">
        <v>8457</v>
      </c>
      <c r="M591" s="232">
        <f>K591-L591</f>
        <v/>
      </c>
      <c r="P591" s="19">
        <f>(K591/L591)-1</f>
        <v/>
      </c>
    </row>
    <row r="592">
      <c r="A592" t="n">
        <v>9</v>
      </c>
      <c r="B592" t="inlineStr">
        <is>
          <t>SPE7L0-18-V-8007</t>
        </is>
      </c>
      <c r="E592" t="n">
        <v>1</v>
      </c>
      <c r="F592" t="inlineStr">
        <is>
          <t>HIAB PAR ancelled</t>
        </is>
      </c>
      <c r="G592" s="4" t="n">
        <v>43320</v>
      </c>
      <c r="H592" t="n">
        <v>130</v>
      </c>
      <c r="K592" s="232" t="n">
        <v>0</v>
      </c>
      <c r="L592" s="230" t="n">
        <v>0</v>
      </c>
      <c r="M592" s="232">
        <f>K592-L592</f>
        <v/>
      </c>
      <c r="P592" s="19">
        <f>(K592/L592)-1</f>
        <v/>
      </c>
    </row>
    <row r="593">
      <c r="A593" t="n">
        <v>10</v>
      </c>
      <c r="B593" s="3" t="inlineStr">
        <is>
          <t>SPE7M0-18-V-023S</t>
        </is>
      </c>
      <c r="E593" t="n">
        <v>2</v>
      </c>
      <c r="F593" t="inlineStr">
        <is>
          <t>PRECEE</t>
        </is>
      </c>
      <c r="G593" s="4" t="n">
        <v>43320</v>
      </c>
      <c r="H593" t="n">
        <v>300</v>
      </c>
      <c r="I593" t="inlineStr">
        <is>
          <t>WS-AU10</t>
        </is>
      </c>
      <c r="J593" t="inlineStr">
        <is>
          <t>y</t>
        </is>
      </c>
      <c r="K593" s="232" t="n">
        <v>33508</v>
      </c>
      <c r="L593" s="230" t="n">
        <v>32270</v>
      </c>
      <c r="M593" s="232">
        <f>K593-L593</f>
        <v/>
      </c>
      <c r="P593" s="19">
        <f>(K593/L593)-1</f>
        <v/>
      </c>
    </row>
    <row r="594">
      <c r="A594" t="n">
        <v>11</v>
      </c>
      <c r="B594" t="inlineStr">
        <is>
          <t>SPE7M5-18-V-094L</t>
        </is>
      </c>
      <c r="E594" t="n">
        <v>12</v>
      </c>
      <c r="F594" t="inlineStr">
        <is>
          <t>LAIRD</t>
        </is>
      </c>
      <c r="G594" s="4" t="n">
        <v>43321</v>
      </c>
      <c r="I594" t="inlineStr">
        <is>
          <t>WS-AU11</t>
        </is>
      </c>
      <c r="K594" s="232" t="n">
        <v>8140.68</v>
      </c>
      <c r="L594" s="230">
        <f>8004+270.03</f>
        <v/>
      </c>
      <c r="M594" s="232">
        <f>K594-L594</f>
        <v/>
      </c>
      <c r="P594" s="19">
        <f>(K594/L594)-1</f>
        <v/>
      </c>
    </row>
    <row r="595">
      <c r="A595" t="n">
        <v>12</v>
      </c>
      <c r="B595" t="inlineStr">
        <is>
          <t>SPE7M5-18-P-E650</t>
        </is>
      </c>
      <c r="E595" t="n">
        <v>11</v>
      </c>
      <c r="F595" t="inlineStr">
        <is>
          <t>TIM PRICE</t>
        </is>
      </c>
      <c r="G595" s="4" t="n">
        <v>43322</v>
      </c>
      <c r="H595" t="n">
        <v>170</v>
      </c>
      <c r="I595" t="inlineStr">
        <is>
          <t>WS-AU12</t>
        </is>
      </c>
      <c r="J595" t="inlineStr">
        <is>
          <t>y</t>
        </is>
      </c>
      <c r="K595" s="232" t="n">
        <v>6450.29</v>
      </c>
      <c r="L595" s="230" t="n">
        <v>6303</v>
      </c>
      <c r="M595" s="232">
        <f>K595-L595</f>
        <v/>
      </c>
      <c r="N595" s="51" t="n">
        <v>82.61</v>
      </c>
      <c r="O595">
        <f>Qcal!B13573</f>
        <v/>
      </c>
      <c r="P595" s="19">
        <f>(K595/L595)-1</f>
        <v/>
      </c>
    </row>
    <row r="596">
      <c r="A596" t="n">
        <v>13</v>
      </c>
      <c r="B596" t="inlineStr">
        <is>
          <t>SPE7M0-18-V-026B</t>
        </is>
      </c>
      <c r="E596" t="n">
        <v>18</v>
      </c>
      <c r="F596" t="inlineStr">
        <is>
          <t>GEMS</t>
        </is>
      </c>
      <c r="G596" s="4" t="n">
        <v>43322</v>
      </c>
      <c r="H596" t="n">
        <v>140</v>
      </c>
      <c r="I596" t="inlineStr">
        <is>
          <t>WS-AU13</t>
        </is>
      </c>
      <c r="J596" t="inlineStr">
        <is>
          <t>y</t>
        </is>
      </c>
      <c r="K596" s="232" t="n">
        <v>31793.04</v>
      </c>
      <c r="L596" s="230">
        <f>31140+30.75</f>
        <v/>
      </c>
      <c r="M596" s="237">
        <f>K596-L596</f>
        <v/>
      </c>
      <c r="N596" t="n">
        <v>39.13</v>
      </c>
      <c r="P596" s="19">
        <f>(K596/L596)-1</f>
        <v/>
      </c>
    </row>
    <row r="597">
      <c r="A597" t="n">
        <v>14</v>
      </c>
      <c r="B597" t="inlineStr">
        <is>
          <t>SPE4A6-18-V-420Z</t>
        </is>
      </c>
      <c r="E597" t="n">
        <v>2</v>
      </c>
      <c r="F597" t="inlineStr">
        <is>
          <t>USBGEAR-Desti</t>
        </is>
      </c>
      <c r="G597" s="4" t="n">
        <v>43322</v>
      </c>
      <c r="J597" t="inlineStr">
        <is>
          <t>y</t>
        </is>
      </c>
      <c r="K597" s="232" t="n">
        <v>189.36</v>
      </c>
      <c r="L597" s="230" t="n">
        <v>54.31</v>
      </c>
      <c r="M597" s="232">
        <f>K597-L597</f>
        <v/>
      </c>
      <c r="P597" s="19">
        <f>(K597/L597)-1</f>
        <v/>
      </c>
    </row>
    <row r="598">
      <c r="A598" t="n">
        <v>15</v>
      </c>
      <c r="B598" t="inlineStr">
        <is>
          <t>SPE7M518V097G</t>
        </is>
      </c>
      <c r="E598" t="n">
        <v>1</v>
      </c>
      <c r="F598" t="inlineStr">
        <is>
          <t>Glenair</t>
        </is>
      </c>
      <c r="G598" s="4" t="n">
        <v>43325</v>
      </c>
      <c r="H598" t="n">
        <v>120</v>
      </c>
      <c r="I598" t="inlineStr">
        <is>
          <t>WS-AU15</t>
        </is>
      </c>
      <c r="K598" s="232" t="n">
        <v>289.78</v>
      </c>
      <c r="L598" s="230" t="n">
        <v>258.99</v>
      </c>
      <c r="M598" s="232">
        <f>K598-L598</f>
        <v/>
      </c>
      <c r="P598" s="19">
        <f>(K598/L598)-1</f>
        <v/>
      </c>
    </row>
    <row r="599">
      <c r="A599" t="n">
        <v>16</v>
      </c>
      <c r="B599" t="inlineStr">
        <is>
          <t>SPE7M5-18-V-097K</t>
        </is>
      </c>
      <c r="E599" t="n">
        <v>1</v>
      </c>
      <c r="F599" t="inlineStr">
        <is>
          <t>Glenair PAR</t>
        </is>
      </c>
      <c r="G599" s="4" t="n">
        <v>43325</v>
      </c>
      <c r="H599" t="n">
        <v>120</v>
      </c>
      <c r="I599" t="inlineStr">
        <is>
          <t>WS-AU16</t>
        </is>
      </c>
      <c r="K599" s="232" t="n">
        <v>607.64</v>
      </c>
      <c r="L599" s="230" t="n">
        <v>581.36</v>
      </c>
      <c r="M599" s="232">
        <f>K599-L599</f>
        <v/>
      </c>
      <c r="P599" s="19">
        <f>(K599/L599)-1</f>
        <v/>
      </c>
    </row>
    <row r="600">
      <c r="A600" t="n">
        <v>17</v>
      </c>
      <c r="B600" t="inlineStr">
        <is>
          <t>SPE7M2-18-V-1623</t>
        </is>
      </c>
      <c r="E600" t="n">
        <v>37</v>
      </c>
      <c r="F600" s="160" t="inlineStr">
        <is>
          <t>Glenair 13 avialble</t>
        </is>
      </c>
      <c r="G600" s="4" t="n">
        <v>43325</v>
      </c>
      <c r="H600" t="n">
        <v>140</v>
      </c>
      <c r="I600" t="inlineStr">
        <is>
          <t>WS-AU17</t>
        </is>
      </c>
      <c r="K600" s="232" t="n">
        <v>11629.84</v>
      </c>
      <c r="L600" s="230" t="n">
        <v>11663</v>
      </c>
      <c r="M600" s="232">
        <f>K600-L600</f>
        <v/>
      </c>
      <c r="P600" s="19">
        <f>(#REF!/L600)-1</f>
        <v/>
      </c>
    </row>
    <row r="601">
      <c r="A601" t="n">
        <v>18</v>
      </c>
      <c r="B601" t="inlineStr">
        <is>
          <t>SPE7M5-18-V-097X</t>
        </is>
      </c>
      <c r="E601" t="n">
        <v>10</v>
      </c>
      <c r="F601" t="inlineStr">
        <is>
          <t>ITT PAR Cancelled</t>
        </is>
      </c>
      <c r="G601" s="4" t="n">
        <v>43325</v>
      </c>
      <c r="H601" t="n">
        <v>140</v>
      </c>
      <c r="K601" s="232" t="n">
        <v>2480</v>
      </c>
      <c r="L601" s="230" t="n">
        <v>2480</v>
      </c>
      <c r="M601" s="232">
        <f>K601-L601</f>
        <v/>
      </c>
      <c r="P601" s="19">
        <f>(K600/L601)-1</f>
        <v/>
      </c>
    </row>
    <row r="602">
      <c r="A602" t="n">
        <v>19</v>
      </c>
      <c r="B602" t="inlineStr">
        <is>
          <t>SPE5EM-18-V-7439</t>
        </is>
      </c>
      <c r="E602" t="n">
        <v>1</v>
      </c>
      <c r="F602" t="inlineStr">
        <is>
          <t>LEE Spring</t>
        </is>
      </c>
      <c r="G602" s="4" t="n">
        <v>43325</v>
      </c>
      <c r="I602" t="inlineStr">
        <is>
          <t>WS-AU19</t>
        </is>
      </c>
      <c r="K602" s="232" t="n">
        <v>78</v>
      </c>
      <c r="L602" s="230" t="n">
        <v>43.96</v>
      </c>
      <c r="M602" s="232">
        <f>K602-L602</f>
        <v/>
      </c>
      <c r="P602" s="19">
        <f>(K602/L602)-1</f>
        <v/>
      </c>
    </row>
    <row r="603">
      <c r="A603" t="n">
        <v>20</v>
      </c>
      <c r="B603" t="inlineStr">
        <is>
          <t>SPE7MC-18-V-9823</t>
        </is>
      </c>
      <c r="E603" t="n">
        <v>8</v>
      </c>
      <c r="F603" t="inlineStr">
        <is>
          <t>Glenair</t>
        </is>
      </c>
      <c r="G603" s="4" t="n">
        <v>43325</v>
      </c>
      <c r="H603" t="n">
        <v>160</v>
      </c>
      <c r="I603" t="inlineStr">
        <is>
          <t>WS-AU20</t>
        </is>
      </c>
      <c r="K603" s="232" t="n">
        <v>3691.04</v>
      </c>
      <c r="L603" s="230" t="n">
        <v>3622.3</v>
      </c>
      <c r="M603" s="232">
        <f>K603-L603</f>
        <v/>
      </c>
      <c r="P603" s="19">
        <f>(K603/L603)-1</f>
        <v/>
      </c>
    </row>
    <row r="604">
      <c r="A604" t="n">
        <v>21</v>
      </c>
      <c r="B604" t="inlineStr">
        <is>
          <t>SPE7M8-18-V-2154</t>
        </is>
      </c>
      <c r="E604" t="n">
        <v>24</v>
      </c>
      <c r="F604" t="inlineStr">
        <is>
          <t>CPI PAR cancelled</t>
        </is>
      </c>
      <c r="G604" s="4" t="n">
        <v>43325</v>
      </c>
      <c r="K604" s="232" t="n">
        <v>0</v>
      </c>
      <c r="L604" s="230" t="n">
        <v>0</v>
      </c>
      <c r="M604" s="232">
        <f>K604-L604</f>
        <v/>
      </c>
      <c r="P604" s="19">
        <f>(K604/L604)-1</f>
        <v/>
      </c>
    </row>
    <row r="605">
      <c r="A605" t="n">
        <v>22</v>
      </c>
      <c r="B605" t="inlineStr">
        <is>
          <t>SPE7M5-18-V-096M</t>
        </is>
      </c>
      <c r="E605" t="n">
        <v>95</v>
      </c>
      <c r="F605" t="inlineStr">
        <is>
          <t>Glenair</t>
        </is>
      </c>
      <c r="G605" s="4" t="n">
        <v>43325</v>
      </c>
      <c r="H605" t="n">
        <v>140</v>
      </c>
      <c r="I605" t="inlineStr">
        <is>
          <t>WS-AU22</t>
        </is>
      </c>
      <c r="K605" s="232" t="n">
        <v>6931.2</v>
      </c>
      <c r="L605" s="230" t="n">
        <v>6827</v>
      </c>
      <c r="M605" s="232">
        <f>K605-L605</f>
        <v/>
      </c>
      <c r="N605" s="51">
        <f>28.42+28.42</f>
        <v/>
      </c>
      <c r="P605" s="19">
        <f>(K605/L605)-1</f>
        <v/>
      </c>
      <c r="Q605" s="50" t="inlineStr">
        <is>
          <t>orderd 100</t>
        </is>
      </c>
    </row>
    <row r="606">
      <c r="A606" t="n">
        <v>23</v>
      </c>
      <c r="B606" t="inlineStr">
        <is>
          <t>SPE5E318V8004</t>
        </is>
      </c>
      <c r="E606" t="n">
        <v>10</v>
      </c>
      <c r="F606" s="51" t="inlineStr">
        <is>
          <t>AVIBANK PAR</t>
        </is>
      </c>
      <c r="G606" s="4" t="n">
        <v>43327</v>
      </c>
      <c r="K606" s="232" t="n">
        <v>0</v>
      </c>
      <c r="L606" s="230" t="n">
        <v>0</v>
      </c>
      <c r="M606" s="232">
        <f>K606-L606</f>
        <v/>
      </c>
      <c r="P606" s="19">
        <f>(K606/L606)-1</f>
        <v/>
      </c>
    </row>
    <row r="607">
      <c r="A607" t="n">
        <v>24</v>
      </c>
      <c r="B607" t="inlineStr">
        <is>
          <t>SPE7MC-18-V-001F</t>
        </is>
      </c>
      <c r="E607" t="n">
        <v>42</v>
      </c>
      <c r="F607" s="160" t="inlineStr">
        <is>
          <t>Glenair</t>
        </is>
      </c>
      <c r="G607" s="4" t="n">
        <v>43327</v>
      </c>
      <c r="H607" t="n">
        <v>140</v>
      </c>
      <c r="I607" t="inlineStr">
        <is>
          <t>WS-AU24</t>
        </is>
      </c>
      <c r="K607" s="232" t="n">
        <v>4423.44</v>
      </c>
      <c r="L607" s="230" t="n">
        <v>4360</v>
      </c>
      <c r="M607" s="232">
        <f>K607-L607</f>
        <v/>
      </c>
      <c r="P607" s="19">
        <f>(K607/L607)-1</f>
        <v/>
      </c>
    </row>
    <row r="608">
      <c r="A608" t="n">
        <v>25</v>
      </c>
      <c r="B608" s="3" t="inlineStr">
        <is>
          <t>SPE4A618V437H</t>
        </is>
      </c>
      <c r="E608" t="n">
        <v>46</v>
      </c>
      <c r="F608" t="inlineStr">
        <is>
          <t>Phoenix</t>
        </is>
      </c>
      <c r="G608" s="4" t="n">
        <v>43327</v>
      </c>
      <c r="H608" t="n">
        <v>170</v>
      </c>
      <c r="I608" t="inlineStr">
        <is>
          <t>WS-AU25</t>
        </is>
      </c>
      <c r="K608" s="232" t="n">
        <v>10335.74</v>
      </c>
      <c r="L608" s="230" t="n">
        <v>10205.56</v>
      </c>
      <c r="M608" s="232">
        <f>K608-L608</f>
        <v/>
      </c>
      <c r="P608" s="19">
        <f>(K608/L608)-1</f>
        <v/>
      </c>
    </row>
    <row r="609">
      <c r="A609" t="n">
        <v>26</v>
      </c>
      <c r="B609" s="3" t="inlineStr">
        <is>
          <t>SPE7M5-18-P-E909</t>
        </is>
      </c>
      <c r="E609" t="n">
        <v>101</v>
      </c>
      <c r="F609" t="inlineStr">
        <is>
          <t>ITT</t>
        </is>
      </c>
      <c r="G609" s="4" t="n">
        <v>43327</v>
      </c>
      <c r="H609" t="n">
        <v>180</v>
      </c>
      <c r="I609" t="inlineStr">
        <is>
          <t>WS-AU26</t>
        </is>
      </c>
      <c r="J609" t="inlineStr">
        <is>
          <t>y</t>
        </is>
      </c>
      <c r="K609" s="232" t="n">
        <v>82580.63</v>
      </c>
      <c r="L609" s="230" t="n">
        <v>76794.86</v>
      </c>
      <c r="M609" s="232">
        <f>K609-L609</f>
        <v/>
      </c>
      <c r="P609" s="19">
        <f>(K609/L609)-1</f>
        <v/>
      </c>
    </row>
    <row r="610">
      <c r="A610" t="n">
        <v>27</v>
      </c>
      <c r="B610" s="3" t="inlineStr">
        <is>
          <t>SPE7M0-18-V-037M</t>
        </is>
      </c>
      <c r="E610" t="n">
        <v>1</v>
      </c>
      <c r="F610" t="inlineStr">
        <is>
          <t>PRECEE</t>
        </is>
      </c>
      <c r="G610" s="4" t="n">
        <v>43329</v>
      </c>
      <c r="H610" t="n">
        <v>270</v>
      </c>
      <c r="I610" t="inlineStr">
        <is>
          <t>WS-AU27</t>
        </is>
      </c>
      <c r="J610" t="inlineStr">
        <is>
          <t>y</t>
        </is>
      </c>
      <c r="K610" s="232" t="n">
        <v>19909</v>
      </c>
      <c r="L610" s="230" t="n">
        <v>19500</v>
      </c>
      <c r="M610" s="232">
        <f>K610-L610</f>
        <v/>
      </c>
      <c r="P610" s="19">
        <f>(K610/L610)-1</f>
        <v/>
      </c>
    </row>
    <row r="611">
      <c r="A611" t="n">
        <v>28</v>
      </c>
      <c r="B611" t="inlineStr">
        <is>
          <t>SPE7M5-18-P-E934</t>
        </is>
      </c>
      <c r="E611" t="n">
        <v>20</v>
      </c>
      <c r="F611" t="inlineStr">
        <is>
          <t>ITT PAR</t>
        </is>
      </c>
      <c r="G611" s="4" t="n">
        <v>43329</v>
      </c>
      <c r="K611" s="232" t="n">
        <v>0</v>
      </c>
      <c r="L611" s="230" t="n">
        <v>0</v>
      </c>
      <c r="M611" s="232">
        <f>K611-L611</f>
        <v/>
      </c>
      <c r="P611" s="19">
        <f>(K611/L611)-1</f>
        <v/>
      </c>
    </row>
    <row r="612">
      <c r="A612" t="n">
        <v>29</v>
      </c>
      <c r="B612" t="inlineStr">
        <is>
          <t>SPE5EJ-18-V-7973</t>
        </is>
      </c>
      <c r="E612" t="n">
        <v>31</v>
      </c>
      <c r="F612" t="inlineStr">
        <is>
          <t>TIMKEN</t>
        </is>
      </c>
      <c r="G612" s="4" t="n">
        <v>43332</v>
      </c>
      <c r="H612" t="n">
        <v>120</v>
      </c>
      <c r="I612" t="inlineStr">
        <is>
          <t>WS-AU29</t>
        </is>
      </c>
      <c r="J612" t="inlineStr">
        <is>
          <t>y</t>
        </is>
      </c>
      <c r="K612" s="232" t="n">
        <v>1729.49</v>
      </c>
      <c r="L612" s="230" t="n">
        <v>1643</v>
      </c>
      <c r="M612" s="232">
        <f>K612-L612</f>
        <v/>
      </c>
      <c r="P612" s="19">
        <f>(K612/L612)-1</f>
        <v/>
      </c>
    </row>
    <row r="613">
      <c r="A613" t="n">
        <v>30</v>
      </c>
      <c r="B613" t="inlineStr">
        <is>
          <t>SPE7M8-18-V-2294</t>
        </is>
      </c>
      <c r="E613" t="n">
        <v>20</v>
      </c>
      <c r="F613" t="inlineStr">
        <is>
          <t>GEMS</t>
        </is>
      </c>
      <c r="G613" s="4" t="n">
        <v>43335</v>
      </c>
      <c r="H613" t="n">
        <v>140</v>
      </c>
      <c r="I613" t="inlineStr">
        <is>
          <t>WS-AU30</t>
        </is>
      </c>
      <c r="J613" t="inlineStr">
        <is>
          <t>y</t>
        </is>
      </c>
      <c r="K613" s="232" t="n">
        <v>23617.6</v>
      </c>
      <c r="L613" s="230">
        <f>23200+28.07</f>
        <v/>
      </c>
      <c r="M613" s="237">
        <f>K613-L613</f>
        <v/>
      </c>
      <c r="N613" t="n">
        <v>34.05</v>
      </c>
      <c r="P613" s="19">
        <f>(K613/L613)-1</f>
        <v/>
      </c>
    </row>
    <row r="614">
      <c r="A614" t="n">
        <v>31</v>
      </c>
      <c r="B614" t="inlineStr">
        <is>
          <t>SPE7M0-18-V-047D</t>
        </is>
      </c>
      <c r="E614" t="n">
        <v>1</v>
      </c>
      <c r="F614" t="inlineStr">
        <is>
          <t>DRUCK</t>
        </is>
      </c>
      <c r="G614" s="4" t="n">
        <v>43335</v>
      </c>
      <c r="H614" t="n">
        <v>140</v>
      </c>
      <c r="I614" t="inlineStr">
        <is>
          <t>WS-AU31</t>
        </is>
      </c>
      <c r="K614" s="232" t="n">
        <v>1462.46</v>
      </c>
      <c r="L614" s="230" t="n">
        <v>1422</v>
      </c>
      <c r="M614" s="232">
        <f>K614-L614</f>
        <v/>
      </c>
      <c r="P614" s="19">
        <f>(K614/L614)-1</f>
        <v/>
      </c>
    </row>
    <row r="615">
      <c r="A615" t="n">
        <v>32</v>
      </c>
      <c r="B615" t="inlineStr">
        <is>
          <t>SPE7M1-18-P-6544</t>
        </is>
      </c>
      <c r="E615" t="n">
        <v>6</v>
      </c>
      <c r="F615" t="inlineStr">
        <is>
          <t>GEMS</t>
        </is>
      </c>
      <c r="G615" s="4" t="n">
        <v>43335</v>
      </c>
      <c r="H615" t="n">
        <v>140</v>
      </c>
      <c r="I615" t="inlineStr">
        <is>
          <t>WS-AU32</t>
        </is>
      </c>
      <c r="J615" t="inlineStr">
        <is>
          <t>y</t>
        </is>
      </c>
      <c r="K615" s="232" t="n">
        <v>5558.4</v>
      </c>
      <c r="L615" s="230">
        <f>5430+15.85</f>
        <v/>
      </c>
      <c r="M615" s="232">
        <f>K615-L615</f>
        <v/>
      </c>
      <c r="N615" t="n">
        <v>20.17</v>
      </c>
      <c r="P615" s="19">
        <f>(K615/L615)-1</f>
        <v/>
      </c>
    </row>
    <row r="616">
      <c r="A616" t="n">
        <v>33</v>
      </c>
      <c r="B616" t="inlineStr">
        <is>
          <t>SPE5EJ-18-V-8066</t>
        </is>
      </c>
      <c r="E616" t="n">
        <v>4</v>
      </c>
      <c r="F616" t="inlineStr">
        <is>
          <t>KTSDI</t>
        </is>
      </c>
      <c r="G616" s="4" t="n">
        <v>43335</v>
      </c>
      <c r="H616" t="n">
        <v>120</v>
      </c>
      <c r="I616" t="inlineStr">
        <is>
          <t>WS-AU33</t>
        </is>
      </c>
      <c r="K616" s="232" t="n">
        <v>1671.32</v>
      </c>
      <c r="L616" s="230" t="n">
        <v>1615.8</v>
      </c>
      <c r="M616" s="232">
        <f>K616-L616</f>
        <v/>
      </c>
      <c r="N616" t="n">
        <v>17.69</v>
      </c>
      <c r="P616" s="19">
        <f>(K616/L616)-1</f>
        <v/>
      </c>
    </row>
    <row r="617">
      <c r="A617" t="n">
        <v>34</v>
      </c>
      <c r="B617" s="3" t="inlineStr">
        <is>
          <t>SPE7L3-18-P-9546</t>
        </is>
      </c>
      <c r="E617" t="n">
        <v>15</v>
      </c>
      <c r="F617" t="inlineStr">
        <is>
          <t>TMKEN</t>
        </is>
      </c>
      <c r="G617" s="4" t="n">
        <v>43337</v>
      </c>
      <c r="I617" t="inlineStr">
        <is>
          <t>WS-AU34</t>
        </is>
      </c>
      <c r="J617" t="inlineStr">
        <is>
          <t>y</t>
        </is>
      </c>
      <c r="K617" s="232" t="n">
        <v>11546.7</v>
      </c>
      <c r="L617" s="230" t="n">
        <v>11220</v>
      </c>
      <c r="M617" s="232">
        <f>K617-L617</f>
        <v/>
      </c>
      <c r="P617" s="19">
        <f>(K617/L617)-1</f>
        <v/>
      </c>
    </row>
    <row r="618">
      <c r="A618" t="n">
        <v>35</v>
      </c>
      <c r="B618" t="inlineStr">
        <is>
          <t>SPE7M1-18-V-103R</t>
        </is>
      </c>
      <c r="E618" t="n">
        <v>3</v>
      </c>
      <c r="F618" t="inlineStr">
        <is>
          <t>VETRONIX</t>
        </is>
      </c>
      <c r="G618" s="4" t="n">
        <v>43339</v>
      </c>
      <c r="H618" t="n">
        <v>120</v>
      </c>
      <c r="I618" t="inlineStr">
        <is>
          <t>WS-AU35</t>
        </is>
      </c>
      <c r="K618" s="232" t="n">
        <v>2909.28</v>
      </c>
      <c r="L618" s="230">
        <f>923*3</f>
        <v/>
      </c>
      <c r="M618" s="232">
        <f>K618-L618</f>
        <v/>
      </c>
      <c r="P618" s="19">
        <f>(K618/L618)-1</f>
        <v/>
      </c>
    </row>
    <row r="619">
      <c r="A619" t="n">
        <v>36</v>
      </c>
      <c r="B619" t="inlineStr">
        <is>
          <t>SPE7M8-18-V-2315</t>
        </is>
      </c>
      <c r="E619" t="n">
        <v>6</v>
      </c>
      <c r="F619" t="inlineStr">
        <is>
          <t>GEMS</t>
        </is>
      </c>
      <c r="G619" s="4" t="n">
        <v>43339</v>
      </c>
      <c r="H619" t="n">
        <v>120</v>
      </c>
      <c r="I619" t="inlineStr">
        <is>
          <t>WS-AU36</t>
        </is>
      </c>
      <c r="K619" s="232" t="n">
        <v>9345.48</v>
      </c>
      <c r="L619" s="230">
        <f>9180+18.66</f>
        <v/>
      </c>
      <c r="M619" s="237">
        <f>K619-L619</f>
        <v/>
      </c>
      <c r="N619" t="n">
        <v>24.97</v>
      </c>
      <c r="P619" s="19">
        <f>(K619/L619)-1</f>
        <v/>
      </c>
    </row>
    <row r="620">
      <c r="A620" t="n">
        <v>37</v>
      </c>
      <c r="B620" t="inlineStr">
        <is>
          <t>SPE7M0-18-V-050D</t>
        </is>
      </c>
      <c r="E620" t="n">
        <v>3</v>
      </c>
      <c r="F620" t="inlineStr">
        <is>
          <t>MORRIS MATERIAL</t>
        </is>
      </c>
      <c r="G620" s="4" t="n">
        <v>43339</v>
      </c>
      <c r="H620" t="n">
        <v>120</v>
      </c>
      <c r="I620" t="inlineStr">
        <is>
          <t>WS-AU37</t>
        </is>
      </c>
      <c r="K620" s="232" t="n">
        <v>916.83</v>
      </c>
      <c r="L620" s="230" t="n">
        <v>871.53</v>
      </c>
      <c r="M620" s="232">
        <f>K620-L620</f>
        <v/>
      </c>
      <c r="P620" s="19">
        <f>(K620/L620)-1</f>
        <v/>
      </c>
    </row>
    <row r="621">
      <c r="A621" t="n">
        <v>38</v>
      </c>
      <c r="B621" t="inlineStr">
        <is>
          <t>SPE7M8-18-V-2314</t>
        </is>
      </c>
      <c r="E621" t="n">
        <v>6</v>
      </c>
      <c r="F621" t="inlineStr">
        <is>
          <t>GEMS</t>
        </is>
      </c>
      <c r="G621" s="4" t="n">
        <v>43339</v>
      </c>
      <c r="H621" t="n">
        <v>120</v>
      </c>
      <c r="I621" t="inlineStr">
        <is>
          <t>WS-AU38</t>
        </is>
      </c>
      <c r="K621" s="232" t="n">
        <v>6290.4</v>
      </c>
      <c r="L621" s="230">
        <f>6150+25.2</f>
        <v/>
      </c>
      <c r="M621" s="237">
        <f>K621-L621</f>
        <v/>
      </c>
      <c r="N621" t="n">
        <v>33.97</v>
      </c>
      <c r="P621" s="19">
        <f>(K621/L621)-1</f>
        <v/>
      </c>
    </row>
    <row r="622">
      <c r="A622" t="n">
        <v>39</v>
      </c>
      <c r="B622" t="inlineStr">
        <is>
          <t>SPE4A4-18-V-058Z</t>
        </is>
      </c>
      <c r="E622" t="n">
        <v>1</v>
      </c>
      <c r="F622" s="51" t="inlineStr">
        <is>
          <t>GEMS Long Box</t>
        </is>
      </c>
      <c r="G622" s="4" t="n">
        <v>43339</v>
      </c>
      <c r="I622" t="inlineStr">
        <is>
          <t>WS-AU39</t>
        </is>
      </c>
      <c r="K622" s="232" t="n">
        <v>4366</v>
      </c>
      <c r="L622" s="230">
        <f>4244+43.39</f>
        <v/>
      </c>
      <c r="M622" s="237">
        <f>K622-L622</f>
        <v/>
      </c>
      <c r="N622" t="n">
        <v>52.7</v>
      </c>
      <c r="P622" s="19">
        <f>(K622/L622)-1</f>
        <v/>
      </c>
    </row>
    <row r="623">
      <c r="A623" t="n">
        <v>40</v>
      </c>
      <c r="B623" t="inlineStr">
        <is>
          <t>SPE7MC-18-V-020N</t>
        </is>
      </c>
      <c r="E623" t="n">
        <v>384</v>
      </c>
      <c r="F623" t="inlineStr">
        <is>
          <t>Glenair</t>
        </is>
      </c>
      <c r="G623" s="4" t="n">
        <v>43339</v>
      </c>
      <c r="I623" t="inlineStr">
        <is>
          <t>WS-AU40</t>
        </is>
      </c>
      <c r="K623" s="232" t="n">
        <v>6923.52</v>
      </c>
      <c r="L623" s="230">
        <f>17.56*384</f>
        <v/>
      </c>
      <c r="M623" s="232">
        <f>K623-L623</f>
        <v/>
      </c>
      <c r="P623" s="19">
        <f>(K623/L623)-1</f>
        <v/>
      </c>
    </row>
    <row r="624">
      <c r="A624" t="n">
        <v>41</v>
      </c>
      <c r="B624" t="inlineStr">
        <is>
          <t>SPE5EK-18-V-6312</t>
        </is>
      </c>
      <c r="E624" t="n">
        <v>32</v>
      </c>
      <c r="F624" s="160" t="inlineStr">
        <is>
          <t>Glenair</t>
        </is>
      </c>
      <c r="G624" s="4" t="n">
        <v>43340</v>
      </c>
      <c r="I624" t="inlineStr">
        <is>
          <t>WS-AU41</t>
        </is>
      </c>
      <c r="K624" s="232" t="n">
        <v>2029.76</v>
      </c>
      <c r="L624" s="230" t="n">
        <v>1898.4</v>
      </c>
      <c r="M624" s="232">
        <f>K624-L624</f>
        <v/>
      </c>
      <c r="P624" s="19">
        <f>(K624/L624)-1</f>
        <v/>
      </c>
      <c r="Q624" s="49" t="inlineStr">
        <is>
          <t>orderd 35, 3extra</t>
        </is>
      </c>
    </row>
    <row r="625">
      <c r="A625" t="n">
        <v>42</v>
      </c>
      <c r="B625" t="inlineStr">
        <is>
          <t>SPE4A4-18-V-061A</t>
        </is>
      </c>
      <c r="E625" t="n">
        <v>14</v>
      </c>
      <c r="F625" t="inlineStr">
        <is>
          <t>GEMS</t>
        </is>
      </c>
      <c r="G625" s="4" t="n">
        <v>43340</v>
      </c>
      <c r="I625" t="inlineStr">
        <is>
          <t>WS-AU42</t>
        </is>
      </c>
      <c r="K625" s="232" t="n">
        <v>11667.6</v>
      </c>
      <c r="L625" s="230">
        <f>11480+30.31</f>
        <v/>
      </c>
      <c r="M625" s="237">
        <f>K625-L625</f>
        <v/>
      </c>
      <c r="N625">
        <f>18.52+32.04</f>
        <v/>
      </c>
      <c r="O625" s="233">
        <f>+M625-N625</f>
        <v/>
      </c>
      <c r="P625" s="19">
        <f>(K625/L625)-1</f>
        <v/>
      </c>
    </row>
    <row r="626">
      <c r="A626" t="n">
        <v>43</v>
      </c>
      <c r="B626" t="inlineStr">
        <is>
          <t>SPE7M5-18-V-133Z</t>
        </is>
      </c>
      <c r="E626" t="n">
        <v>6</v>
      </c>
      <c r="F626" t="inlineStr">
        <is>
          <t>DRUK</t>
        </is>
      </c>
      <c r="G626" s="4" t="n">
        <v>43341</v>
      </c>
      <c r="H626" t="n">
        <v>140</v>
      </c>
      <c r="I626" t="inlineStr">
        <is>
          <t>WS-AU43</t>
        </is>
      </c>
      <c r="J626" t="inlineStr">
        <is>
          <t>y</t>
        </is>
      </c>
      <c r="K626" s="232" t="n">
        <v>4273.68</v>
      </c>
      <c r="L626" s="230" t="n">
        <v>4218</v>
      </c>
      <c r="M626" s="232">
        <f>K626-L626</f>
        <v/>
      </c>
      <c r="P626" s="19">
        <f>(K626/L626)-1</f>
        <v/>
      </c>
    </row>
    <row r="627">
      <c r="A627" t="n">
        <v>44</v>
      </c>
      <c r="B627" t="inlineStr">
        <is>
          <t>SPE7M5-18-V-134A</t>
        </is>
      </c>
      <c r="E627" t="n">
        <v>13</v>
      </c>
      <c r="F627" t="inlineStr">
        <is>
          <t>Glenair, orderd 20</t>
        </is>
      </c>
      <c r="G627" s="4" t="n">
        <v>43341</v>
      </c>
      <c r="H627" t="n">
        <v>120</v>
      </c>
      <c r="I627" t="inlineStr">
        <is>
          <t>WS-AU44</t>
        </is>
      </c>
      <c r="K627" s="232" t="n">
        <v>4694.82</v>
      </c>
      <c r="L627" s="230" t="n">
        <v>4903.6</v>
      </c>
      <c r="M627" s="232">
        <f>K627-L627</f>
        <v/>
      </c>
      <c r="P627" s="19">
        <f>(K627/L627)-1</f>
        <v/>
      </c>
      <c r="Q627" s="49" t="inlineStr">
        <is>
          <t>orderd 20, 7 extra</t>
        </is>
      </c>
    </row>
    <row r="628">
      <c r="A628" t="n">
        <v>45</v>
      </c>
      <c r="B628" t="inlineStr">
        <is>
          <t>SPE7M5-18-V-131G</t>
        </is>
      </c>
      <c r="E628" t="n">
        <v>5</v>
      </c>
      <c r="F628" t="inlineStr">
        <is>
          <t>Glenair</t>
        </is>
      </c>
      <c r="G628" s="4" t="n">
        <v>43341</v>
      </c>
      <c r="H628" t="n">
        <v>140</v>
      </c>
      <c r="I628" t="inlineStr">
        <is>
          <t>WS-AU45</t>
        </is>
      </c>
      <c r="K628" s="232" t="n">
        <v>2492.9</v>
      </c>
      <c r="L628" s="230">
        <f>489.62*5</f>
        <v/>
      </c>
      <c r="M628" s="232">
        <f>K628-L628</f>
        <v/>
      </c>
      <c r="P628" s="19">
        <f>(K628/L628)-1</f>
        <v/>
      </c>
    </row>
    <row r="629">
      <c r="K629" s="243">
        <f>SUM(K584:K628)</f>
        <v/>
      </c>
      <c r="L629" s="240">
        <f>SUM(L584:L628)</f>
        <v/>
      </c>
      <c r="M629" s="243">
        <f>K629-L629</f>
        <v/>
      </c>
      <c r="P629" s="92">
        <f>(K629/L629)-1</f>
        <v/>
      </c>
    </row>
    <row r="630">
      <c r="P630" s="19">
        <f>(K630/L630)-1</f>
        <v/>
      </c>
    </row>
    <row r="631">
      <c r="A631" t="n">
        <v>1</v>
      </c>
      <c r="B631" t="inlineStr">
        <is>
          <t>SPE7M5-18-V-139P</t>
        </is>
      </c>
      <c r="E631" t="n">
        <v>18</v>
      </c>
      <c r="F631" t="inlineStr">
        <is>
          <t>ITT Cancell</t>
        </is>
      </c>
      <c r="G631" s="151" t="n">
        <v>43347</v>
      </c>
      <c r="H631" t="n">
        <v>120</v>
      </c>
      <c r="K631" s="232" t="n">
        <v>0</v>
      </c>
      <c r="L631" t="n">
        <v>0</v>
      </c>
      <c r="P631" s="19">
        <f>(K631/L631)-1</f>
        <v/>
      </c>
    </row>
    <row r="632">
      <c r="A632" t="n">
        <v>2</v>
      </c>
      <c r="B632" s="3" t="inlineStr">
        <is>
          <t>SPE4A6-18-V-485F</t>
        </is>
      </c>
      <c r="E632" t="n">
        <v>6</v>
      </c>
      <c r="F632" s="51" t="inlineStr">
        <is>
          <t>Glenair orderd 7</t>
        </is>
      </c>
      <c r="G632" s="151" t="n">
        <v>43347</v>
      </c>
      <c r="H632" t="n">
        <v>140</v>
      </c>
      <c r="I632" t="inlineStr">
        <is>
          <t>WS-SE02</t>
        </is>
      </c>
      <c r="K632" s="232" t="n">
        <v>5672.28</v>
      </c>
      <c r="L632" s="230" t="n">
        <v>5655.3</v>
      </c>
      <c r="M632" s="232">
        <f>K632-L632</f>
        <v/>
      </c>
      <c r="P632" s="19">
        <f>(K632/L632)-1</f>
        <v/>
      </c>
    </row>
    <row r="633">
      <c r="A633" t="n">
        <v>3</v>
      </c>
      <c r="B633" t="inlineStr">
        <is>
          <t>SPE7L2-18-V-2074</t>
        </is>
      </c>
      <c r="E633" t="n">
        <v>3</v>
      </c>
      <c r="F633" t="inlineStr">
        <is>
          <t>KDSTI</t>
        </is>
      </c>
      <c r="G633" s="151" t="n">
        <v>43347</v>
      </c>
      <c r="H633" t="n">
        <v>120</v>
      </c>
      <c r="I633" t="inlineStr">
        <is>
          <t>WS-SE03</t>
        </is>
      </c>
      <c r="K633" s="232" t="n">
        <v>1669.29</v>
      </c>
      <c r="L633" s="230">
        <f>529.02*3</f>
        <v/>
      </c>
      <c r="M633" s="232">
        <f>K633-L633</f>
        <v/>
      </c>
      <c r="N633" t="n">
        <v>32.12</v>
      </c>
      <c r="P633" s="19">
        <f>(K633/L633)-1</f>
        <v/>
      </c>
    </row>
    <row r="634">
      <c r="A634" t="n">
        <v>4</v>
      </c>
      <c r="B634" s="3" t="inlineStr">
        <is>
          <t>SPE7M5-18-V-140Z</t>
        </is>
      </c>
      <c r="E634" t="n">
        <v>167</v>
      </c>
      <c r="F634" t="inlineStr">
        <is>
          <t>PHOenix</t>
        </is>
      </c>
      <c r="G634" s="151" t="n">
        <v>43347</v>
      </c>
      <c r="H634" t="n">
        <v>160</v>
      </c>
      <c r="I634" t="inlineStr">
        <is>
          <t>WS-SE04</t>
        </is>
      </c>
      <c r="K634" s="232" t="n">
        <v>9417.129999999999</v>
      </c>
      <c r="L634" s="230" t="n">
        <v>9261.82</v>
      </c>
      <c r="M634" s="232">
        <f>K634-L634</f>
        <v/>
      </c>
      <c r="P634" s="19">
        <f>(K634/L634)-1</f>
        <v/>
      </c>
    </row>
    <row r="635">
      <c r="A635" t="n">
        <v>5</v>
      </c>
      <c r="B635" t="inlineStr">
        <is>
          <t>SPE7MC-18-V-029B</t>
        </is>
      </c>
      <c r="E635" t="n">
        <v>40</v>
      </c>
      <c r="F635" s="160" t="inlineStr">
        <is>
          <t>Glenair</t>
        </is>
      </c>
      <c r="G635" s="151" t="n">
        <v>43347</v>
      </c>
      <c r="H635" t="n">
        <v>140</v>
      </c>
      <c r="I635" t="inlineStr">
        <is>
          <t>WS-SE05</t>
        </is>
      </c>
      <c r="K635" s="232" t="n">
        <v>5266.8</v>
      </c>
      <c r="L635" s="230" t="n">
        <v>5360</v>
      </c>
      <c r="M635" s="232">
        <f>K635-L635</f>
        <v/>
      </c>
      <c r="P635" s="19">
        <f>(K635/L635)-1</f>
        <v/>
      </c>
    </row>
    <row r="636">
      <c r="A636" t="n">
        <v>6</v>
      </c>
      <c r="B636" t="inlineStr">
        <is>
          <t>SPE5EM-18-V-7897</t>
        </is>
      </c>
      <c r="E636" t="n">
        <v>100</v>
      </c>
      <c r="F636" t="inlineStr">
        <is>
          <t>WM W NUGENT</t>
        </is>
      </c>
      <c r="G636" s="151" t="n">
        <v>43347</v>
      </c>
      <c r="I636" t="inlineStr">
        <is>
          <t>WS-SE06</t>
        </is>
      </c>
      <c r="K636" s="232" t="n">
        <v>6109</v>
      </c>
      <c r="L636" s="230" t="n">
        <v>5950</v>
      </c>
      <c r="M636" s="232">
        <f>K636-L636</f>
        <v/>
      </c>
      <c r="P636" s="19">
        <f>(K636/L636)-1</f>
        <v/>
      </c>
    </row>
    <row r="637">
      <c r="A637" t="n">
        <v>7</v>
      </c>
      <c r="B637" t="inlineStr">
        <is>
          <t>SPE4A6-18-V-487E</t>
        </is>
      </c>
      <c r="E637" t="n">
        <v>10</v>
      </c>
      <c r="F637" t="inlineStr">
        <is>
          <t>Olympus</t>
        </is>
      </c>
      <c r="G637" s="4" t="n">
        <v>43348</v>
      </c>
      <c r="H637" t="n">
        <v>95</v>
      </c>
      <c r="I637" t="inlineStr">
        <is>
          <t>WS-SE07</t>
        </is>
      </c>
      <c r="K637" s="232" t="n">
        <v>2169.3</v>
      </c>
      <c r="L637" s="230" t="n">
        <v>2104.3</v>
      </c>
      <c r="M637" s="232">
        <f>K637-L637</f>
        <v/>
      </c>
      <c r="P637" s="19" t="n"/>
    </row>
    <row r="638">
      <c r="A638" t="n">
        <v>8</v>
      </c>
      <c r="B638" s="3" t="inlineStr">
        <is>
          <t>SPE7M5-18-V-151U</t>
        </is>
      </c>
      <c r="E638" t="n">
        <v>14</v>
      </c>
      <c r="F638" t="inlineStr">
        <is>
          <t>Pheonix</t>
        </is>
      </c>
      <c r="G638" s="4" t="n">
        <v>43349</v>
      </c>
      <c r="H638" t="n">
        <v>170</v>
      </c>
      <c r="I638" t="inlineStr">
        <is>
          <t>WS-SE08</t>
        </is>
      </c>
      <c r="K638" s="232" t="n">
        <v>1476.44</v>
      </c>
      <c r="L638" s="230" t="n">
        <v>1399.58</v>
      </c>
      <c r="M638" s="232">
        <f>K638-L638</f>
        <v/>
      </c>
      <c r="P638" s="19">
        <f>(K638/L638)-1</f>
        <v/>
      </c>
    </row>
    <row r="639">
      <c r="A639" t="n">
        <v>9</v>
      </c>
      <c r="B639" s="3" t="inlineStr">
        <is>
          <t>SPE7M1-18-P-6931</t>
        </is>
      </c>
      <c r="E639" t="n">
        <v>1</v>
      </c>
      <c r="F639" t="inlineStr">
        <is>
          <t>GEMS</t>
        </is>
      </c>
      <c r="G639" s="4" t="n">
        <v>43349</v>
      </c>
      <c r="H639" t="n">
        <v>160</v>
      </c>
      <c r="I639" t="inlineStr">
        <is>
          <t>WS-SE09</t>
        </is>
      </c>
      <c r="K639" s="232" t="n">
        <v>6862.89</v>
      </c>
      <c r="L639" s="230" t="n">
        <v>6740</v>
      </c>
      <c r="M639" s="237">
        <f>K639-L639</f>
        <v/>
      </c>
      <c r="P639" s="19">
        <f>(K639/L639)-1</f>
        <v/>
      </c>
    </row>
    <row r="640">
      <c r="A640" t="n">
        <v>10</v>
      </c>
      <c r="B640" s="3" t="inlineStr">
        <is>
          <t>SPE7M5-18-V-148F</t>
        </is>
      </c>
      <c r="E640" t="n">
        <v>49</v>
      </c>
      <c r="F640" t="inlineStr">
        <is>
          <t>Glenair</t>
        </is>
      </c>
      <c r="G640" s="4" t="n">
        <v>43349</v>
      </c>
      <c r="H640" t="n">
        <v>140</v>
      </c>
      <c r="I640" t="inlineStr">
        <is>
          <t>WS-SE10</t>
        </is>
      </c>
      <c r="K640" s="232" t="n">
        <v>3738.7</v>
      </c>
      <c r="L640" s="230" t="n">
        <v>3695</v>
      </c>
      <c r="M640" s="232">
        <f>K640-L640</f>
        <v/>
      </c>
      <c r="P640" s="19">
        <f>(K640/L640)-1</f>
        <v/>
      </c>
    </row>
    <row r="641">
      <c r="A641" t="n">
        <v>11</v>
      </c>
      <c r="B641" t="inlineStr">
        <is>
          <t>SPE7M2-18-V-1771</t>
        </is>
      </c>
      <c r="E641" t="n">
        <v>10</v>
      </c>
      <c r="F641" t="inlineStr">
        <is>
          <t>Glenair</t>
        </is>
      </c>
      <c r="G641" s="4" t="n">
        <v>43349</v>
      </c>
      <c r="H641" t="n">
        <v>120</v>
      </c>
      <c r="I641" t="inlineStr">
        <is>
          <t>WS-SE11</t>
        </is>
      </c>
      <c r="K641" s="232" t="n">
        <v>2564.3</v>
      </c>
      <c r="L641" s="230" t="n">
        <v>2501.3</v>
      </c>
      <c r="M641" s="232">
        <f>K641-L641</f>
        <v/>
      </c>
      <c r="P641" s="19">
        <f>(K641/L641)-1</f>
        <v/>
      </c>
    </row>
    <row r="642">
      <c r="A642" t="n">
        <v>12</v>
      </c>
      <c r="B642" s="3" t="inlineStr">
        <is>
          <t>SPE7M0-18-V-067V</t>
        </is>
      </c>
      <c r="E642" t="n">
        <v>1</v>
      </c>
      <c r="F642" s="51" t="inlineStr">
        <is>
          <t>Glenair orderd under SE18</t>
        </is>
      </c>
      <c r="G642" s="4" t="n">
        <v>40796</v>
      </c>
      <c r="H642" t="n">
        <v>78</v>
      </c>
      <c r="I642" s="51" t="inlineStr">
        <is>
          <t>WS-SE18</t>
        </is>
      </c>
      <c r="K642" s="232" t="n">
        <v>173.7</v>
      </c>
      <c r="L642" s="230" t="n">
        <v>65.05</v>
      </c>
      <c r="M642" s="232">
        <f>K642-L642</f>
        <v/>
      </c>
      <c r="P642" s="19">
        <f>(K642/L642)-1</f>
        <v/>
      </c>
    </row>
    <row r="643">
      <c r="A643" t="n">
        <v>13</v>
      </c>
      <c r="B643" t="inlineStr">
        <is>
          <t>SPE7M5-18-V-160S</t>
        </is>
      </c>
      <c r="E643" t="n">
        <v>119</v>
      </c>
      <c r="F643" t="inlineStr">
        <is>
          <t>Glenair</t>
        </is>
      </c>
      <c r="G643" s="4" t="n">
        <v>40796</v>
      </c>
      <c r="H643" t="n">
        <v>140</v>
      </c>
      <c r="I643" t="inlineStr">
        <is>
          <t>WS-SE13</t>
        </is>
      </c>
      <c r="K643" s="232" t="n">
        <v>25219.67</v>
      </c>
      <c r="L643" s="255">
        <f>24204.56+3*208</f>
        <v/>
      </c>
      <c r="M643" s="232">
        <f>K643-L643</f>
        <v/>
      </c>
      <c r="P643" s="19">
        <f>(K643/L643)-1</f>
        <v/>
      </c>
    </row>
    <row r="644">
      <c r="A644" t="n">
        <v>14</v>
      </c>
      <c r="B644" t="inlineStr">
        <is>
          <t>SPE5E2-18-V-047T</t>
        </is>
      </c>
      <c r="E644" t="n">
        <v>302</v>
      </c>
      <c r="F644" t="inlineStr">
        <is>
          <t>Glenair</t>
        </is>
      </c>
      <c r="G644" s="4" t="n">
        <v>40796</v>
      </c>
      <c r="H644" t="n">
        <v>160</v>
      </c>
      <c r="I644" t="inlineStr">
        <is>
          <t>WS-SE14</t>
        </is>
      </c>
      <c r="K644" s="232" t="n">
        <v>7311.42</v>
      </c>
      <c r="L644" s="230" t="n">
        <v>7195.68</v>
      </c>
      <c r="M644" s="232">
        <f>K644-L644</f>
        <v/>
      </c>
      <c r="P644" s="19">
        <f>(K644/L644)-1</f>
        <v/>
      </c>
    </row>
    <row r="645">
      <c r="A645" t="n">
        <v>15</v>
      </c>
      <c r="B645" s="3" t="inlineStr">
        <is>
          <t>SPE7M5-18-V-157G</t>
        </is>
      </c>
      <c r="E645" t="n">
        <v>432</v>
      </c>
      <c r="F645" s="160" t="inlineStr">
        <is>
          <t>Glenair Orderd 500</t>
        </is>
      </c>
      <c r="G645" s="4" t="n">
        <v>40796</v>
      </c>
      <c r="H645" t="n">
        <v>140</v>
      </c>
      <c r="I645" t="inlineStr">
        <is>
          <t>WS-SE15</t>
        </is>
      </c>
      <c r="K645" s="232" t="n">
        <v>9482.4</v>
      </c>
      <c r="L645" s="230" t="n">
        <v>9820</v>
      </c>
      <c r="M645" s="232">
        <f>K645-L645</f>
        <v/>
      </c>
      <c r="P645" s="19">
        <f>(K645/L645)-1</f>
        <v/>
      </c>
      <c r="Q645" s="51" t="inlineStr">
        <is>
          <t>orderd 500</t>
        </is>
      </c>
    </row>
    <row r="646">
      <c r="A646" t="n">
        <v>16</v>
      </c>
      <c r="B646" t="inlineStr">
        <is>
          <t>SPE7M8-18-P-3723</t>
        </is>
      </c>
      <c r="E646" t="n">
        <v>1</v>
      </c>
      <c r="F646" t="inlineStr">
        <is>
          <t>GEMS</t>
        </is>
      </c>
      <c r="G646" s="4" t="n">
        <v>40797</v>
      </c>
      <c r="I646" t="inlineStr">
        <is>
          <t>WS-SE17</t>
        </is>
      </c>
      <c r="K646" s="232" t="n">
        <v>6861.78</v>
      </c>
      <c r="L646" s="230">
        <f>6740+25.36</f>
        <v/>
      </c>
      <c r="M646" s="237">
        <f>K646-L646</f>
        <v/>
      </c>
      <c r="N646" t="n">
        <v>30.51</v>
      </c>
      <c r="P646" s="19">
        <f>(K646/L646)-1</f>
        <v/>
      </c>
    </row>
    <row r="647">
      <c r="A647" t="n">
        <v>17</v>
      </c>
      <c r="B647" s="3" t="inlineStr">
        <is>
          <t>SPE7M1-18-V-129B</t>
        </is>
      </c>
      <c r="E647" t="n">
        <v>13</v>
      </c>
      <c r="F647" s="160" t="inlineStr">
        <is>
          <t>Glenair orderd 20</t>
        </is>
      </c>
      <c r="G647" s="4" t="n">
        <v>40798</v>
      </c>
      <c r="I647" t="inlineStr">
        <is>
          <t>WS-SE18</t>
        </is>
      </c>
      <c r="K647" s="232" t="n">
        <v>901.9400000000001</v>
      </c>
      <c r="L647" s="230">
        <f>65.05*13</f>
        <v/>
      </c>
      <c r="M647" s="232">
        <f>K647-L647</f>
        <v/>
      </c>
      <c r="P647" s="19">
        <f>(K647/L647)-1</f>
        <v/>
      </c>
    </row>
    <row r="648">
      <c r="A648" t="n">
        <v>18</v>
      </c>
      <c r="B648" s="3" t="inlineStr">
        <is>
          <t>SPE5EM-18-V-8169</t>
        </is>
      </c>
      <c r="E648" t="n">
        <v>9</v>
      </c>
      <c r="F648" s="64" t="inlineStr">
        <is>
          <t>Ace Spring 6 for stock</t>
        </is>
      </c>
      <c r="G648" s="4" t="n">
        <v>40799</v>
      </c>
      <c r="H648" t="n">
        <v>90</v>
      </c>
      <c r="I648" t="inlineStr">
        <is>
          <t>WS-SE18</t>
        </is>
      </c>
      <c r="K648" s="232" t="n">
        <v>4894.83</v>
      </c>
      <c r="L648" s="230">
        <f>375*15</f>
        <v/>
      </c>
      <c r="M648" s="232">
        <f>K648-L648</f>
        <v/>
      </c>
      <c r="P648" s="19">
        <f>(K648/L648)-1</f>
        <v/>
      </c>
    </row>
    <row r="649">
      <c r="A649" t="n">
        <v>19</v>
      </c>
      <c r="B649" t="inlineStr">
        <is>
          <t>SPE7M8-18-V-2571</t>
        </is>
      </c>
      <c r="E649" t="n">
        <v>7</v>
      </c>
      <c r="F649" t="inlineStr">
        <is>
          <t>GEMS</t>
        </is>
      </c>
      <c r="G649" s="4" t="n">
        <v>40799</v>
      </c>
      <c r="I649" t="inlineStr">
        <is>
          <t>WS-SE19</t>
        </is>
      </c>
      <c r="K649" s="232" t="n">
        <v>11089.61</v>
      </c>
      <c r="L649" s="230">
        <f>10885+14.93</f>
        <v/>
      </c>
      <c r="M649" s="237">
        <f>K649-L649</f>
        <v/>
      </c>
      <c r="P649" s="19">
        <f>(K649/L649)-1</f>
        <v/>
      </c>
    </row>
    <row r="650">
      <c r="A650" t="n">
        <v>20</v>
      </c>
      <c r="B650" t="inlineStr">
        <is>
          <t>SPE4A6-18-V-515C</t>
        </is>
      </c>
      <c r="E650" t="n">
        <v>25</v>
      </c>
      <c r="F650" t="inlineStr">
        <is>
          <t>KDSTI</t>
        </is>
      </c>
      <c r="G650" s="4" t="n">
        <v>40799</v>
      </c>
      <c r="H650" t="n">
        <v>120</v>
      </c>
      <c r="I650" t="inlineStr">
        <is>
          <t>WS-SE20</t>
        </is>
      </c>
      <c r="K650" s="232" t="n">
        <v>9661.75</v>
      </c>
      <c r="L650" s="230" t="n">
        <v>9486</v>
      </c>
      <c r="M650" s="232">
        <f>K650-L650</f>
        <v/>
      </c>
      <c r="P650" s="19">
        <f>(K650/L650)-1</f>
        <v/>
      </c>
    </row>
    <row r="651">
      <c r="A651" t="n">
        <v>21</v>
      </c>
      <c r="B651" s="3" t="inlineStr">
        <is>
          <t>SPE4A6-18-V-515Q</t>
        </is>
      </c>
      <c r="E651" t="n">
        <v>51</v>
      </c>
      <c r="F651" s="64" t="inlineStr">
        <is>
          <t>Avibank orderd 56</t>
        </is>
      </c>
      <c r="G651" s="4" t="n">
        <v>40799</v>
      </c>
      <c r="I651" t="inlineStr">
        <is>
          <t>WS-SE21</t>
        </is>
      </c>
      <c r="K651" s="232" t="n">
        <v>584.46</v>
      </c>
      <c r="L651" s="230" t="n">
        <v>508.48</v>
      </c>
      <c r="M651" s="232">
        <f>K651-L651</f>
        <v/>
      </c>
      <c r="P651" s="19">
        <f>(K651/L651)-1</f>
        <v/>
      </c>
      <c r="Q651" s="51" t="inlineStr">
        <is>
          <t>orderd 56</t>
        </is>
      </c>
    </row>
    <row r="652">
      <c r="A652" t="n">
        <v>22</v>
      </c>
      <c r="B652" t="inlineStr">
        <is>
          <t>SPE7M5-18-V-170H</t>
        </is>
      </c>
      <c r="E652" t="n">
        <v>33</v>
      </c>
      <c r="F652" t="inlineStr">
        <is>
          <t>Glenair</t>
        </is>
      </c>
      <c r="G652" s="4" t="n">
        <v>40800</v>
      </c>
      <c r="H652" t="n">
        <v>140</v>
      </c>
      <c r="I652" t="inlineStr">
        <is>
          <t>WS-SE22</t>
        </is>
      </c>
      <c r="K652" s="232" t="n">
        <v>5937.36</v>
      </c>
      <c r="L652" s="230">
        <f>33*140.08</f>
        <v/>
      </c>
      <c r="M652" s="232">
        <f>K652-L652</f>
        <v/>
      </c>
      <c r="P652" s="19">
        <f>(K652/L652)-1</f>
        <v/>
      </c>
      <c r="Q652" s="51" t="inlineStr">
        <is>
          <t>orderd 63</t>
        </is>
      </c>
    </row>
    <row r="653">
      <c r="A653" t="n">
        <v>23</v>
      </c>
      <c r="B653" t="inlineStr">
        <is>
          <t>SPE7M8-18-P-3803</t>
        </is>
      </c>
      <c r="E653" t="n">
        <v>1</v>
      </c>
      <c r="F653" s="51" t="inlineStr">
        <is>
          <t>CAMERON PAR Cancelled</t>
        </is>
      </c>
      <c r="G653" s="4" t="n">
        <v>40801</v>
      </c>
      <c r="H653" t="n">
        <v>120</v>
      </c>
      <c r="K653" s="232" t="n">
        <v>0</v>
      </c>
      <c r="L653" t="n">
        <v>0</v>
      </c>
      <c r="M653" s="232">
        <f>K653-L653</f>
        <v/>
      </c>
      <c r="N653" s="233">
        <f>L652+L709</f>
        <v/>
      </c>
      <c r="P653" s="19">
        <f>(K653/L653)-1</f>
        <v/>
      </c>
    </row>
    <row r="654">
      <c r="A654" t="n">
        <v>24</v>
      </c>
      <c r="B654" t="inlineStr">
        <is>
          <t>SPE7M8-18-V-2573</t>
        </is>
      </c>
      <c r="E654" t="n">
        <v>21</v>
      </c>
      <c r="F654" s="160" t="inlineStr">
        <is>
          <t>CPI 4 in stock</t>
        </is>
      </c>
      <c r="G654" s="4" t="n">
        <v>43360</v>
      </c>
      <c r="H654" t="n">
        <v>140</v>
      </c>
      <c r="I654" t="inlineStr">
        <is>
          <t>WS-SE24</t>
        </is>
      </c>
      <c r="K654" s="232" t="n">
        <v>16672.74</v>
      </c>
      <c r="L654" s="230" t="n">
        <v>16397.4</v>
      </c>
      <c r="M654" s="232">
        <f>K654-L654</f>
        <v/>
      </c>
      <c r="P654" s="19">
        <f>(K654/L654)-1</f>
        <v/>
      </c>
    </row>
    <row r="655">
      <c r="A655" t="n">
        <v>25</v>
      </c>
      <c r="B655" t="inlineStr">
        <is>
          <t>SPE7M5-18-V-172C</t>
        </is>
      </c>
      <c r="E655" t="n">
        <v>259</v>
      </c>
      <c r="F655" t="inlineStr">
        <is>
          <t>Glenair</t>
        </is>
      </c>
      <c r="G655" s="4" t="n">
        <v>43360</v>
      </c>
      <c r="H655" t="n">
        <v>140</v>
      </c>
      <c r="I655" t="inlineStr">
        <is>
          <t>WS-SE25</t>
        </is>
      </c>
      <c r="K655" s="232" t="n">
        <v>14864.01</v>
      </c>
      <c r="L655" s="230" t="n">
        <v>14615.37</v>
      </c>
      <c r="M655" s="232">
        <f>K655-L655</f>
        <v/>
      </c>
      <c r="P655" s="19">
        <f>(K655/L655)-1</f>
        <v/>
      </c>
    </row>
    <row r="656">
      <c r="A656" t="n">
        <v>26</v>
      </c>
      <c r="B656" t="inlineStr">
        <is>
          <t>SPE7MC-18-V-048T</t>
        </is>
      </c>
      <c r="E656" t="n">
        <v>25</v>
      </c>
      <c r="F656" t="inlineStr">
        <is>
          <t>Indeco</t>
        </is>
      </c>
      <c r="G656" s="4" t="n">
        <v>43360</v>
      </c>
      <c r="H656" t="n">
        <v>95</v>
      </c>
      <c r="I656" t="inlineStr">
        <is>
          <t>WS-SE26</t>
        </is>
      </c>
      <c r="J656" t="inlineStr">
        <is>
          <t>y</t>
        </is>
      </c>
      <c r="K656" s="232" t="n">
        <v>1244.5</v>
      </c>
      <c r="L656" s="230" t="n">
        <v>1176</v>
      </c>
      <c r="M656" s="232">
        <f>K656-L656</f>
        <v/>
      </c>
      <c r="P656" s="19">
        <f>(K656/L656)-1</f>
        <v/>
      </c>
    </row>
    <row r="657">
      <c r="A657" t="n">
        <v>27</v>
      </c>
      <c r="B657" t="inlineStr">
        <is>
          <t>SPE7M0-18-V-078B</t>
        </is>
      </c>
      <c r="E657" t="n">
        <v>3</v>
      </c>
      <c r="F657" t="inlineStr">
        <is>
          <t>Cole</t>
        </is>
      </c>
      <c r="G657" s="4" t="n">
        <v>43360</v>
      </c>
      <c r="H657" t="n">
        <v>120</v>
      </c>
      <c r="I657" t="inlineStr">
        <is>
          <t>WS-SE27</t>
        </is>
      </c>
      <c r="J657" t="inlineStr">
        <is>
          <t>y</t>
        </is>
      </c>
      <c r="K657" s="232" t="n">
        <v>1422.72</v>
      </c>
      <c r="L657" s="230" t="n">
        <v>1365</v>
      </c>
      <c r="M657" s="232">
        <f>K657-L657</f>
        <v/>
      </c>
      <c r="P657" s="19">
        <f>(K657/L657)-1</f>
        <v/>
      </c>
    </row>
    <row r="658">
      <c r="A658" t="n">
        <v>28</v>
      </c>
      <c r="B658" t="inlineStr">
        <is>
          <t>SPE7M0-18-P-4360</t>
        </is>
      </c>
      <c r="E658" t="n">
        <v>1</v>
      </c>
      <c r="F658" t="inlineStr">
        <is>
          <t>Glenair</t>
        </is>
      </c>
      <c r="G658" s="4" t="n">
        <v>43360</v>
      </c>
      <c r="H658" t="n">
        <v>45</v>
      </c>
      <c r="I658" t="inlineStr">
        <is>
          <t>WS-SE28</t>
        </is>
      </c>
      <c r="K658" s="232" t="n">
        <v>549.42</v>
      </c>
      <c r="L658" s="230" t="n">
        <v>509.64</v>
      </c>
      <c r="M658" s="232">
        <f>K658-L658</f>
        <v/>
      </c>
      <c r="P658" s="19">
        <f>(K658/L658)-1</f>
        <v/>
      </c>
    </row>
    <row r="659">
      <c r="A659" t="n">
        <v>29</v>
      </c>
      <c r="B659" t="inlineStr">
        <is>
          <t>SPE7MC-18-V-055B</t>
        </is>
      </c>
      <c r="E659" t="n">
        <v>16</v>
      </c>
      <c r="F659" s="160" t="inlineStr">
        <is>
          <t>Glenair orderd 20</t>
        </is>
      </c>
      <c r="G659" s="4" t="n">
        <v>43361</v>
      </c>
      <c r="H659" t="n">
        <v>140</v>
      </c>
      <c r="I659" s="51" t="inlineStr">
        <is>
          <t>WS-SE29</t>
        </is>
      </c>
      <c r="K659" s="232" t="n">
        <v>3370.72</v>
      </c>
      <c r="L659" s="230" t="n">
        <v>3336.4</v>
      </c>
      <c r="M659" s="232">
        <f>K659-L659</f>
        <v/>
      </c>
      <c r="P659" s="19">
        <f>(K659/L659)-1</f>
        <v/>
      </c>
    </row>
    <row r="660">
      <c r="A660" t="n">
        <v>30</v>
      </c>
      <c r="B660" t="inlineStr">
        <is>
          <t>SPE7MC-18-V-053V</t>
        </is>
      </c>
      <c r="E660" t="n">
        <v>6</v>
      </c>
      <c r="F660" t="inlineStr">
        <is>
          <t>GEMS</t>
        </is>
      </c>
      <c r="G660" s="4" t="n">
        <v>43361</v>
      </c>
      <c r="H660" t="n">
        <v>120</v>
      </c>
      <c r="I660" t="inlineStr">
        <is>
          <t>WS-SE30</t>
        </is>
      </c>
      <c r="K660" s="232" t="n">
        <v>11399.28</v>
      </c>
      <c r="L660" s="230">
        <f>11220+14.05</f>
        <v/>
      </c>
      <c r="M660" s="237">
        <f>K660-L660</f>
        <v/>
      </c>
      <c r="P660" s="19">
        <f>(K660/L660)-1</f>
        <v/>
      </c>
    </row>
    <row r="661">
      <c r="A661" t="n">
        <v>31</v>
      </c>
      <c r="B661" s="3" t="inlineStr">
        <is>
          <t>SPE7M5-18-P-G139</t>
        </is>
      </c>
      <c r="E661" t="n">
        <v>30</v>
      </c>
      <c r="F661" s="51" t="inlineStr">
        <is>
          <t>Glenair Cancel Qlty</t>
        </is>
      </c>
      <c r="G661" s="4" t="n">
        <v>43361</v>
      </c>
      <c r="H661" t="n">
        <v>140</v>
      </c>
      <c r="K661" s="232" t="n">
        <v>5688.9</v>
      </c>
      <c r="L661" s="230" t="n">
        <v>5622.75</v>
      </c>
      <c r="M661" s="232">
        <f>K661-L661</f>
        <v/>
      </c>
      <c r="P661" s="19">
        <f>(K661/L661)-1</f>
        <v/>
      </c>
    </row>
    <row r="662">
      <c r="A662" t="n">
        <v>32</v>
      </c>
      <c r="B662" t="inlineStr">
        <is>
          <t>SPE7M5-18-V-180Y</t>
        </is>
      </c>
      <c r="E662" t="n">
        <v>6</v>
      </c>
      <c r="F662" s="160" t="inlineStr">
        <is>
          <t>Glenair Order 7</t>
        </is>
      </c>
      <c r="G662" s="4" t="n">
        <v>43362</v>
      </c>
      <c r="H662" t="n">
        <v>140</v>
      </c>
      <c r="I662" t="inlineStr">
        <is>
          <t>WS-SE32</t>
        </is>
      </c>
      <c r="K662" s="232" t="n">
        <v>5837.28</v>
      </c>
      <c r="L662" s="230" t="n">
        <v>6338.64</v>
      </c>
      <c r="M662" s="232">
        <f>K662-L662</f>
        <v/>
      </c>
      <c r="P662" s="19">
        <f>(K662/L662)-1</f>
        <v/>
      </c>
    </row>
    <row r="663">
      <c r="A663" t="n">
        <v>33</v>
      </c>
      <c r="B663" t="inlineStr">
        <is>
          <t>SPE7MC-18-V-057M</t>
        </is>
      </c>
      <c r="E663" t="n">
        <v>9</v>
      </c>
      <c r="F663" s="160" t="inlineStr">
        <is>
          <t>Glenair orderd 10</t>
        </is>
      </c>
      <c r="G663" s="4" t="n">
        <v>43362</v>
      </c>
      <c r="H663" t="n">
        <v>120</v>
      </c>
      <c r="I663" t="inlineStr">
        <is>
          <t>WS-SE33</t>
        </is>
      </c>
      <c r="K663" s="232" t="n">
        <v>3893.13</v>
      </c>
      <c r="L663" s="230" t="n">
        <v>3813.4</v>
      </c>
      <c r="M663" s="232">
        <f>K663-L663</f>
        <v/>
      </c>
      <c r="P663" s="19">
        <f>(K663/L663)-1</f>
        <v/>
      </c>
    </row>
    <row r="664">
      <c r="A664" t="n">
        <v>34</v>
      </c>
      <c r="B664" t="inlineStr">
        <is>
          <t>SPE4A4-18-V-090R</t>
        </is>
      </c>
      <c r="E664" t="n">
        <v>25</v>
      </c>
      <c r="F664" t="inlineStr">
        <is>
          <t>National</t>
        </is>
      </c>
      <c r="G664" s="4" t="n">
        <v>43362</v>
      </c>
      <c r="H664" t="n">
        <v>90</v>
      </c>
      <c r="I664" t="inlineStr">
        <is>
          <t>WS-SE34</t>
        </is>
      </c>
      <c r="K664" s="232" t="n">
        <v>16047.25</v>
      </c>
      <c r="L664" s="230" t="n">
        <v>15984</v>
      </c>
      <c r="M664" s="232">
        <f>K664-L664</f>
        <v/>
      </c>
      <c r="P664" s="19">
        <f>(K664/L664)-1</f>
        <v/>
      </c>
    </row>
    <row r="665">
      <c r="A665" t="n">
        <v>35</v>
      </c>
      <c r="B665" t="inlineStr">
        <is>
          <t>SPE7M5-18-V-176U</t>
        </is>
      </c>
      <c r="E665" t="n">
        <v>15</v>
      </c>
      <c r="F665" s="160" t="inlineStr">
        <is>
          <t>Glenair Orderd 20</t>
        </is>
      </c>
      <c r="G665" s="4" t="n">
        <v>43362</v>
      </c>
      <c r="H665" t="n">
        <v>140</v>
      </c>
      <c r="I665" t="inlineStr">
        <is>
          <t>WS-SE35</t>
        </is>
      </c>
      <c r="K665" s="232" t="n">
        <v>2248.35</v>
      </c>
      <c r="L665" s="230" t="n">
        <v>2226</v>
      </c>
      <c r="M665" s="232">
        <f>K665-L665</f>
        <v/>
      </c>
      <c r="P665" s="19">
        <f>(K665/L665)-1</f>
        <v/>
      </c>
    </row>
    <row r="666">
      <c r="A666" t="n">
        <v>36</v>
      </c>
      <c r="B666" t="inlineStr">
        <is>
          <t>SPE4A6-18-P-Q659</t>
        </is>
      </c>
      <c r="E666" t="n">
        <v>10</v>
      </c>
      <c r="F666" t="inlineStr">
        <is>
          <t>MORPACK</t>
        </is>
      </c>
      <c r="G666" s="4" t="n">
        <v>43363</v>
      </c>
      <c r="H666" t="n">
        <v>140</v>
      </c>
      <c r="I666" t="inlineStr">
        <is>
          <t>WS-SE36</t>
        </is>
      </c>
      <c r="K666" s="232" t="n">
        <v>8682.4</v>
      </c>
      <c r="L666" s="230" t="n">
        <v>8500</v>
      </c>
      <c r="M666" s="232">
        <f>K666-L666</f>
        <v/>
      </c>
      <c r="P666" s="19">
        <f>(K666/L666)-1</f>
        <v/>
      </c>
    </row>
    <row r="667">
      <c r="A667" t="n">
        <v>37</v>
      </c>
      <c r="B667" t="inlineStr">
        <is>
          <t>SPE4A6-18-V-553L</t>
        </is>
      </c>
      <c r="E667" t="n">
        <v>58</v>
      </c>
      <c r="F667" t="inlineStr">
        <is>
          <t>Glenair orderd 76,15 fro 9992</t>
        </is>
      </c>
      <c r="G667" s="4" t="n">
        <v>43364</v>
      </c>
      <c r="H667" t="n">
        <v>140</v>
      </c>
      <c r="I667" s="51" t="inlineStr">
        <is>
          <t>WS-JY27</t>
        </is>
      </c>
      <c r="K667" s="232" t="n">
        <v>10372.14</v>
      </c>
      <c r="L667" s="230">
        <f>176.36*58</f>
        <v/>
      </c>
      <c r="M667" s="232">
        <f>K667-L667</f>
        <v/>
      </c>
      <c r="P667" s="19">
        <f>(K667/L667)-1</f>
        <v/>
      </c>
    </row>
    <row r="668">
      <c r="A668" t="n">
        <v>38</v>
      </c>
      <c r="B668" t="inlineStr">
        <is>
          <t>SPE4A6-18-V-551J</t>
        </is>
      </c>
      <c r="F668" t="inlineStr">
        <is>
          <t>L-COM Cancel</t>
        </is>
      </c>
      <c r="G668" s="4" t="n">
        <v>43364</v>
      </c>
      <c r="K668" s="232" t="n">
        <v>0</v>
      </c>
      <c r="L668" s="230" t="n">
        <v>0</v>
      </c>
      <c r="M668" s="232">
        <f>K668-L668</f>
        <v/>
      </c>
      <c r="P668" s="19">
        <f>(K668/L668)-1</f>
        <v/>
      </c>
    </row>
    <row r="669">
      <c r="A669" t="n">
        <v>39</v>
      </c>
      <c r="B669" t="inlineStr">
        <is>
          <t>SPE7M1-18-V-145P</t>
        </is>
      </c>
      <c r="E669" t="n">
        <v>3</v>
      </c>
      <c r="F669" t="inlineStr">
        <is>
          <t>MORPACK</t>
        </is>
      </c>
      <c r="G669" s="4" t="n">
        <v>43367</v>
      </c>
      <c r="H669" t="n">
        <v>140</v>
      </c>
      <c r="I669" t="inlineStr">
        <is>
          <t>WS-SE39</t>
        </is>
      </c>
      <c r="K669" s="232" t="n">
        <v>13554</v>
      </c>
      <c r="L669" s="230">
        <f>4482.24*3</f>
        <v/>
      </c>
      <c r="M669" s="232">
        <f>K669-L669</f>
        <v/>
      </c>
      <c r="P669" s="19">
        <f>(K669/L669)-1</f>
        <v/>
      </c>
    </row>
    <row r="670">
      <c r="A670" t="n">
        <v>40</v>
      </c>
      <c r="B670" t="inlineStr">
        <is>
          <t>SPE7M5-18-P-G339</t>
        </is>
      </c>
      <c r="E670" t="n">
        <v>200</v>
      </c>
      <c r="F670" t="inlineStr">
        <is>
          <t>ITT</t>
        </is>
      </c>
      <c r="G670" s="4" t="n">
        <v>43367</v>
      </c>
      <c r="H670" t="n">
        <v>160</v>
      </c>
      <c r="I670" t="inlineStr">
        <is>
          <t>WS-SE40</t>
        </is>
      </c>
      <c r="K670" s="232" t="n">
        <v>0</v>
      </c>
      <c r="L670" s="230" t="n">
        <v>0</v>
      </c>
      <c r="M670" s="232">
        <f>K670-L670</f>
        <v/>
      </c>
      <c r="P670" s="19">
        <f>(K670/L670)-1</f>
        <v/>
      </c>
    </row>
    <row r="671">
      <c r="A671" t="n">
        <v>41</v>
      </c>
      <c r="B671" t="inlineStr">
        <is>
          <t>SPE7MC-18-V-063E</t>
        </is>
      </c>
      <c r="E671" t="n">
        <v>3</v>
      </c>
      <c r="F671" t="inlineStr">
        <is>
          <t>Pauli Systems</t>
        </is>
      </c>
      <c r="G671" s="4" t="n">
        <v>43367</v>
      </c>
      <c r="H671" t="n">
        <v>90</v>
      </c>
      <c r="I671" t="inlineStr">
        <is>
          <t>WS-SE41</t>
        </is>
      </c>
      <c r="J671" t="inlineStr">
        <is>
          <t>y</t>
        </is>
      </c>
      <c r="K671" s="232" t="n">
        <v>311.64</v>
      </c>
      <c r="L671" s="230" t="n">
        <v>275.16</v>
      </c>
      <c r="M671" s="232">
        <f>K671-L671</f>
        <v/>
      </c>
      <c r="P671" s="19">
        <f>(K671/L671)-1</f>
        <v/>
      </c>
    </row>
    <row r="672">
      <c r="A672" t="n">
        <v>42</v>
      </c>
      <c r="B672" t="inlineStr">
        <is>
          <t>SPE7M9-18-P-1077</t>
        </is>
      </c>
      <c r="E672" t="n">
        <v>459</v>
      </c>
      <c r="F672" t="inlineStr">
        <is>
          <t>Clean-Seal</t>
        </is>
      </c>
      <c r="G672" s="4" t="n">
        <v>43368</v>
      </c>
      <c r="H672" t="n">
        <v>60</v>
      </c>
      <c r="I672" t="inlineStr">
        <is>
          <t>WS-SE42</t>
        </is>
      </c>
      <c r="J672" t="inlineStr">
        <is>
          <t>y</t>
        </is>
      </c>
      <c r="K672" s="232" t="n">
        <v>959.3099999999999</v>
      </c>
      <c r="L672" s="230" t="n">
        <v>364.06</v>
      </c>
      <c r="M672" s="232">
        <f>K672-L672</f>
        <v/>
      </c>
      <c r="P672" s="19">
        <f>(K672/L672)-1</f>
        <v/>
      </c>
    </row>
    <row r="673">
      <c r="A673" t="n">
        <v>43</v>
      </c>
      <c r="B673" t="inlineStr">
        <is>
          <t>SPE5E3-18-V-9163</t>
        </is>
      </c>
      <c r="E673" t="n">
        <v>69</v>
      </c>
      <c r="F673" t="inlineStr">
        <is>
          <t>Lee Spring</t>
        </is>
      </c>
      <c r="G673" s="4" t="n">
        <v>43368</v>
      </c>
      <c r="H673" t="n">
        <v>120</v>
      </c>
      <c r="I673" t="inlineStr">
        <is>
          <t>WS-SE43</t>
        </is>
      </c>
      <c r="J673" t="inlineStr">
        <is>
          <t>y</t>
        </is>
      </c>
      <c r="K673" s="232" t="n">
        <v>129.03</v>
      </c>
      <c r="L673" s="230" t="n">
        <v>113</v>
      </c>
      <c r="M673" s="232">
        <f>K673-L673</f>
        <v/>
      </c>
      <c r="P673" s="19">
        <f>(K673/L673)-1</f>
        <v/>
      </c>
    </row>
    <row r="674">
      <c r="A674" t="n">
        <v>44</v>
      </c>
      <c r="B674" s="3" t="inlineStr">
        <is>
          <t>SPE7M8-18-P-3946</t>
        </is>
      </c>
      <c r="E674" t="n">
        <v>8</v>
      </c>
      <c r="F674" t="inlineStr">
        <is>
          <t>Glenair</t>
        </is>
      </c>
      <c r="G674" s="4" t="n">
        <v>43368</v>
      </c>
      <c r="H674" t="n">
        <v>160</v>
      </c>
      <c r="I674" t="inlineStr">
        <is>
          <t>WS-SE44</t>
        </is>
      </c>
      <c r="J674" t="inlineStr">
        <is>
          <t>y</t>
        </is>
      </c>
      <c r="K674" s="232" t="n">
        <v>33045.44</v>
      </c>
      <c r="L674" s="230" t="n">
        <v>29241</v>
      </c>
      <c r="M674" s="232">
        <f>K674-L674</f>
        <v/>
      </c>
      <c r="P674" s="19">
        <f>(K674/L674)-1</f>
        <v/>
      </c>
    </row>
    <row r="675">
      <c r="A675" t="n">
        <v>45</v>
      </c>
      <c r="B675" t="inlineStr">
        <is>
          <t>SPE7L3-18-V-063N</t>
        </is>
      </c>
      <c r="E675" t="n">
        <v>36</v>
      </c>
      <c r="F675" t="inlineStr">
        <is>
          <t>MAFO</t>
        </is>
      </c>
      <c r="G675" s="4" t="n">
        <v>43369</v>
      </c>
      <c r="H675" t="n">
        <v>110</v>
      </c>
      <c r="I675" t="inlineStr">
        <is>
          <t>WS-SE45</t>
        </is>
      </c>
      <c r="K675" s="232" t="n">
        <v>9247.32</v>
      </c>
      <c r="L675" s="230" t="n">
        <v>8373.4</v>
      </c>
      <c r="M675" s="232">
        <f>K675-L675</f>
        <v/>
      </c>
      <c r="P675" s="19">
        <f>(K675/L675)-1</f>
        <v/>
      </c>
    </row>
    <row r="676">
      <c r="A676" t="n">
        <v>46</v>
      </c>
      <c r="B676" t="inlineStr">
        <is>
          <t>SPE4A6-18-V-561J</t>
        </is>
      </c>
      <c r="E676" t="n">
        <v>2</v>
      </c>
      <c r="F676" t="inlineStr">
        <is>
          <t>CAMERON</t>
        </is>
      </c>
      <c r="G676" s="4" t="n">
        <v>43369</v>
      </c>
      <c r="H676" t="n">
        <v>160</v>
      </c>
      <c r="I676" t="inlineStr">
        <is>
          <t>WS-SE46</t>
        </is>
      </c>
      <c r="K676" s="232" t="n">
        <v>4565.08</v>
      </c>
      <c r="L676" s="230" t="n">
        <v>4486</v>
      </c>
      <c r="M676" s="232">
        <f>K676-L676</f>
        <v/>
      </c>
      <c r="N676" t="n">
        <v>29.71</v>
      </c>
      <c r="P676" s="19">
        <f>(K676/L676)-1</f>
        <v/>
      </c>
    </row>
    <row r="677">
      <c r="A677" t="n">
        <v>47</v>
      </c>
      <c r="B677" s="3" t="inlineStr">
        <is>
          <t>SPE7M5-18-V-192K</t>
        </is>
      </c>
      <c r="E677" t="n">
        <v>14</v>
      </c>
      <c r="F677" t="inlineStr">
        <is>
          <t>Glenair</t>
        </is>
      </c>
      <c r="G677" s="4" t="n">
        <v>43369</v>
      </c>
      <c r="H677" t="n">
        <v>140</v>
      </c>
      <c r="I677" s="51" t="inlineStr">
        <is>
          <t>WS-SE47</t>
        </is>
      </c>
      <c r="K677" s="232" t="n">
        <v>2335.48</v>
      </c>
      <c r="L677" s="230" t="n">
        <v>2321.8</v>
      </c>
      <c r="M677" s="232">
        <f>K677-L677</f>
        <v/>
      </c>
      <c r="P677" s="19">
        <f>(K677/L677)-1</f>
        <v/>
      </c>
    </row>
    <row r="678">
      <c r="A678" t="n">
        <v>48</v>
      </c>
      <c r="B678" t="inlineStr">
        <is>
          <t>SPE7M5-18-V-193S</t>
        </is>
      </c>
      <c r="E678" t="n">
        <v>31</v>
      </c>
      <c r="F678" s="160" t="inlineStr">
        <is>
          <t>Glenair orderd 35</t>
        </is>
      </c>
      <c r="G678" s="4" t="n">
        <v>43369</v>
      </c>
      <c r="H678" t="n">
        <v>140</v>
      </c>
      <c r="I678" s="51" t="inlineStr">
        <is>
          <t>WS-SE48</t>
        </is>
      </c>
      <c r="K678" s="232" t="n">
        <v>5216.37</v>
      </c>
      <c r="L678" s="230" t="n">
        <v>5196.8</v>
      </c>
      <c r="M678" s="232">
        <f>K678-L678</f>
        <v/>
      </c>
      <c r="P678" s="19">
        <f>(K678/L678)-1</f>
        <v/>
      </c>
    </row>
    <row r="679">
      <c r="A679" t="n">
        <v>49</v>
      </c>
      <c r="B679" t="inlineStr">
        <is>
          <t>SPE7MC-18-V-070R</t>
        </is>
      </c>
      <c r="E679" t="n">
        <v>7</v>
      </c>
      <c r="F679" t="inlineStr">
        <is>
          <t>ERA</t>
        </is>
      </c>
      <c r="G679" s="4" t="n">
        <v>43370</v>
      </c>
      <c r="H679" t="n">
        <v>230</v>
      </c>
      <c r="I679" t="inlineStr">
        <is>
          <t>WS-SE49</t>
        </is>
      </c>
      <c r="K679" s="232" t="n">
        <v>9790.83</v>
      </c>
      <c r="L679" s="230" t="n">
        <v>9693.25</v>
      </c>
      <c r="M679" s="232">
        <f>K679-L679</f>
        <v/>
      </c>
      <c r="P679" s="19">
        <f>(K679/L679)-1</f>
        <v/>
      </c>
    </row>
    <row r="680">
      <c r="K680" s="243">
        <f>SUM(K631:K679)</f>
        <v/>
      </c>
      <c r="L680" s="231">
        <f>SUM(L631:L679)</f>
        <v/>
      </c>
      <c r="M680" s="243">
        <f>K680-L680</f>
        <v/>
      </c>
      <c r="P680" s="92">
        <f>(K680/L680)-1</f>
        <v/>
      </c>
    </row>
    <row r="681">
      <c r="N681" s="240" t="n"/>
    </row>
    <row r="682">
      <c r="N682" s="232">
        <f>M643+M645+M648+M649+M652+M654+M655+M672+M674</f>
        <v/>
      </c>
    </row>
    <row r="683">
      <c r="A683" t="n">
        <v>1</v>
      </c>
      <c r="B683" s="3" t="inlineStr">
        <is>
          <t>SPE4A6-19-V-0130</t>
        </is>
      </c>
      <c r="E683" t="n">
        <v>10</v>
      </c>
      <c r="F683" t="inlineStr">
        <is>
          <t>Glenair</t>
        </is>
      </c>
      <c r="G683" s="4" t="n">
        <v>43374</v>
      </c>
      <c r="H683" t="n">
        <v>140</v>
      </c>
      <c r="I683" t="inlineStr">
        <is>
          <t>WS-OC01</t>
        </is>
      </c>
      <c r="K683" s="232" t="n">
        <v>3990</v>
      </c>
      <c r="L683" s="255" t="n">
        <v>3922</v>
      </c>
      <c r="M683" s="232">
        <f>K683-L683</f>
        <v/>
      </c>
      <c r="P683" s="19">
        <f>(K683/L683)-1</f>
        <v/>
      </c>
    </row>
    <row r="684">
      <c r="A684" t="n">
        <v>2</v>
      </c>
      <c r="B684" t="inlineStr">
        <is>
          <t>SPE7M5-19-V-0034</t>
        </is>
      </c>
      <c r="E684" t="n">
        <v>45</v>
      </c>
      <c r="F684" t="inlineStr">
        <is>
          <t>Phenoix</t>
        </is>
      </c>
      <c r="G684" s="4" t="n">
        <v>43374</v>
      </c>
      <c r="I684" t="inlineStr">
        <is>
          <t>WS-OC02</t>
        </is>
      </c>
      <c r="K684" s="232" t="n">
        <v>6362.1</v>
      </c>
      <c r="L684" s="230" t="n">
        <v>6251.81</v>
      </c>
      <c r="M684" s="232">
        <f>K684-L684</f>
        <v/>
      </c>
      <c r="P684" s="19">
        <f>(K684/L684)-1</f>
        <v/>
      </c>
    </row>
    <row r="685">
      <c r="A685" t="n">
        <v>3</v>
      </c>
      <c r="B685" t="inlineStr">
        <is>
          <t>SPE7L319V0001</t>
        </is>
      </c>
      <c r="E685" t="n">
        <v>2</v>
      </c>
      <c r="F685" t="inlineStr">
        <is>
          <t>Timken</t>
        </is>
      </c>
      <c r="G685" s="4" t="n">
        <v>43374</v>
      </c>
      <c r="H685" t="n">
        <v>140</v>
      </c>
      <c r="I685" t="inlineStr">
        <is>
          <t>WS-OC03</t>
        </is>
      </c>
      <c r="J685" t="inlineStr">
        <is>
          <t>Y</t>
        </is>
      </c>
      <c r="K685" s="232" t="n">
        <v>10125.64</v>
      </c>
      <c r="L685" s="230" t="n">
        <v>9878</v>
      </c>
      <c r="M685" s="232">
        <f>K685-L685</f>
        <v/>
      </c>
      <c r="P685" s="19">
        <f>(K685/L685)-1</f>
        <v/>
      </c>
    </row>
    <row r="686">
      <c r="A686" t="n">
        <v>4</v>
      </c>
      <c r="B686" s="3" t="inlineStr">
        <is>
          <t>SPE7M5-19-V-0010</t>
        </is>
      </c>
      <c r="E686" t="n">
        <v>23</v>
      </c>
      <c r="F686" t="inlineStr">
        <is>
          <t>Glenair</t>
        </is>
      </c>
      <c r="G686" s="4" t="n">
        <v>43374</v>
      </c>
      <c r="H686" t="n">
        <v>160</v>
      </c>
      <c r="I686" s="51" t="inlineStr">
        <is>
          <t>WS-NV02</t>
        </is>
      </c>
      <c r="K686" s="232" t="n">
        <v>16859</v>
      </c>
      <c r="L686" s="232">
        <f>528.28*23</f>
        <v/>
      </c>
      <c r="M686" s="232">
        <f>K686-L686</f>
        <v/>
      </c>
      <c r="P686" s="19">
        <f>(K686/L686)-1</f>
        <v/>
      </c>
    </row>
    <row r="687">
      <c r="A687" t="n">
        <v>5</v>
      </c>
      <c r="B687" t="inlineStr">
        <is>
          <t>SPE5EM-19-V-0037</t>
        </is>
      </c>
      <c r="E687" t="n">
        <v>10</v>
      </c>
      <c r="F687" t="inlineStr">
        <is>
          <t>ACE</t>
        </is>
      </c>
      <c r="G687" s="4" t="n">
        <v>43375</v>
      </c>
      <c r="H687" t="n">
        <v>120</v>
      </c>
      <c r="I687" s="51" t="inlineStr">
        <is>
          <t>WS-SE18</t>
        </is>
      </c>
      <c r="K687" s="232" t="n">
        <v>4966.5</v>
      </c>
      <c r="L687" s="230">
        <f>375*10</f>
        <v/>
      </c>
      <c r="M687" s="232">
        <f>K687-L687</f>
        <v/>
      </c>
      <c r="P687" s="19">
        <f>(K687/L687)-1</f>
        <v/>
      </c>
    </row>
    <row r="688">
      <c r="A688" t="n">
        <v>5</v>
      </c>
      <c r="B688" t="inlineStr">
        <is>
          <t>SPE7M5-19-V-0118</t>
        </is>
      </c>
      <c r="E688" t="n">
        <v>35</v>
      </c>
      <c r="F688" s="160" t="inlineStr">
        <is>
          <t>Glenair orderd 50</t>
        </is>
      </c>
      <c r="G688" s="4" t="n">
        <v>43376</v>
      </c>
      <c r="H688" t="n">
        <v>160</v>
      </c>
      <c r="I688" t="inlineStr">
        <is>
          <t>WS-OC05</t>
        </is>
      </c>
      <c r="K688" s="232" t="n">
        <v>5735.45</v>
      </c>
      <c r="L688" s="255" t="n">
        <v>5952</v>
      </c>
      <c r="M688" s="232">
        <f>K688-L688</f>
        <v/>
      </c>
      <c r="P688" s="19">
        <f>(K688/L688)-1</f>
        <v/>
      </c>
    </row>
    <row r="689">
      <c r="A689" t="n">
        <v>6</v>
      </c>
      <c r="B689" t="inlineStr">
        <is>
          <t>SPE7M8-19-V-0065</t>
        </is>
      </c>
      <c r="E689" t="n">
        <v>1</v>
      </c>
      <c r="F689" t="inlineStr">
        <is>
          <t>Hiab</t>
        </is>
      </c>
      <c r="G689" s="4" t="n">
        <v>43376</v>
      </c>
      <c r="H689" t="n">
        <v>120</v>
      </c>
      <c r="I689" t="inlineStr">
        <is>
          <t>WS-OC06</t>
        </is>
      </c>
      <c r="K689" s="232" t="n">
        <v>2418.74</v>
      </c>
      <c r="L689" s="230">
        <f>2362.4+12.88</f>
        <v/>
      </c>
      <c r="M689" s="232">
        <f>K689-L689</f>
        <v/>
      </c>
      <c r="P689" s="19">
        <f>(K689/L689)-1</f>
        <v/>
      </c>
    </row>
    <row r="690">
      <c r="A690" t="n">
        <v>7</v>
      </c>
      <c r="B690" t="inlineStr">
        <is>
          <t>SPE7M1-19-V-0154</t>
        </is>
      </c>
      <c r="E690" t="n">
        <v>1</v>
      </c>
      <c r="F690" t="inlineStr">
        <is>
          <t>Indeco</t>
        </is>
      </c>
      <c r="G690" s="4" t="n">
        <v>43376</v>
      </c>
      <c r="H690" t="n">
        <v>120</v>
      </c>
      <c r="I690" t="inlineStr">
        <is>
          <t>WS-OC07</t>
        </is>
      </c>
      <c r="K690" s="232" t="n">
        <v>2326.84</v>
      </c>
      <c r="L690" s="230" t="n">
        <v>2268</v>
      </c>
      <c r="M690" s="232">
        <f>K690-L690</f>
        <v/>
      </c>
      <c r="P690" s="19">
        <f>(K690/L690)-1</f>
        <v/>
      </c>
    </row>
    <row r="691">
      <c r="A691" t="n">
        <v>8</v>
      </c>
      <c r="B691" s="3" t="inlineStr">
        <is>
          <t>SPE7MC-19-V-0207</t>
        </is>
      </c>
      <c r="E691" t="n">
        <v>6</v>
      </c>
      <c r="F691" t="inlineStr">
        <is>
          <t>ERA</t>
        </is>
      </c>
      <c r="G691" s="4" t="n">
        <v>43377</v>
      </c>
      <c r="H691" t="n">
        <v>240</v>
      </c>
      <c r="I691" t="inlineStr">
        <is>
          <t>WS-OC08</t>
        </is>
      </c>
      <c r="K691" s="232" t="n">
        <v>4251.84</v>
      </c>
      <c r="L691" s="230" t="n">
        <v>4186.8</v>
      </c>
      <c r="M691" s="232">
        <f>K691-L691</f>
        <v/>
      </c>
      <c r="P691" s="19">
        <f>(#REF!/K691)-1</f>
        <v/>
      </c>
    </row>
    <row r="692">
      <c r="A692" t="n">
        <v>9</v>
      </c>
      <c r="B692" t="inlineStr">
        <is>
          <t>SPE7L0-19-V-0222</t>
        </is>
      </c>
      <c r="E692" t="n">
        <v>1</v>
      </c>
      <c r="F692" t="inlineStr">
        <is>
          <t>HIAB</t>
        </is>
      </c>
      <c r="G692" s="4" t="n">
        <v>43377</v>
      </c>
      <c r="H692" t="n">
        <v>120</v>
      </c>
      <c r="I692" t="inlineStr">
        <is>
          <t>WS-OC09</t>
        </is>
      </c>
      <c r="K692" s="232" t="n">
        <v>298</v>
      </c>
      <c r="L692" s="232" t="n">
        <v>258.88</v>
      </c>
      <c r="M692" s="232">
        <f>K692-L692</f>
        <v/>
      </c>
      <c r="P692" s="19">
        <f>(#REF!/K692)-1</f>
        <v/>
      </c>
    </row>
    <row r="693">
      <c r="A693" t="n">
        <v>10</v>
      </c>
      <c r="G693" s="4" t="n"/>
      <c r="K693" s="232" t="n">
        <v>0</v>
      </c>
      <c r="L693" s="230" t="n">
        <v>0</v>
      </c>
      <c r="M693" s="232">
        <f>K693-L693</f>
        <v/>
      </c>
      <c r="P693" s="19" t="n"/>
    </row>
    <row r="694">
      <c r="A694" t="n">
        <v>11</v>
      </c>
      <c r="B694" t="inlineStr">
        <is>
          <t>SPE7M1-19-P-0157</t>
        </is>
      </c>
      <c r="E694" t="n">
        <v>6</v>
      </c>
      <c r="F694" t="inlineStr">
        <is>
          <t>GEMS</t>
        </is>
      </c>
      <c r="G694" s="4" t="n">
        <v>43378</v>
      </c>
      <c r="H694" t="n">
        <v>140</v>
      </c>
      <c r="I694" t="inlineStr">
        <is>
          <t>WS-OC11</t>
        </is>
      </c>
      <c r="K694" s="232" t="n">
        <v>4435.38</v>
      </c>
      <c r="L694" s="230" t="n">
        <v>4350</v>
      </c>
      <c r="M694" s="232">
        <f>K694-L694</f>
        <v/>
      </c>
      <c r="P694" s="19">
        <f>(#REF!/K694)-1</f>
        <v/>
      </c>
    </row>
    <row r="695">
      <c r="A695" t="n">
        <v>12</v>
      </c>
      <c r="B695" t="inlineStr">
        <is>
          <t>SPE8E8-19-V-0083</t>
        </is>
      </c>
      <c r="E695" t="n">
        <v>78</v>
      </c>
      <c r="F695" t="inlineStr">
        <is>
          <t>MUNTER</t>
        </is>
      </c>
      <c r="G695" s="4" t="n">
        <v>43378</v>
      </c>
      <c r="H695" t="n">
        <v>120</v>
      </c>
      <c r="I695" t="inlineStr">
        <is>
          <t>WS-OC12</t>
        </is>
      </c>
      <c r="K695" s="232" t="n">
        <v>9740.639999999999</v>
      </c>
      <c r="L695" s="230" t="n">
        <v>9594</v>
      </c>
      <c r="M695" s="232">
        <f>K695-L695</f>
        <v/>
      </c>
      <c r="N695" s="51">
        <f>45.46*3+19.5</f>
        <v/>
      </c>
      <c r="P695" s="19">
        <f>(K695/L695)-1</f>
        <v/>
      </c>
    </row>
    <row r="696">
      <c r="A696" t="n">
        <v>13</v>
      </c>
      <c r="B696" t="inlineStr">
        <is>
          <t>SPE7M0-19-V-0310</t>
        </is>
      </c>
      <c r="E696" t="n">
        <v>7</v>
      </c>
      <c r="F696" s="64" t="inlineStr">
        <is>
          <t>Glenair orderd 10</t>
        </is>
      </c>
      <c r="G696" s="4" t="n">
        <v>43378</v>
      </c>
      <c r="H696" t="n">
        <v>140</v>
      </c>
      <c r="I696" t="inlineStr">
        <is>
          <t>WS-OC13</t>
        </is>
      </c>
      <c r="K696" s="232" t="n">
        <v>4318.58</v>
      </c>
      <c r="L696" s="230" t="n">
        <v>4747.4</v>
      </c>
      <c r="M696" s="232">
        <f>K696-L696</f>
        <v/>
      </c>
      <c r="P696" s="19">
        <f>(#REF!/K696)-1</f>
        <v/>
      </c>
    </row>
    <row r="697">
      <c r="A697" t="n">
        <v>14</v>
      </c>
      <c r="B697" t="inlineStr">
        <is>
          <t>Kampi PO 274161</t>
        </is>
      </c>
      <c r="E697" t="n">
        <v>14</v>
      </c>
      <c r="F697" t="inlineStr">
        <is>
          <t>Avibank toKampi</t>
        </is>
      </c>
      <c r="G697" s="4" t="n">
        <v>43379</v>
      </c>
      <c r="I697" t="inlineStr">
        <is>
          <t>WS</t>
        </is>
      </c>
      <c r="K697" s="232" t="n">
        <v>1472</v>
      </c>
      <c r="L697" t="n">
        <v>0</v>
      </c>
      <c r="M697" s="232">
        <f>K697-L697</f>
        <v/>
      </c>
      <c r="P697" s="19">
        <f>(K697/L697)-1</f>
        <v/>
      </c>
    </row>
    <row r="698">
      <c r="A698" t="n">
        <v>15</v>
      </c>
      <c r="B698" t="inlineStr">
        <is>
          <t>SPE7M1-19-V-0386</t>
        </is>
      </c>
      <c r="E698" t="n">
        <v>15</v>
      </c>
      <c r="F698" s="64" t="inlineStr">
        <is>
          <t>Glenair orderd 20,</t>
        </is>
      </c>
      <c r="G698" s="4" t="n">
        <v>43382</v>
      </c>
      <c r="H698" t="n">
        <v>140</v>
      </c>
      <c r="I698" t="inlineStr">
        <is>
          <t>WS-OC15</t>
        </is>
      </c>
      <c r="K698" s="232" t="n">
        <v>2950.5</v>
      </c>
      <c r="L698" s="230">
        <f>149.23*19</f>
        <v/>
      </c>
      <c r="M698" s="232">
        <f>K698-L698</f>
        <v/>
      </c>
      <c r="P698" s="19">
        <f>(K698/L698)-1</f>
        <v/>
      </c>
    </row>
    <row r="699">
      <c r="A699" t="n">
        <v>16</v>
      </c>
      <c r="B699" t="inlineStr">
        <is>
          <t>SPE8E7-19-P-0125</t>
        </is>
      </c>
      <c r="E699" t="n">
        <v>1</v>
      </c>
      <c r="F699" t="inlineStr">
        <is>
          <t>Tim Price</t>
        </is>
      </c>
      <c r="G699" s="4" t="n">
        <v>43382</v>
      </c>
      <c r="H699" t="n">
        <v>140</v>
      </c>
      <c r="I699" t="inlineStr">
        <is>
          <t>WS-OC16</t>
        </is>
      </c>
      <c r="K699" s="232" t="n">
        <v>2121.87</v>
      </c>
      <c r="L699" s="230" t="n">
        <v>2071</v>
      </c>
      <c r="M699" s="232">
        <f>K699-L699</f>
        <v/>
      </c>
      <c r="P699" s="19">
        <f>(K699/L699)-1</f>
        <v/>
      </c>
    </row>
    <row r="700">
      <c r="A700" t="n">
        <v>17</v>
      </c>
      <c r="B700" t="inlineStr">
        <is>
          <t>SPE7MC-19-V-0312</t>
        </is>
      </c>
      <c r="E700" t="n">
        <v>9</v>
      </c>
      <c r="F700" t="inlineStr">
        <is>
          <t>GEMS</t>
        </is>
      </c>
      <c r="G700" s="4" t="n">
        <v>43382</v>
      </c>
      <c r="H700" t="n">
        <v>140</v>
      </c>
      <c r="I700" t="inlineStr">
        <is>
          <t>WS-OC17</t>
        </is>
      </c>
      <c r="K700" s="232" t="n">
        <v>10056.42</v>
      </c>
      <c r="L700" s="230">
        <f>9855+26.77</f>
        <v/>
      </c>
      <c r="M700" s="232">
        <f>K700-L700</f>
        <v/>
      </c>
      <c r="P700" s="19">
        <f>(K700/L700)-1</f>
        <v/>
      </c>
    </row>
    <row r="701">
      <c r="A701" t="n">
        <v>18</v>
      </c>
      <c r="B701" s="227" t="inlineStr">
        <is>
          <t>SPE7M5-19-V-0303</t>
        </is>
      </c>
      <c r="E701" t="n">
        <v>1</v>
      </c>
      <c r="F701" t="inlineStr">
        <is>
          <t>Phoenix Logistics</t>
        </is>
      </c>
      <c r="G701" s="4" t="n">
        <v>43382</v>
      </c>
      <c r="H701" t="n">
        <v>180</v>
      </c>
      <c r="I701" t="inlineStr">
        <is>
          <t>WS-OC18</t>
        </is>
      </c>
      <c r="K701" s="232" t="n">
        <v>3058</v>
      </c>
      <c r="L701" s="230" t="n">
        <v>3007.3</v>
      </c>
      <c r="M701" s="232">
        <f>K701-L701</f>
        <v/>
      </c>
      <c r="P701" s="19">
        <f>(K701/L701)-1</f>
        <v/>
      </c>
    </row>
    <row r="702">
      <c r="A702" t="n">
        <v>19</v>
      </c>
      <c r="B702" t="inlineStr">
        <is>
          <t>SPE7M0-19-V-0369</t>
        </is>
      </c>
      <c r="E702" t="n">
        <v>5</v>
      </c>
      <c r="F702" t="inlineStr">
        <is>
          <t>Morris Crane</t>
        </is>
      </c>
      <c r="G702" s="4" t="n">
        <v>43382</v>
      </c>
      <c r="H702" t="n">
        <v>120</v>
      </c>
      <c r="I702" t="inlineStr">
        <is>
          <t>WS-OC19</t>
        </is>
      </c>
      <c r="K702" s="232" t="n">
        <v>1629.45</v>
      </c>
      <c r="L702" s="230" t="n">
        <v>1568.75</v>
      </c>
      <c r="M702" s="232">
        <f>K702-L702</f>
        <v/>
      </c>
      <c r="P702" s="19">
        <f>(K702/L702)-1</f>
        <v/>
      </c>
    </row>
    <row r="703">
      <c r="A703" t="n">
        <v>20</v>
      </c>
      <c r="B703" t="inlineStr">
        <is>
          <t>SPE7MC-19-V-0323</t>
        </is>
      </c>
      <c r="E703" t="n">
        <v>1</v>
      </c>
      <c r="F703" t="inlineStr">
        <is>
          <t>PBM</t>
        </is>
      </c>
      <c r="G703" s="4" t="n">
        <v>43382</v>
      </c>
      <c r="H703" t="n">
        <v>120</v>
      </c>
      <c r="I703" t="inlineStr">
        <is>
          <t>WS-OC20</t>
        </is>
      </c>
      <c r="K703" s="232" t="n">
        <v>926.48</v>
      </c>
      <c r="L703" s="230" t="n">
        <v>861</v>
      </c>
      <c r="M703" s="232">
        <f>K703-L703</f>
        <v/>
      </c>
      <c r="P703" s="19">
        <f>(K703/L703)-1</f>
        <v/>
      </c>
    </row>
    <row r="704">
      <c r="A704" t="n">
        <v>21</v>
      </c>
      <c r="B704" t="inlineStr">
        <is>
          <t>SPE7MC-19-V-0345</t>
        </is>
      </c>
      <c r="E704" t="n">
        <v>1</v>
      </c>
      <c r="F704" t="inlineStr">
        <is>
          <t>PBM</t>
        </is>
      </c>
      <c r="G704" s="4" t="n">
        <v>43382</v>
      </c>
      <c r="H704" t="n">
        <v>120</v>
      </c>
      <c r="I704" t="inlineStr">
        <is>
          <t>WS-OC21</t>
        </is>
      </c>
      <c r="K704" s="232" t="n">
        <v>954.87</v>
      </c>
      <c r="L704" s="230" t="n">
        <v>892</v>
      </c>
      <c r="M704" s="232">
        <f>K704-L704</f>
        <v/>
      </c>
      <c r="P704" s="19">
        <f>(K704/L704)-1</f>
        <v/>
      </c>
    </row>
    <row r="705">
      <c r="A705" t="n">
        <v>22</v>
      </c>
      <c r="B705" t="inlineStr">
        <is>
          <t>SPE7M1-19-V-0399</t>
        </is>
      </c>
      <c r="E705" t="n">
        <v>2</v>
      </c>
      <c r="F705" t="inlineStr">
        <is>
          <t>Glenair</t>
        </is>
      </c>
      <c r="G705" s="4" t="n">
        <v>43383</v>
      </c>
      <c r="H705" t="n">
        <v>140</v>
      </c>
      <c r="I705" t="inlineStr">
        <is>
          <t>WS-OC22</t>
        </is>
      </c>
      <c r="K705" s="232" t="n">
        <v>1325.58</v>
      </c>
      <c r="L705" s="230" t="n">
        <v>1306.88</v>
      </c>
      <c r="M705" s="232">
        <f>K705-L705</f>
        <v/>
      </c>
      <c r="P705" s="19">
        <f>(K705/L705)-1</f>
        <v/>
      </c>
    </row>
    <row r="706">
      <c r="A706" t="n">
        <v>23</v>
      </c>
      <c r="B706" t="inlineStr">
        <is>
          <t>SPE7M8-19-V-0134</t>
        </is>
      </c>
      <c r="E706" t="n">
        <v>6</v>
      </c>
      <c r="F706" s="51" t="inlineStr">
        <is>
          <t>GEMS LONG BOX</t>
        </is>
      </c>
      <c r="G706" s="4" t="n">
        <v>43383</v>
      </c>
      <c r="H706" t="n">
        <v>140</v>
      </c>
      <c r="I706" t="inlineStr">
        <is>
          <t>WS-OC23</t>
        </is>
      </c>
      <c r="K706" s="232" t="n">
        <v>13194</v>
      </c>
      <c r="L706" s="230" t="n">
        <v>12984</v>
      </c>
      <c r="M706" s="232">
        <f>K706-L706</f>
        <v/>
      </c>
      <c r="N706">
        <f>56.16+56.16</f>
        <v/>
      </c>
      <c r="P706" s="19">
        <f>(K706/L706)-1</f>
        <v/>
      </c>
    </row>
    <row r="707">
      <c r="A707" t="n">
        <v>24</v>
      </c>
      <c r="B707" t="inlineStr">
        <is>
          <t>SPE7M5-19-V-0503</t>
        </is>
      </c>
      <c r="E707" t="n">
        <v>19</v>
      </c>
      <c r="F707" s="160" t="inlineStr">
        <is>
          <t>Glenair order 20</t>
        </is>
      </c>
      <c r="G707" s="4" t="n">
        <v>43384</v>
      </c>
      <c r="H707" t="n">
        <v>140</v>
      </c>
      <c r="I707" t="inlineStr">
        <is>
          <t>WS-OC24</t>
        </is>
      </c>
      <c r="K707" s="232" t="n">
        <v>1074.26</v>
      </c>
      <c r="L707" s="255" t="n">
        <v>1052.8</v>
      </c>
      <c r="M707" s="232">
        <f>K707-L707</f>
        <v/>
      </c>
      <c r="P707" s="19">
        <f>(K707/L707)-1</f>
        <v/>
      </c>
    </row>
    <row r="708">
      <c r="A708" t="n">
        <v>25</v>
      </c>
      <c r="B708" t="inlineStr">
        <is>
          <t>SPE7M5-19-V-0399</t>
        </is>
      </c>
      <c r="E708" t="n">
        <v>8</v>
      </c>
      <c r="F708" s="160" t="inlineStr">
        <is>
          <t>Glenair order 10</t>
        </is>
      </c>
      <c r="G708" s="4" t="n">
        <v>43384</v>
      </c>
      <c r="H708" t="n">
        <v>140</v>
      </c>
      <c r="I708" t="inlineStr">
        <is>
          <t>WS-OC25</t>
        </is>
      </c>
      <c r="K708" s="232" t="n">
        <v>3414.16</v>
      </c>
      <c r="L708" s="230" t="n">
        <v>3398.5</v>
      </c>
      <c r="M708" s="232">
        <f>K708-L708</f>
        <v/>
      </c>
      <c r="P708" s="19">
        <f>(K708/L708)-1</f>
        <v/>
      </c>
    </row>
    <row r="709">
      <c r="A709" t="n">
        <v>26</v>
      </c>
      <c r="B709" t="inlineStr">
        <is>
          <t>SPE7M5-19-V-0424</t>
        </is>
      </c>
      <c r="E709" t="n">
        <v>30</v>
      </c>
      <c r="F709" t="inlineStr">
        <is>
          <t>Glenair</t>
        </is>
      </c>
      <c r="G709" s="4" t="n">
        <v>43384</v>
      </c>
      <c r="H709" t="n">
        <v>140</v>
      </c>
      <c r="I709" t="inlineStr">
        <is>
          <t>WS-SE22</t>
        </is>
      </c>
      <c r="K709" s="232" t="n">
        <v>4910.1</v>
      </c>
      <c r="L709" s="230">
        <f>30*140.08</f>
        <v/>
      </c>
      <c r="M709" s="232">
        <f>K709-L709</f>
        <v/>
      </c>
      <c r="P709" s="19">
        <f>(K709/L709)-1</f>
        <v/>
      </c>
    </row>
    <row r="710">
      <c r="A710" t="n">
        <v>27</v>
      </c>
      <c r="B710" t="inlineStr">
        <is>
          <t>SPE4A4-19-V-0488</t>
        </is>
      </c>
      <c r="E710" t="n">
        <v>8</v>
      </c>
      <c r="F710" t="inlineStr">
        <is>
          <t>GEMS</t>
        </is>
      </c>
      <c r="G710" s="4" t="n">
        <v>43388</v>
      </c>
      <c r="H710" t="n">
        <v>140</v>
      </c>
      <c r="I710" t="inlineStr">
        <is>
          <t>WS-OC27</t>
        </is>
      </c>
      <c r="K710" s="232" t="n">
        <v>33344</v>
      </c>
      <c r="L710" s="230">
        <f>32720+161.16</f>
        <v/>
      </c>
      <c r="M710" s="232">
        <f>K710-L710</f>
        <v/>
      </c>
      <c r="N710" s="255">
        <f>24.91*8</f>
        <v/>
      </c>
      <c r="O710" s="232">
        <f>M710-N710</f>
        <v/>
      </c>
      <c r="P710" s="19">
        <f>(K710/L710)-1</f>
        <v/>
      </c>
    </row>
    <row r="711">
      <c r="A711" t="n">
        <v>28</v>
      </c>
      <c r="B711" t="inlineStr">
        <is>
          <t>SPE7M519P0693</t>
        </is>
      </c>
      <c r="E711" t="n">
        <v>65</v>
      </c>
      <c r="F711" t="inlineStr">
        <is>
          <t>Glenair</t>
        </is>
      </c>
      <c r="G711" s="4" t="n">
        <v>43390</v>
      </c>
      <c r="I711" t="inlineStr">
        <is>
          <t>WS-OC28</t>
        </is>
      </c>
      <c r="K711" s="232" t="n">
        <v>1941.55</v>
      </c>
      <c r="L711" s="230" t="n">
        <v>1857.05</v>
      </c>
      <c r="M711" s="232">
        <f>K711-L711</f>
        <v/>
      </c>
      <c r="P711" s="19">
        <f>(K711/L711)-1</f>
        <v/>
      </c>
    </row>
    <row r="712">
      <c r="A712" t="n">
        <v>29</v>
      </c>
      <c r="B712" s="3" t="inlineStr">
        <is>
          <t>SPE4A6-19-V-1302</t>
        </is>
      </c>
      <c r="E712" t="n">
        <v>11</v>
      </c>
      <c r="F712" t="inlineStr">
        <is>
          <t>DRUCK</t>
        </is>
      </c>
      <c r="G712" s="4" t="n">
        <v>43391</v>
      </c>
      <c r="I712" t="inlineStr">
        <is>
          <t>WS-OC29</t>
        </is>
      </c>
      <c r="K712" s="232" t="n">
        <v>17351.4</v>
      </c>
      <c r="L712" s="230" t="n">
        <v>17303</v>
      </c>
      <c r="M712" s="232">
        <f>K712-L712</f>
        <v/>
      </c>
      <c r="P712" s="19">
        <f>(K712/L712)-1</f>
        <v/>
      </c>
    </row>
    <row r="713">
      <c r="A713" t="n">
        <v>30</v>
      </c>
      <c r="B713" s="3" t="inlineStr">
        <is>
          <t>SPE4A6-19-V-1320</t>
        </is>
      </c>
      <c r="E713" t="n">
        <v>5</v>
      </c>
      <c r="F713" t="inlineStr">
        <is>
          <t>Glenair</t>
        </is>
      </c>
      <c r="G713" s="4" t="n">
        <v>43391</v>
      </c>
      <c r="I713" t="inlineStr">
        <is>
          <t>WS-OC30</t>
        </is>
      </c>
      <c r="K713" s="232" t="n">
        <v>2881.05</v>
      </c>
      <c r="L713" s="230" t="n">
        <v>2834.75</v>
      </c>
      <c r="M713" s="232">
        <f>K713-L713</f>
        <v/>
      </c>
      <c r="P713" s="19">
        <f>(K713/L713)-1</f>
        <v/>
      </c>
    </row>
    <row r="714">
      <c r="A714" t="n">
        <v>31</v>
      </c>
      <c r="B714" t="inlineStr">
        <is>
          <t>SPE7M1-19-V-0907</t>
        </is>
      </c>
      <c r="E714" t="n">
        <v>4</v>
      </c>
      <c r="F714" t="inlineStr">
        <is>
          <t>MOPACK</t>
        </is>
      </c>
      <c r="G714" s="4" t="n">
        <v>43395</v>
      </c>
      <c r="H714" t="n">
        <v>160</v>
      </c>
      <c r="I714" t="inlineStr">
        <is>
          <t>WS-OC31</t>
        </is>
      </c>
      <c r="K714" s="232" t="n">
        <v>18046.48</v>
      </c>
      <c r="L714" s="230" t="n">
        <v>17745.8</v>
      </c>
      <c r="M714" s="232">
        <f>K714-L714</f>
        <v/>
      </c>
      <c r="P714" s="19">
        <f>(K714/L714)-1</f>
        <v/>
      </c>
    </row>
    <row r="715">
      <c r="A715" t="n">
        <v>32</v>
      </c>
      <c r="B715" t="inlineStr">
        <is>
          <t>SPE7M5-19-V-0886</t>
        </is>
      </c>
      <c r="E715" t="n">
        <v>62</v>
      </c>
      <c r="F715" t="inlineStr">
        <is>
          <t>Phoenix Logistics</t>
        </is>
      </c>
      <c r="G715" s="4" t="n">
        <v>43395</v>
      </c>
      <c r="H715" t="n">
        <v>120</v>
      </c>
      <c r="I715" t="inlineStr">
        <is>
          <t>WS-OC32</t>
        </is>
      </c>
      <c r="K715" s="232" t="n">
        <v>4288.54</v>
      </c>
      <c r="L715" s="230" t="n">
        <v>4168.88</v>
      </c>
      <c r="M715" s="232">
        <f>K715-L715</f>
        <v/>
      </c>
      <c r="P715" s="19">
        <f>(K715/L715)-1</f>
        <v/>
      </c>
    </row>
    <row r="716">
      <c r="A716" t="n">
        <v>33</v>
      </c>
      <c r="B716" t="inlineStr">
        <is>
          <t>SPE7L3-19-V-0886</t>
        </is>
      </c>
      <c r="E716" t="n">
        <v>15</v>
      </c>
      <c r="F716" t="inlineStr">
        <is>
          <t>HIAB USA</t>
        </is>
      </c>
      <c r="G716" s="4" t="n">
        <v>43397</v>
      </c>
      <c r="I716" t="inlineStr">
        <is>
          <t>WS-OC33</t>
        </is>
      </c>
      <c r="K716" s="232" t="n">
        <v>6937.35</v>
      </c>
      <c r="L716" s="230">
        <f>6790.65+12.88</f>
        <v/>
      </c>
      <c r="M716" s="232">
        <f>K716-L716</f>
        <v/>
      </c>
      <c r="P716" s="19">
        <f>(K716/L716)-1</f>
        <v/>
      </c>
    </row>
    <row r="717">
      <c r="A717" t="n">
        <v>34</v>
      </c>
      <c r="B717" s="3" t="inlineStr">
        <is>
          <t>SPE7MC-19-V-1029</t>
        </is>
      </c>
      <c r="E717" t="n">
        <v>1</v>
      </c>
      <c r="F717" t="inlineStr">
        <is>
          <t>PBM PAR</t>
        </is>
      </c>
      <c r="G717" s="4" t="n">
        <v>43397</v>
      </c>
      <c r="I717" t="inlineStr">
        <is>
          <t>WS-OC34</t>
        </is>
      </c>
      <c r="K717" s="232" t="n">
        <v>6986.69</v>
      </c>
      <c r="L717" s="230" t="n">
        <v>6868</v>
      </c>
      <c r="M717" s="232">
        <f>K717-L717</f>
        <v/>
      </c>
      <c r="P717" s="19">
        <f>(K717/L717)-1</f>
        <v/>
      </c>
    </row>
    <row r="718">
      <c r="A718" t="n">
        <v>35</v>
      </c>
      <c r="B718" t="inlineStr">
        <is>
          <t>SPE4A4-19-V-0839</t>
        </is>
      </c>
      <c r="E718" t="n">
        <v>17</v>
      </c>
      <c r="F718" t="inlineStr">
        <is>
          <t>Glenair</t>
        </is>
      </c>
      <c r="G718" s="4" t="n">
        <v>43398</v>
      </c>
      <c r="H718" t="n">
        <v>140</v>
      </c>
      <c r="I718" t="inlineStr">
        <is>
          <t>WS-JY27</t>
        </is>
      </c>
      <c r="K718" s="232" t="n">
        <v>5026.73</v>
      </c>
      <c r="L718" s="230">
        <f>176.36*17</f>
        <v/>
      </c>
      <c r="M718" s="232">
        <f>K718-L718</f>
        <v/>
      </c>
      <c r="P718" s="19">
        <f>(K718/L718)-1</f>
        <v/>
      </c>
    </row>
    <row r="719">
      <c r="A719" t="n">
        <v>36</v>
      </c>
      <c r="B719" s="3" t="inlineStr">
        <is>
          <t>SPE5EK-19-V-0569</t>
        </is>
      </c>
      <c r="E719" t="n">
        <v>6</v>
      </c>
      <c r="F719" t="inlineStr">
        <is>
          <t>Tim Price</t>
        </is>
      </c>
      <c r="G719" s="4" t="n">
        <v>43398</v>
      </c>
      <c r="H719" t="n">
        <v>150</v>
      </c>
      <c r="I719" t="inlineStr">
        <is>
          <t>WS-OC36</t>
        </is>
      </c>
      <c r="K719" s="232" t="n">
        <v>7010.4</v>
      </c>
      <c r="L719" s="255" t="n">
        <v>6852</v>
      </c>
      <c r="M719" s="232">
        <f>K719-L719</f>
        <v/>
      </c>
      <c r="N719" s="51" t="n">
        <v>220.81</v>
      </c>
      <c r="P719" s="19">
        <f>(K719/L719)-1</f>
        <v/>
      </c>
    </row>
    <row r="720">
      <c r="A720" t="n">
        <v>37</v>
      </c>
      <c r="B720" t="inlineStr">
        <is>
          <t>SPE4A6-19-V-2008</t>
        </is>
      </c>
      <c r="E720" t="n">
        <v>2</v>
      </c>
      <c r="F720" t="inlineStr">
        <is>
          <t>Indeco</t>
        </is>
      </c>
      <c r="G720" s="4" t="n">
        <v>43399</v>
      </c>
      <c r="H720" t="n">
        <v>90</v>
      </c>
      <c r="K720" s="232" t="n">
        <v>192.96</v>
      </c>
      <c r="L720" s="255" t="n">
        <v>110</v>
      </c>
      <c r="M720" s="232">
        <f>K720-L720</f>
        <v/>
      </c>
      <c r="P720" s="19">
        <f>(K720/L720)-1</f>
        <v/>
      </c>
    </row>
    <row r="721">
      <c r="A721" t="n">
        <v>38</v>
      </c>
      <c r="B721" t="inlineStr">
        <is>
          <t>SPE7M0-19-V-1070</t>
        </is>
      </c>
      <c r="E721" t="n">
        <v>3</v>
      </c>
      <c r="F721" t="inlineStr">
        <is>
          <t>Glenair orderd 4,2203</t>
        </is>
      </c>
      <c r="G721" s="4" t="n">
        <v>43399</v>
      </c>
      <c r="H721" t="n">
        <v>140</v>
      </c>
      <c r="I721" t="inlineStr">
        <is>
          <t>WS-OC38</t>
        </is>
      </c>
      <c r="K721" s="232" t="n">
        <v>1277.07</v>
      </c>
      <c r="L721" s="230">
        <f>365.88*3</f>
        <v/>
      </c>
      <c r="M721" s="232">
        <f>K721-L721</f>
        <v/>
      </c>
      <c r="P721" s="19">
        <f>(K721/L721)-1</f>
        <v/>
      </c>
    </row>
    <row r="722">
      <c r="K722" s="243">
        <f>SUM(K683:K721)</f>
        <v/>
      </c>
      <c r="L722" s="240">
        <f>SUM(L683:L721)</f>
        <v/>
      </c>
      <c r="M722" s="243">
        <f>K722-L722</f>
        <v/>
      </c>
      <c r="N722" s="232">
        <f>M686+M687+M697+M700+M706+M709+M710+M714+M718</f>
        <v/>
      </c>
      <c r="P722" s="92">
        <f>(K722/L722)-1</f>
        <v/>
      </c>
    </row>
    <row r="723">
      <c r="P723" s="19">
        <f>(K723/L723)-1</f>
        <v/>
      </c>
    </row>
    <row r="724">
      <c r="A724" t="n">
        <v>1</v>
      </c>
      <c r="B724" t="inlineStr">
        <is>
          <t>SPE7MC-19-V-1225</t>
        </is>
      </c>
      <c r="E724" t="n">
        <v>6</v>
      </c>
      <c r="F724" t="inlineStr">
        <is>
          <t>MORPAC</t>
        </is>
      </c>
      <c r="G724" s="4" t="n">
        <v>43405</v>
      </c>
      <c r="H724" t="n">
        <v>180</v>
      </c>
      <c r="I724" t="inlineStr">
        <is>
          <t>WS-NV01</t>
        </is>
      </c>
      <c r="K724" s="232" t="n">
        <v>11106</v>
      </c>
      <c r="L724" s="230" t="n">
        <v>10872.3</v>
      </c>
      <c r="M724" s="230">
        <f>K724-L724</f>
        <v/>
      </c>
      <c r="P724" s="19">
        <f>(K724/L724)-1</f>
        <v/>
      </c>
    </row>
    <row r="725">
      <c r="A725" t="n">
        <v>2</v>
      </c>
      <c r="B725" s="3" t="inlineStr">
        <is>
          <t>text</t>
        </is>
      </c>
      <c r="E725" t="n">
        <v>43</v>
      </c>
      <c r="F725" s="64" t="inlineStr">
        <is>
          <t>Glenair incl others</t>
        </is>
      </c>
      <c r="G725" s="4" t="n">
        <v>43405</v>
      </c>
      <c r="H725" t="n">
        <v>165</v>
      </c>
      <c r="I725" t="inlineStr">
        <is>
          <t>WS-NV02</t>
        </is>
      </c>
      <c r="K725" s="232" t="n">
        <v>25661.11</v>
      </c>
      <c r="L725" s="230">
        <f>528.28*43</f>
        <v/>
      </c>
      <c r="M725" s="232">
        <f>K725-L725</f>
        <v/>
      </c>
      <c r="P725" s="19">
        <f>(K725/L725)-1</f>
        <v/>
      </c>
    </row>
    <row r="726">
      <c r="A726" t="n">
        <v>3</v>
      </c>
      <c r="B726" t="inlineStr">
        <is>
          <t>SPE4A6-19-P-2562</t>
        </is>
      </c>
      <c r="E726" t="n">
        <v>11</v>
      </c>
      <c r="F726" t="inlineStr">
        <is>
          <t>GEMS</t>
        </is>
      </c>
      <c r="G726" s="4" t="n">
        <v>43406</v>
      </c>
      <c r="H726" t="n">
        <v>140</v>
      </c>
      <c r="I726" t="inlineStr">
        <is>
          <t>WS-NV03</t>
        </is>
      </c>
      <c r="K726" s="232" t="n">
        <v>20079.18</v>
      </c>
      <c r="L726" s="230">
        <f>19404+152</f>
        <v/>
      </c>
      <c r="M726" s="232">
        <f>K726-L726</f>
        <v/>
      </c>
      <c r="N726" s="51">
        <f>58.29*3</f>
        <v/>
      </c>
      <c r="O726" s="232">
        <f>M726-N726</f>
        <v/>
      </c>
      <c r="P726" s="19">
        <f>(K726/L726)-1</f>
        <v/>
      </c>
    </row>
    <row r="727">
      <c r="A727" t="n">
        <v>4</v>
      </c>
      <c r="B727" t="inlineStr">
        <is>
          <t>SPE7M1-19-V-1276</t>
        </is>
      </c>
      <c r="E727" t="n">
        <v>21</v>
      </c>
      <c r="F727" s="64" t="inlineStr">
        <is>
          <t>Glenair, 50,29stock</t>
        </is>
      </c>
      <c r="G727" s="4" t="n">
        <v>43406</v>
      </c>
      <c r="H727" t="n">
        <v>140</v>
      </c>
      <c r="I727" t="inlineStr">
        <is>
          <t>WS-NV04</t>
        </is>
      </c>
      <c r="K727" s="232" t="n">
        <v>1274.49</v>
      </c>
      <c r="L727" s="230">
        <f>42.6*50</f>
        <v/>
      </c>
      <c r="M727" s="232">
        <f>K727-L727</f>
        <v/>
      </c>
      <c r="P727" s="19">
        <f>(K727/L727)-1</f>
        <v/>
      </c>
    </row>
    <row r="728">
      <c r="A728" t="n">
        <v>5</v>
      </c>
      <c r="B728" s="3" t="inlineStr">
        <is>
          <t>SPE7M8-19-P-0413</t>
        </is>
      </c>
      <c r="E728" t="n">
        <v>7</v>
      </c>
      <c r="F728" t="inlineStr">
        <is>
          <t>GEMS</t>
        </is>
      </c>
      <c r="G728" s="4" t="n">
        <v>43409</v>
      </c>
      <c r="H728" t="n">
        <v>140</v>
      </c>
      <c r="I728" t="inlineStr">
        <is>
          <t>WS-NV05</t>
        </is>
      </c>
      <c r="K728" s="232" t="n">
        <v>25890.83</v>
      </c>
      <c r="L728" s="230">
        <f>25480+55.66</f>
        <v/>
      </c>
      <c r="M728" s="232">
        <f>K728-L728</f>
        <v/>
      </c>
      <c r="N728" s="51" t="n">
        <v>66.73999999999999</v>
      </c>
      <c r="P728" s="19">
        <f>(K728/L728)-1</f>
        <v/>
      </c>
    </row>
    <row r="729">
      <c r="A729" t="n">
        <v>6</v>
      </c>
      <c r="B729" s="3" t="inlineStr">
        <is>
          <t>SPE7L3-19-V-1233</t>
        </is>
      </c>
      <c r="E729" t="n">
        <v>239</v>
      </c>
      <c r="F729" s="51" t="inlineStr">
        <is>
          <t>GlenairPAR Submitted</t>
        </is>
      </c>
      <c r="G729" s="4" t="n">
        <v>43409</v>
      </c>
      <c r="H729" t="n">
        <v>155</v>
      </c>
      <c r="K729" s="232" t="n">
        <v>0</v>
      </c>
      <c r="L729" s="230" t="n">
        <v>0</v>
      </c>
      <c r="M729" s="232">
        <f>K729-L729</f>
        <v/>
      </c>
      <c r="P729" s="19">
        <f>(K729/L729)-1</f>
        <v/>
      </c>
    </row>
    <row r="730">
      <c r="A730" t="n">
        <v>7</v>
      </c>
      <c r="B730" s="3" t="inlineStr">
        <is>
          <t>SPE5EJ-19-V-0919</t>
        </is>
      </c>
      <c r="E730" t="n">
        <v>1</v>
      </c>
      <c r="F730" t="inlineStr">
        <is>
          <t>KDSTI</t>
        </is>
      </c>
      <c r="G730" s="4" t="n">
        <v>43411</v>
      </c>
      <c r="H730" t="n">
        <v>120</v>
      </c>
      <c r="I730" t="inlineStr">
        <is>
          <t>WS-NV07</t>
        </is>
      </c>
      <c r="K730" s="232" t="n">
        <v>456.64</v>
      </c>
      <c r="L730" s="230" t="n">
        <v>403.97</v>
      </c>
      <c r="M730" s="232">
        <f>K730-L730</f>
        <v/>
      </c>
      <c r="P730" s="19">
        <f>(K730/L730)-1</f>
        <v/>
      </c>
    </row>
    <row r="731">
      <c r="A731" t="n">
        <v>8</v>
      </c>
      <c r="B731" t="inlineStr">
        <is>
          <t>SPE7M5-19-V-1575</t>
        </is>
      </c>
      <c r="E731" t="n">
        <v>14</v>
      </c>
      <c r="F731" s="64" t="inlineStr">
        <is>
          <t>Glenair, 20</t>
        </is>
      </c>
      <c r="G731" s="4" t="n">
        <v>43411</v>
      </c>
      <c r="H731" t="n">
        <v>145</v>
      </c>
      <c r="I731" t="inlineStr">
        <is>
          <t>WS-NV08</t>
        </is>
      </c>
      <c r="K731" s="232" t="n">
        <v>4446.68</v>
      </c>
      <c r="L731" s="230" t="n">
        <v>4674.2</v>
      </c>
      <c r="M731" s="232">
        <f>K731-L731</f>
        <v/>
      </c>
      <c r="P731" s="19">
        <f>(K731/L731)-1</f>
        <v/>
      </c>
    </row>
    <row r="732">
      <c r="A732" t="n">
        <v>9</v>
      </c>
      <c r="B732" s="3" t="inlineStr">
        <is>
          <t>SPE7M5-19-V-1494</t>
        </is>
      </c>
      <c r="E732" t="n">
        <v>62</v>
      </c>
      <c r="F732" t="inlineStr">
        <is>
          <t>Glenair</t>
        </is>
      </c>
      <c r="G732" s="4" t="n">
        <v>43411</v>
      </c>
      <c r="H732" t="n">
        <v>140</v>
      </c>
      <c r="I732" t="inlineStr">
        <is>
          <t>WS-NV09</t>
        </is>
      </c>
      <c r="K732" s="232" t="n">
        <v>2750.32</v>
      </c>
      <c r="L732" s="230" t="n">
        <v>2697.62</v>
      </c>
      <c r="M732" s="232">
        <f>K732-L732</f>
        <v/>
      </c>
      <c r="P732" s="19">
        <f>(K732/L732)-1</f>
        <v/>
      </c>
    </row>
    <row r="733">
      <c r="A733" t="n">
        <v>10</v>
      </c>
      <c r="B733" s="3" t="inlineStr">
        <is>
          <t>SPE4A4-19-V-1350</t>
        </is>
      </c>
      <c r="E733" t="n">
        <v>2</v>
      </c>
      <c r="F733" s="64" t="inlineStr">
        <is>
          <t>Glenair incl others</t>
        </is>
      </c>
      <c r="G733" s="4" t="n">
        <v>43413</v>
      </c>
      <c r="H733" t="n">
        <v>150</v>
      </c>
      <c r="I733" t="inlineStr">
        <is>
          <t>WS-NV10</t>
        </is>
      </c>
      <c r="K733" s="232" t="n">
        <v>2432</v>
      </c>
      <c r="L733" s="255" t="n">
        <v>2432</v>
      </c>
      <c r="M733" s="232">
        <f>K733-L733</f>
        <v/>
      </c>
      <c r="P733" s="19">
        <f>(K733/L733)-1</f>
        <v/>
      </c>
    </row>
    <row r="734">
      <c r="A734" t="n">
        <v>11</v>
      </c>
      <c r="B734" t="inlineStr">
        <is>
          <t>SPE5EJ-19-V-1032</t>
        </is>
      </c>
      <c r="E734" t="n">
        <v>103</v>
      </c>
      <c r="F734" t="inlineStr">
        <is>
          <t>XYLEM</t>
        </is>
      </c>
      <c r="G734" s="4" t="n">
        <v>43413</v>
      </c>
      <c r="H734" t="n">
        <v>120</v>
      </c>
      <c r="I734" t="inlineStr">
        <is>
          <t>WS-NV11</t>
        </is>
      </c>
      <c r="K734" s="232" t="n">
        <v>10255.71</v>
      </c>
      <c r="L734" s="230" t="n">
        <v>9991</v>
      </c>
      <c r="M734" s="232">
        <f>K734-L734</f>
        <v/>
      </c>
      <c r="N734" t="n">
        <v>41.21</v>
      </c>
      <c r="P734" s="19">
        <f>(K734/L734)-1</f>
        <v/>
      </c>
    </row>
    <row r="735">
      <c r="A735" t="n">
        <v>12</v>
      </c>
      <c r="B735" t="inlineStr">
        <is>
          <t>SPE4A6-19-V-2772</t>
        </is>
      </c>
      <c r="E735" t="n">
        <v>11</v>
      </c>
      <c r="F735" t="inlineStr">
        <is>
          <t>KONGSBERG</t>
        </is>
      </c>
      <c r="G735" s="4" t="n">
        <v>43413</v>
      </c>
      <c r="H735" t="n">
        <v>95</v>
      </c>
      <c r="I735" t="inlineStr">
        <is>
          <t>WS-NV12</t>
        </is>
      </c>
      <c r="K735" s="232" t="n">
        <v>9168.059999999999</v>
      </c>
      <c r="L735" s="230" t="n">
        <v>8388</v>
      </c>
      <c r="M735" s="232">
        <f>K735-L735</f>
        <v/>
      </c>
      <c r="P735" s="19">
        <f>(K735/L735)-1</f>
        <v/>
      </c>
    </row>
    <row r="736">
      <c r="A736" t="n">
        <v>13</v>
      </c>
      <c r="B736" t="inlineStr">
        <is>
          <t>SPE7M5-19-V-1949</t>
        </is>
      </c>
      <c r="E736" t="n">
        <v>65</v>
      </c>
      <c r="F736" t="inlineStr">
        <is>
          <t>Druck</t>
        </is>
      </c>
      <c r="G736" s="4" t="n">
        <v>43417</v>
      </c>
      <c r="H736" t="n">
        <v>140</v>
      </c>
      <c r="I736" t="inlineStr">
        <is>
          <t>WS-NV13</t>
        </is>
      </c>
      <c r="K736" s="232" t="n">
        <v>10855</v>
      </c>
      <c r="L736" s="230" t="n">
        <v>10790</v>
      </c>
      <c r="M736" s="232">
        <f>K736-L736</f>
        <v/>
      </c>
      <c r="P736" s="19">
        <f>(K736/L736)-1</f>
        <v/>
      </c>
    </row>
    <row r="737">
      <c r="A737" t="n">
        <v>14</v>
      </c>
      <c r="B737" t="inlineStr">
        <is>
          <t>SPE7L5-19-V-0376</t>
        </is>
      </c>
      <c r="E737" t="n">
        <v>31</v>
      </c>
      <c r="F737" t="inlineStr">
        <is>
          <t>PRECISION GOVERNORS</t>
        </is>
      </c>
      <c r="G737" s="4" t="n">
        <v>43417</v>
      </c>
      <c r="H737" t="n">
        <v>120</v>
      </c>
      <c r="I737" t="inlineStr">
        <is>
          <t>WS-NV14</t>
        </is>
      </c>
      <c r="K737" s="232" t="n">
        <v>11244.94</v>
      </c>
      <c r="L737" s="230" t="n">
        <v>11121.87</v>
      </c>
      <c r="M737" s="232">
        <f>K737-L737</f>
        <v/>
      </c>
      <c r="P737" s="19">
        <f>(K737/L737)-1</f>
        <v/>
      </c>
    </row>
    <row r="738">
      <c r="A738" t="n">
        <v>15</v>
      </c>
      <c r="B738" t="inlineStr">
        <is>
          <t>SPE7M3-19-V-0983</t>
        </is>
      </c>
      <c r="E738" t="n">
        <v>4</v>
      </c>
      <c r="F738" t="inlineStr">
        <is>
          <t>General Rubber</t>
        </is>
      </c>
      <c r="G738" s="4" t="n">
        <v>43417</v>
      </c>
      <c r="H738" t="n">
        <v>129</v>
      </c>
      <c r="I738" t="inlineStr">
        <is>
          <t>WS-NV15</t>
        </is>
      </c>
      <c r="K738" s="232" t="n">
        <v>1051.36</v>
      </c>
      <c r="L738" s="230" t="n">
        <v>972</v>
      </c>
      <c r="M738" s="232">
        <f>K738-L738</f>
        <v/>
      </c>
      <c r="N738" t="n">
        <v>16.52</v>
      </c>
      <c r="P738" s="19">
        <f>(K738/L738)-1</f>
        <v/>
      </c>
    </row>
    <row r="739">
      <c r="A739" t="n">
        <v>16</v>
      </c>
      <c r="B739" s="3" t="inlineStr">
        <is>
          <t>SPE4A4-19-V-1452</t>
        </is>
      </c>
      <c r="E739" t="n">
        <v>11</v>
      </c>
      <c r="F739" t="inlineStr">
        <is>
          <t>Glenair</t>
        </is>
      </c>
      <c r="G739" s="4" t="n">
        <v>43419</v>
      </c>
      <c r="H739" t="n">
        <v>140</v>
      </c>
      <c r="I739" t="inlineStr">
        <is>
          <t>WS-NV16</t>
        </is>
      </c>
      <c r="K739" s="232" t="n">
        <v>2518.78</v>
      </c>
      <c r="L739" s="230" t="n">
        <v>2488.31</v>
      </c>
      <c r="M739" s="232">
        <f>K739-L739</f>
        <v/>
      </c>
      <c r="P739" s="19">
        <f>(K739/L739)-1</f>
        <v/>
      </c>
    </row>
    <row r="740">
      <c r="A740" t="n">
        <v>17</v>
      </c>
      <c r="B740" t="inlineStr">
        <is>
          <t>SPE7L3-19-V-1740</t>
        </is>
      </c>
      <c r="E740" t="n">
        <v>7</v>
      </c>
      <c r="F740" s="51" t="inlineStr">
        <is>
          <t>HIAB Cancel</t>
        </is>
      </c>
      <c r="G740" s="4" t="n">
        <v>43424</v>
      </c>
      <c r="H740" t="n">
        <v>160</v>
      </c>
      <c r="K740" s="232" t="n">
        <v>0</v>
      </c>
      <c r="L740" s="230" t="n">
        <v>0</v>
      </c>
      <c r="M740" s="232">
        <f>K740-L740</f>
        <v/>
      </c>
      <c r="P740" s="19">
        <f>(K740/L740)-1</f>
        <v/>
      </c>
    </row>
    <row r="741">
      <c r="A741" t="n">
        <v>18</v>
      </c>
      <c r="B741" s="3" t="inlineStr">
        <is>
          <t>SPE7M5-19-V-2162</t>
        </is>
      </c>
      <c r="E741" t="n">
        <v>9</v>
      </c>
      <c r="F741" s="51" t="inlineStr">
        <is>
          <t>KOOLTRONICS PAR</t>
        </is>
      </c>
      <c r="G741" s="4" t="n">
        <v>43424</v>
      </c>
      <c r="H741" t="n">
        <v>140</v>
      </c>
      <c r="I741" t="inlineStr">
        <is>
          <t>WS-NV18</t>
        </is>
      </c>
      <c r="K741" s="232" t="n">
        <v>0</v>
      </c>
      <c r="L741" s="230" t="n">
        <v>0</v>
      </c>
      <c r="M741" s="232">
        <f>K741-L741</f>
        <v/>
      </c>
      <c r="P741" s="19">
        <f>(K741/L741)-1</f>
        <v/>
      </c>
    </row>
    <row r="742">
      <c r="A742" t="n">
        <v>19</v>
      </c>
      <c r="B742" s="3" t="inlineStr">
        <is>
          <t>SPE5EJ-19-V-1243</t>
        </is>
      </c>
      <c r="E742" t="n">
        <v>92</v>
      </c>
      <c r="F742" t="inlineStr">
        <is>
          <t>XYLEM</t>
        </is>
      </c>
      <c r="G742" s="4" t="n">
        <v>43424</v>
      </c>
      <c r="H742" t="n">
        <v>140</v>
      </c>
      <c r="I742" t="inlineStr">
        <is>
          <t>WS-NV19</t>
        </is>
      </c>
      <c r="K742" s="232" t="n">
        <v>9168.719999999999</v>
      </c>
      <c r="L742" s="230">
        <f>90*92</f>
        <v/>
      </c>
      <c r="M742" s="232">
        <f>K742-L742</f>
        <v/>
      </c>
      <c r="P742" s="19">
        <f>(K742/L742)-1</f>
        <v/>
      </c>
    </row>
    <row r="743">
      <c r="A743" t="n">
        <v>20</v>
      </c>
      <c r="B743" t="inlineStr">
        <is>
          <t>SPE7M1-19-V-1816</t>
        </is>
      </c>
      <c r="E743" t="n">
        <v>2</v>
      </c>
      <c r="F743" t="inlineStr">
        <is>
          <t>MORPAC</t>
        </is>
      </c>
      <c r="G743" s="4" t="n">
        <v>43425</v>
      </c>
      <c r="H743" t="n">
        <v>180</v>
      </c>
      <c r="I743" t="inlineStr">
        <is>
          <t>WS-NV20</t>
        </is>
      </c>
      <c r="K743" s="232" t="n">
        <v>9112</v>
      </c>
      <c r="L743" s="230" t="n">
        <v>8875</v>
      </c>
      <c r="M743" s="232">
        <f>K743-L743</f>
        <v/>
      </c>
      <c r="P743" s="19">
        <f>(K743/L743)-1</f>
        <v/>
      </c>
    </row>
    <row r="744">
      <c r="A744" t="n">
        <v>21</v>
      </c>
      <c r="B744" s="3" t="inlineStr">
        <is>
          <t>SPE7M2-19-V-0371</t>
        </is>
      </c>
      <c r="E744" t="n">
        <v>3</v>
      </c>
      <c r="F744" t="inlineStr">
        <is>
          <t>COLE</t>
        </is>
      </c>
      <c r="G744" s="4" t="n">
        <v>43425</v>
      </c>
      <c r="H744" t="n">
        <v>140</v>
      </c>
      <c r="I744" t="inlineStr">
        <is>
          <t>WS-NV21</t>
        </is>
      </c>
      <c r="K744" s="232" t="n">
        <v>710.4</v>
      </c>
      <c r="L744" s="230" t="n">
        <v>845</v>
      </c>
      <c r="M744" s="232">
        <f>K744-L744</f>
        <v/>
      </c>
      <c r="P744" s="19">
        <f>(K744/L744)-1</f>
        <v/>
      </c>
    </row>
    <row r="745">
      <c r="A745" t="n">
        <v>22</v>
      </c>
      <c r="B745" s="20" t="inlineStr">
        <is>
          <t>SPE7M0-19-V-2067</t>
        </is>
      </c>
      <c r="E745" t="n">
        <v>1</v>
      </c>
      <c r="F745" t="inlineStr">
        <is>
          <t>MORPAC</t>
        </is>
      </c>
      <c r="G745" s="4" t="n">
        <v>43425</v>
      </c>
      <c r="H745" t="n">
        <v>120</v>
      </c>
      <c r="I745" t="inlineStr">
        <is>
          <t>WS-NV22</t>
        </is>
      </c>
      <c r="K745" s="232" t="n">
        <v>1147</v>
      </c>
      <c r="L745" s="230" t="n">
        <v>1016.88</v>
      </c>
      <c r="M745" s="232">
        <f>K745-L745</f>
        <v/>
      </c>
      <c r="P745" s="19">
        <f>(K745/L745)-1</f>
        <v/>
      </c>
    </row>
    <row r="746">
      <c r="A746" t="n">
        <v>23</v>
      </c>
      <c r="B746" s="3" t="inlineStr">
        <is>
          <t>SPE7M1-19-V-1865</t>
        </is>
      </c>
      <c r="E746" t="n">
        <v>3</v>
      </c>
      <c r="F746" t="inlineStr">
        <is>
          <t>INDECO</t>
        </is>
      </c>
      <c r="G746" s="4" t="n">
        <v>43425</v>
      </c>
      <c r="H746" t="n">
        <v>120</v>
      </c>
      <c r="I746" t="inlineStr">
        <is>
          <t>WS-NV23</t>
        </is>
      </c>
      <c r="K746" s="232" t="n">
        <v>2170.17</v>
      </c>
      <c r="L746" s="230" t="n">
        <v>2121</v>
      </c>
      <c r="M746" s="232">
        <f>K746-L746</f>
        <v/>
      </c>
      <c r="P746" s="19">
        <f>(K746/L746)-1</f>
        <v/>
      </c>
    </row>
    <row r="747">
      <c r="A747" t="n">
        <v>24</v>
      </c>
      <c r="B747" t="inlineStr">
        <is>
          <t>SPE7L3-19-P-1501</t>
        </is>
      </c>
      <c r="E747" t="n">
        <v>145</v>
      </c>
      <c r="F747" t="inlineStr">
        <is>
          <t>MAFO</t>
        </is>
      </c>
      <c r="G747" s="4" t="n">
        <v>43430</v>
      </c>
      <c r="H747" t="n">
        <v>150</v>
      </c>
      <c r="I747" t="inlineStr">
        <is>
          <t>WS-NV24</t>
        </is>
      </c>
      <c r="K747" s="232" t="n">
        <v>21584.7</v>
      </c>
      <c r="L747" s="230" t="n">
        <v>20215</v>
      </c>
      <c r="M747" s="232">
        <f>K747-L747</f>
        <v/>
      </c>
      <c r="P747" s="19">
        <f>(K747/L747)-1</f>
        <v/>
      </c>
    </row>
    <row r="748">
      <c r="A748" t="n">
        <v>25</v>
      </c>
      <c r="B748" s="3" t="inlineStr">
        <is>
          <t>SPE7M8-19-P-0629</t>
        </is>
      </c>
      <c r="E748" t="n">
        <v>20</v>
      </c>
      <c r="F748" t="inlineStr">
        <is>
          <t>GEMS</t>
        </is>
      </c>
      <c r="G748" s="4" t="n">
        <v>43430</v>
      </c>
      <c r="H748" t="n">
        <v>140</v>
      </c>
      <c r="I748" t="inlineStr">
        <is>
          <t>WS-NV25</t>
        </is>
      </c>
      <c r="K748" s="232" t="n">
        <v>18532.4</v>
      </c>
      <c r="L748" s="230">
        <f>18100+37.06</f>
        <v/>
      </c>
      <c r="M748" s="232">
        <f>K748-L748</f>
        <v/>
      </c>
      <c r="P748" s="19">
        <f>(K748/L748)-1</f>
        <v/>
      </c>
    </row>
    <row r="749">
      <c r="A749" t="n">
        <v>26</v>
      </c>
      <c r="B749" t="inlineStr">
        <is>
          <t>SPE7M0-19-V-2203</t>
        </is>
      </c>
      <c r="E749" t="n">
        <v>1</v>
      </c>
      <c r="F749" t="inlineStr">
        <is>
          <t>Glenair</t>
        </is>
      </c>
      <c r="G749" s="4" t="n">
        <v>43432</v>
      </c>
      <c r="H749" t="n">
        <v>140</v>
      </c>
      <c r="I749" t="inlineStr">
        <is>
          <t>WS-OC38</t>
        </is>
      </c>
      <c r="K749" s="232" t="n">
        <v>483.77</v>
      </c>
      <c r="L749" s="230" t="n">
        <v>365.88</v>
      </c>
      <c r="M749" s="232">
        <f>K749-L749</f>
        <v/>
      </c>
      <c r="P749" s="19">
        <f>(K749/L749)-1</f>
        <v/>
      </c>
    </row>
    <row r="750">
      <c r="A750" t="n">
        <v>27</v>
      </c>
      <c r="B750" s="3" t="inlineStr">
        <is>
          <t>SPE7M8-19-P-0574</t>
        </is>
      </c>
      <c r="E750" t="n">
        <v>2</v>
      </c>
      <c r="F750" t="inlineStr">
        <is>
          <t>GEMS</t>
        </is>
      </c>
      <c r="G750" s="4" t="n">
        <v>43432</v>
      </c>
      <c r="H750" t="n">
        <v>147</v>
      </c>
      <c r="I750" t="inlineStr">
        <is>
          <t>WS-NV27</t>
        </is>
      </c>
      <c r="K750" s="232" t="n">
        <v>15274.84</v>
      </c>
      <c r="L750" s="230" t="n">
        <v>14918</v>
      </c>
      <c r="M750" s="232">
        <f>K750-L750</f>
        <v/>
      </c>
      <c r="P750" s="19">
        <f>(K750/L750)-1</f>
        <v/>
      </c>
    </row>
    <row r="751">
      <c r="A751" t="n">
        <v>28</v>
      </c>
      <c r="B751" s="3" t="inlineStr">
        <is>
          <t>SPE7L7-19-P-1141</t>
        </is>
      </c>
      <c r="E751" t="n">
        <v>56</v>
      </c>
      <c r="F751" t="inlineStr">
        <is>
          <t>XENOTRONIX</t>
        </is>
      </c>
      <c r="G751" s="4" t="n">
        <v>43432</v>
      </c>
      <c r="H751" t="n">
        <v>140</v>
      </c>
      <c r="I751" t="inlineStr">
        <is>
          <t>WS-NV28</t>
        </is>
      </c>
      <c r="K751" s="232" t="n">
        <v>15723.68</v>
      </c>
      <c r="L751" s="230" t="n">
        <v>15168.16</v>
      </c>
      <c r="M751" s="232">
        <f>K751-L751</f>
        <v/>
      </c>
      <c r="P751" s="19">
        <f>(K751/L751)-1</f>
        <v/>
      </c>
    </row>
    <row r="752">
      <c r="A752" t="n">
        <v>29</v>
      </c>
      <c r="B752" t="inlineStr">
        <is>
          <t>SPE8E8-19-V-0534</t>
        </is>
      </c>
      <c r="E752" t="n">
        <v>8</v>
      </c>
      <c r="F752" t="inlineStr">
        <is>
          <t>Indeeco</t>
        </is>
      </c>
      <c r="G752" s="4" t="n">
        <v>43433</v>
      </c>
      <c r="H752" t="n">
        <v>120</v>
      </c>
      <c r="I752" t="inlineStr">
        <is>
          <t>WS-NV29</t>
        </is>
      </c>
      <c r="K752" s="232" t="n">
        <v>2971.36</v>
      </c>
      <c r="L752" s="230" t="n">
        <v>2880</v>
      </c>
      <c r="M752" s="232">
        <f>K752-L752</f>
        <v/>
      </c>
      <c r="P752" s="19">
        <f>(K752/L752)-1</f>
        <v/>
      </c>
    </row>
    <row r="753">
      <c r="A753" t="n">
        <v>30</v>
      </c>
      <c r="B753" t="inlineStr">
        <is>
          <t>SPE7M5-19-V-2578</t>
        </is>
      </c>
      <c r="E753" t="n">
        <v>189</v>
      </c>
      <c r="F753" t="inlineStr">
        <is>
          <t>Molded</t>
        </is>
      </c>
      <c r="G753" s="4" t="n">
        <v>43433</v>
      </c>
      <c r="H753" t="n">
        <v>130</v>
      </c>
      <c r="I753" t="inlineStr">
        <is>
          <t>WS-NV30</t>
        </is>
      </c>
      <c r="K753" s="232" t="n">
        <v>1513.89</v>
      </c>
      <c r="L753" s="230" t="n">
        <v>1455</v>
      </c>
      <c r="M753" s="232">
        <f>K753-L753</f>
        <v/>
      </c>
      <c r="P753" s="19">
        <f>(K753/L753)-1</f>
        <v/>
      </c>
    </row>
    <row r="754">
      <c r="A754" t="n">
        <v>31</v>
      </c>
      <c r="B754" s="3" t="inlineStr">
        <is>
          <t>SPE7M3-19-P-1185</t>
        </is>
      </c>
      <c r="E754" t="n">
        <v>1</v>
      </c>
      <c r="F754" t="inlineStr">
        <is>
          <t>TIMKEN</t>
        </is>
      </c>
      <c r="G754" s="4" t="n">
        <v>43434</v>
      </c>
      <c r="H754" t="n">
        <v>300</v>
      </c>
      <c r="I754" t="inlineStr">
        <is>
          <t>WS-NV31</t>
        </is>
      </c>
      <c r="K754" s="232" t="n">
        <v>6794.6</v>
      </c>
      <c r="L754" s="230" t="n">
        <v>6618</v>
      </c>
      <c r="M754" s="232">
        <f>K754-L754</f>
        <v/>
      </c>
      <c r="P754" s="19">
        <f>(K754/L754)-1</f>
        <v/>
      </c>
    </row>
    <row r="755">
      <c r="A755" t="n">
        <v>32</v>
      </c>
      <c r="B755" t="inlineStr">
        <is>
          <t>SPE5E7-19-V-1260</t>
        </is>
      </c>
      <c r="E755" t="n">
        <v>1</v>
      </c>
      <c r="F755" t="inlineStr">
        <is>
          <t>HIAB</t>
        </is>
      </c>
      <c r="G755" s="4" t="n">
        <v>43434</v>
      </c>
      <c r="H755" t="n">
        <v>120</v>
      </c>
      <c r="I755" t="inlineStr">
        <is>
          <t>WS-NV32</t>
        </is>
      </c>
      <c r="K755" s="232" t="n">
        <v>441.39</v>
      </c>
      <c r="L755" s="230" t="n">
        <v>429.17</v>
      </c>
      <c r="M755" s="232">
        <f>K755-L755</f>
        <v/>
      </c>
      <c r="P755" s="19">
        <f>(K755/L755)-1</f>
        <v/>
      </c>
    </row>
    <row r="756">
      <c r="K756" s="243">
        <f>SUM(K724:K755)</f>
        <v/>
      </c>
      <c r="L756" s="231">
        <f>SUM(L724:L755)</f>
        <v/>
      </c>
      <c r="M756" s="243">
        <f>K756-L756</f>
        <v/>
      </c>
      <c r="P756" s="92">
        <f>(K756/L756)-1</f>
        <v/>
      </c>
    </row>
    <row r="757">
      <c r="N757" s="232" t="n"/>
    </row>
    <row r="758">
      <c r="A758" t="n">
        <v>1</v>
      </c>
      <c r="B758" t="inlineStr">
        <is>
          <t>SPE8E8-19-P-0195</t>
        </is>
      </c>
      <c r="E758" t="n">
        <v>12</v>
      </c>
      <c r="F758" t="inlineStr">
        <is>
          <t>Indeco</t>
        </is>
      </c>
      <c r="G758" s="4" t="n">
        <v>43437</v>
      </c>
      <c r="H758" t="n">
        <v>110</v>
      </c>
      <c r="I758" t="inlineStr">
        <is>
          <t>WS-DE01</t>
        </is>
      </c>
      <c r="K758" s="232" t="n">
        <v>9333.48</v>
      </c>
      <c r="L758" s="230" t="n">
        <v>9108</v>
      </c>
      <c r="M758" s="232">
        <f>K758-L758</f>
        <v/>
      </c>
      <c r="N758">
        <f>51.78+51.78</f>
        <v/>
      </c>
      <c r="O758" s="232">
        <f>M758-N758</f>
        <v/>
      </c>
      <c r="P758" s="19">
        <f>(K758/L758)-1</f>
        <v/>
      </c>
    </row>
    <row r="759">
      <c r="A759" t="n">
        <v>2</v>
      </c>
      <c r="B759" t="inlineStr">
        <is>
          <t>SPE7M8-19-P-0704</t>
        </is>
      </c>
      <c r="E759" t="n">
        <v>6</v>
      </c>
      <c r="F759" t="inlineStr">
        <is>
          <t>GEMS</t>
        </is>
      </c>
      <c r="G759" s="4" t="n">
        <v>43437</v>
      </c>
      <c r="H759" t="n">
        <v>140</v>
      </c>
      <c r="I759" t="inlineStr">
        <is>
          <t>WS-DE02</t>
        </is>
      </c>
      <c r="K759" s="232" t="n">
        <v>5519.82</v>
      </c>
      <c r="L759" s="230" t="n">
        <v>5370</v>
      </c>
      <c r="M759" s="232">
        <f>K759-L759</f>
        <v/>
      </c>
      <c r="P759" s="19">
        <f>(K759/L759)-1</f>
        <v/>
      </c>
    </row>
    <row r="760">
      <c r="A760" t="n">
        <v>3</v>
      </c>
      <c r="B760" s="3" t="inlineStr">
        <is>
          <t>SPE7M0-19-V-2444</t>
        </is>
      </c>
      <c r="E760" t="n">
        <v>2</v>
      </c>
      <c r="F760" s="64" t="inlineStr">
        <is>
          <t>R. Kern</t>
        </is>
      </c>
      <c r="G760" s="4" t="n">
        <v>43437</v>
      </c>
      <c r="H760" t="n">
        <v>130</v>
      </c>
      <c r="I760" t="inlineStr">
        <is>
          <t>WS-DE03</t>
        </is>
      </c>
      <c r="K760" s="232" t="n">
        <v>469.38</v>
      </c>
      <c r="L760" s="230" t="n">
        <v>464.45</v>
      </c>
      <c r="M760" s="232">
        <f>K760-L760</f>
        <v/>
      </c>
      <c r="P760" s="19">
        <f>(K760/L760)-1</f>
        <v/>
      </c>
    </row>
    <row r="761">
      <c r="A761" t="n">
        <v>4</v>
      </c>
      <c r="B761" s="3" t="inlineStr">
        <is>
          <t>SPE7MC-19-V-2348</t>
        </is>
      </c>
      <c r="E761" t="n">
        <v>1</v>
      </c>
      <c r="F761" s="51" t="inlineStr">
        <is>
          <t>PBM PAR</t>
        </is>
      </c>
      <c r="G761" s="4" t="n">
        <v>43437</v>
      </c>
      <c r="H761" t="n">
        <v>130</v>
      </c>
      <c r="K761" s="232" t="n">
        <v>0</v>
      </c>
      <c r="L761" s="230" t="n">
        <v>0</v>
      </c>
      <c r="M761" s="232">
        <f>K761-L761</f>
        <v/>
      </c>
      <c r="P761" s="19">
        <f>(K761/L761)-1</f>
        <v/>
      </c>
    </row>
    <row r="762">
      <c r="A762" t="n">
        <v>5</v>
      </c>
      <c r="B762" t="inlineStr">
        <is>
          <t>SPE7M8-19-V-0763</t>
        </is>
      </c>
      <c r="E762" t="n">
        <v>38</v>
      </c>
      <c r="F762" s="64" t="inlineStr">
        <is>
          <t>Glenair Orderd 50</t>
        </is>
      </c>
      <c r="G762" s="4" t="n">
        <v>43437</v>
      </c>
      <c r="H762" t="n">
        <v>140</v>
      </c>
      <c r="I762" t="inlineStr">
        <is>
          <t>WS-DE05</t>
        </is>
      </c>
      <c r="K762" s="232" t="n">
        <v>11162.12</v>
      </c>
      <c r="L762" s="255">
        <f>240.72*50</f>
        <v/>
      </c>
      <c r="M762" s="232">
        <f>K762-L762</f>
        <v/>
      </c>
      <c r="P762" s="19">
        <f>(K762/L762)-1</f>
        <v/>
      </c>
    </row>
    <row r="763">
      <c r="A763" t="n">
        <v>6</v>
      </c>
      <c r="B763" t="inlineStr">
        <is>
          <t>SPE5EK-19-V-1416</t>
        </is>
      </c>
      <c r="E763" t="n">
        <v>13</v>
      </c>
      <c r="F763" t="inlineStr">
        <is>
          <t>C&amp;S</t>
        </is>
      </c>
      <c r="G763" s="4" t="n">
        <v>43438</v>
      </c>
      <c r="H763" t="n">
        <v>120</v>
      </c>
      <c r="I763" t="inlineStr">
        <is>
          <t>WS-DE06</t>
        </is>
      </c>
      <c r="K763" s="232" t="n">
        <v>1904.11</v>
      </c>
      <c r="L763" s="230" t="n">
        <v>1857.31</v>
      </c>
      <c r="M763" s="232">
        <f>K763-L763</f>
        <v/>
      </c>
      <c r="P763" s="19">
        <f>(K763/L763)-1</f>
        <v/>
      </c>
    </row>
    <row r="764">
      <c r="A764" t="n">
        <v>7</v>
      </c>
      <c r="B764" t="inlineStr">
        <is>
          <t>SPE5E2-19-V-2092</t>
        </is>
      </c>
      <c r="E764" t="n">
        <v>83</v>
      </c>
      <c r="F764" t="inlineStr">
        <is>
          <t>LeeSpring</t>
        </is>
      </c>
      <c r="G764" s="4" t="n">
        <v>43438</v>
      </c>
      <c r="I764" t="inlineStr">
        <is>
          <t>WS-DE07</t>
        </is>
      </c>
      <c r="K764" s="232" t="n">
        <v>167.66</v>
      </c>
      <c r="L764" s="230" t="n">
        <v>113</v>
      </c>
      <c r="M764" s="232">
        <f>K764-L764</f>
        <v/>
      </c>
      <c r="P764" s="19">
        <f>(K764/L764)-1</f>
        <v/>
      </c>
    </row>
    <row r="765">
      <c r="A765" t="n">
        <v>8</v>
      </c>
      <c r="B765" t="inlineStr">
        <is>
          <t>SPE5EK-19-V-1400</t>
        </is>
      </c>
      <c r="E765" t="n">
        <v>173</v>
      </c>
      <c r="F765" t="inlineStr">
        <is>
          <t>LEE SPRING</t>
        </is>
      </c>
      <c r="G765" s="4" t="n">
        <v>43438</v>
      </c>
      <c r="I765" t="inlineStr">
        <is>
          <t>WS-DE08</t>
        </is>
      </c>
      <c r="K765" s="232" t="n">
        <v>212.79</v>
      </c>
      <c r="L765" s="230" t="n">
        <v>184.2</v>
      </c>
      <c r="M765" s="232">
        <f>K765-L765</f>
        <v/>
      </c>
      <c r="P765" s="19">
        <f>(K765/L765)-1</f>
        <v/>
      </c>
    </row>
    <row r="766">
      <c r="A766" t="n">
        <v>9</v>
      </c>
      <c r="B766" t="inlineStr">
        <is>
          <t>SPE7M0-19-P-0818</t>
        </is>
      </c>
      <c r="E766" t="n">
        <v>1</v>
      </c>
      <c r="F766" s="51" t="inlineStr">
        <is>
          <t>GEMS PAR</t>
        </is>
      </c>
      <c r="G766" s="4" t="n">
        <v>43440</v>
      </c>
      <c r="H766" t="n">
        <v>140</v>
      </c>
      <c r="K766" s="232" t="n">
        <v>811.4299999999999</v>
      </c>
      <c r="L766" s="230" t="n">
        <v>811.4299999999999</v>
      </c>
      <c r="M766" s="232">
        <f>K766-L766</f>
        <v/>
      </c>
      <c r="P766" s="19">
        <f>(K766/L766)-1</f>
        <v/>
      </c>
    </row>
    <row r="767">
      <c r="A767" t="n">
        <v>10</v>
      </c>
      <c r="B767" s="3" t="inlineStr">
        <is>
          <t>SPE7M5-19-P-2533</t>
        </is>
      </c>
      <c r="E767" t="n">
        <v>23</v>
      </c>
      <c r="F767" t="inlineStr">
        <is>
          <t>TIM PRICE</t>
        </is>
      </c>
      <c r="G767" s="4" t="n">
        <v>43441</v>
      </c>
      <c r="H767" t="n">
        <v>140</v>
      </c>
      <c r="I767" t="inlineStr">
        <is>
          <t>WS-DE10</t>
        </is>
      </c>
      <c r="K767" s="232" t="n">
        <v>13558.27</v>
      </c>
      <c r="L767" s="230" t="n">
        <v>13179</v>
      </c>
      <c r="M767" s="232">
        <f>K767-L767</f>
        <v/>
      </c>
      <c r="P767" s="19">
        <f>(K767/L767)-1</f>
        <v/>
      </c>
    </row>
    <row r="768">
      <c r="A768" t="n">
        <v>11</v>
      </c>
      <c r="B768" s="3" t="inlineStr">
        <is>
          <t>SPE7M5-19-V-3120</t>
        </is>
      </c>
      <c r="E768" t="n">
        <v>40</v>
      </c>
      <c r="F768" t="inlineStr">
        <is>
          <t>Phoenix Logistics</t>
        </is>
      </c>
      <c r="G768" s="4" t="n">
        <v>43444</v>
      </c>
      <c r="H768" t="n">
        <v>165</v>
      </c>
      <c r="I768" t="inlineStr">
        <is>
          <t>WS-DE11</t>
        </is>
      </c>
      <c r="K768" s="232" t="n">
        <v>5724.4</v>
      </c>
      <c r="L768" s="230" t="n">
        <v>5557.2</v>
      </c>
      <c r="M768" s="232">
        <f>K768-L768</f>
        <v/>
      </c>
      <c r="P768" s="19">
        <f>(K768/L768)-1</f>
        <v/>
      </c>
    </row>
    <row r="769">
      <c r="A769" t="n">
        <v>12</v>
      </c>
      <c r="B769" t="inlineStr">
        <is>
          <t>SPE4A6-19-V-4814</t>
        </is>
      </c>
      <c r="E769" t="n">
        <v>30</v>
      </c>
      <c r="F769" t="inlineStr">
        <is>
          <t>National Ins</t>
        </is>
      </c>
      <c r="G769" s="4" t="n">
        <v>43444</v>
      </c>
      <c r="I769" t="inlineStr">
        <is>
          <t>WS-DE12</t>
        </is>
      </c>
      <c r="K769" s="232" t="n">
        <v>3062.7</v>
      </c>
      <c r="L769" s="230" t="n">
        <v>3030</v>
      </c>
      <c r="M769" s="232">
        <f>K769-L769</f>
        <v/>
      </c>
      <c r="P769" s="19">
        <f>(K769/L769)-1</f>
        <v/>
      </c>
    </row>
    <row r="770">
      <c r="A770" t="n">
        <v>13</v>
      </c>
      <c r="B770" s="3" t="inlineStr">
        <is>
          <t>SPE7M1-19-V-2266</t>
        </is>
      </c>
      <c r="E770" t="n">
        <v>5</v>
      </c>
      <c r="F770" t="inlineStr">
        <is>
          <t>Indeeco</t>
        </is>
      </c>
      <c r="G770" s="4" t="n">
        <v>43444</v>
      </c>
      <c r="H770" t="n">
        <v>150</v>
      </c>
      <c r="I770" t="inlineStr">
        <is>
          <t>WS-DE13</t>
        </is>
      </c>
      <c r="K770" s="232" t="n">
        <v>11545.65</v>
      </c>
      <c r="L770" s="230" t="n">
        <v>11340</v>
      </c>
      <c r="M770" s="232">
        <f>K770-L770</f>
        <v/>
      </c>
      <c r="N770" t="n">
        <v>43.93</v>
      </c>
      <c r="P770" s="19">
        <f>(K770/L770)-1</f>
        <v/>
      </c>
    </row>
    <row r="771">
      <c r="A771" t="n">
        <v>14</v>
      </c>
      <c r="B771" s="3" t="inlineStr">
        <is>
          <t>SPE7M3-19-V-1532</t>
        </is>
      </c>
      <c r="E771" t="n">
        <v>11</v>
      </c>
      <c r="F771" t="inlineStr">
        <is>
          <t>General Rubber</t>
        </is>
      </c>
      <c r="G771" s="4" t="n">
        <v>43445</v>
      </c>
      <c r="I771" t="inlineStr">
        <is>
          <t>WS-DE14</t>
        </is>
      </c>
      <c r="K771" s="232" t="n">
        <v>3127.96</v>
      </c>
      <c r="L771" s="230" t="n">
        <v>2981</v>
      </c>
      <c r="M771" s="232">
        <f>K771-L771</f>
        <v/>
      </c>
      <c r="N771" t="n">
        <v>100</v>
      </c>
      <c r="P771" s="19">
        <f>(K771/L771)-1</f>
        <v/>
      </c>
    </row>
    <row r="772">
      <c r="A772" t="n">
        <v>15</v>
      </c>
      <c r="B772" s="3" t="inlineStr">
        <is>
          <t>SPE7M0-19-V-2718</t>
        </is>
      </c>
      <c r="E772" t="n">
        <v>1</v>
      </c>
      <c r="F772" t="inlineStr">
        <is>
          <t>DRUCK</t>
        </is>
      </c>
      <c r="G772" s="4" t="n">
        <v>43445</v>
      </c>
      <c r="I772" t="inlineStr">
        <is>
          <t>WS-DE15</t>
        </is>
      </c>
      <c r="K772" s="232" t="n">
        <v>826</v>
      </c>
      <c r="L772" s="230" t="n">
        <v>798</v>
      </c>
      <c r="M772" s="232">
        <f>K772-L772</f>
        <v/>
      </c>
      <c r="P772" s="19">
        <f>(K772/L772)-1</f>
        <v/>
      </c>
    </row>
    <row r="773">
      <c r="A773" t="n">
        <v>16</v>
      </c>
      <c r="B773" t="inlineStr">
        <is>
          <t>SPE7MC-19-V-2823</t>
        </is>
      </c>
      <c r="E773" t="n">
        <v>6</v>
      </c>
      <c r="F773" t="inlineStr">
        <is>
          <t>GEMS</t>
        </is>
      </c>
      <c r="G773" s="4" t="n">
        <v>43446</v>
      </c>
      <c r="I773" t="inlineStr">
        <is>
          <t>WS-DE16</t>
        </is>
      </c>
      <c r="K773" s="232" t="n">
        <v>4598.88</v>
      </c>
      <c r="L773" s="230">
        <f>4470+11.89</f>
        <v/>
      </c>
      <c r="M773" s="232">
        <f>K773-L773</f>
        <v/>
      </c>
      <c r="P773" s="19">
        <f>(K773/L773)-1</f>
        <v/>
      </c>
    </row>
    <row r="774">
      <c r="A774" t="n">
        <v>17</v>
      </c>
      <c r="B774" s="3" t="inlineStr">
        <is>
          <t>SPE7L7-19-P-1309</t>
        </is>
      </c>
      <c r="E774" t="n">
        <v>1</v>
      </c>
      <c r="F774" t="inlineStr">
        <is>
          <t>GEMS</t>
        </is>
      </c>
      <c r="G774" s="4" t="n">
        <v>43447</v>
      </c>
      <c r="I774" t="inlineStr">
        <is>
          <t>WS-DE17</t>
        </is>
      </c>
      <c r="K774" s="232" t="n">
        <v>2546</v>
      </c>
      <c r="L774" s="230">
        <f>2453+11.54</f>
        <v/>
      </c>
      <c r="M774" s="232">
        <f>K774-L774</f>
        <v/>
      </c>
      <c r="P774" s="19">
        <f>(K774/L774)-1</f>
        <v/>
      </c>
    </row>
    <row r="775">
      <c r="A775" t="n">
        <v>18</v>
      </c>
      <c r="B775" s="3" t="inlineStr">
        <is>
          <t>SPE8E7-19-V-0440</t>
        </is>
      </c>
      <c r="D775" s="258" t="n"/>
      <c r="E775" t="n">
        <v>2</v>
      </c>
      <c r="F775" s="51" t="inlineStr">
        <is>
          <t>TIM PRICE Cancel</t>
        </is>
      </c>
      <c r="G775" s="4" t="n">
        <v>43448</v>
      </c>
      <c r="H775" t="n">
        <v>140</v>
      </c>
      <c r="I775" s="51" t="inlineStr">
        <is>
          <t>WS-DE18</t>
        </is>
      </c>
      <c r="K775" s="232" t="n">
        <v>4058</v>
      </c>
      <c r="L775" s="230" t="n">
        <v>3934</v>
      </c>
      <c r="M775" s="232">
        <f>K775-L775</f>
        <v/>
      </c>
      <c r="P775" s="19">
        <f>(K775/L775)-1</f>
        <v/>
      </c>
    </row>
    <row r="776">
      <c r="A776" t="n">
        <v>19</v>
      </c>
      <c r="B776" s="3" t="inlineStr">
        <is>
          <t>SPE4A4-19-V-2367</t>
        </is>
      </c>
      <c r="E776" t="n">
        <v>4</v>
      </c>
      <c r="F776" t="inlineStr">
        <is>
          <t>GEMS</t>
        </is>
      </c>
      <c r="G776" s="4" t="n">
        <v>43448</v>
      </c>
      <c r="I776" t="inlineStr">
        <is>
          <t>WS-DE19</t>
        </is>
      </c>
      <c r="K776" s="232" t="n">
        <v>2989.56</v>
      </c>
      <c r="L776" s="230">
        <f>2880+14.14</f>
        <v/>
      </c>
      <c r="M776" s="232">
        <f>K776-L776</f>
        <v/>
      </c>
      <c r="N776" t="n">
        <v>16.4</v>
      </c>
      <c r="P776" s="19">
        <f>(K776/L776)-1</f>
        <v/>
      </c>
    </row>
    <row r="777">
      <c r="A777" t="n">
        <v>20</v>
      </c>
      <c r="B777" s="3" t="inlineStr">
        <is>
          <t>SPE7M0-19-V-2807</t>
        </is>
      </c>
      <c r="E777" t="n">
        <v>1</v>
      </c>
      <c r="F777" t="inlineStr">
        <is>
          <t>TIMKEN</t>
        </is>
      </c>
      <c r="G777" s="4" t="n">
        <v>43448</v>
      </c>
      <c r="I777" t="inlineStr">
        <is>
          <t>WS-DE20</t>
        </is>
      </c>
      <c r="K777" s="232" t="n">
        <v>6794.44</v>
      </c>
      <c r="L777" s="230" t="n">
        <v>6618</v>
      </c>
      <c r="M777" s="232">
        <f>K777-L777</f>
        <v/>
      </c>
      <c r="P777" s="19">
        <f>(K777/L777)-1</f>
        <v/>
      </c>
    </row>
    <row r="778">
      <c r="A778" t="n">
        <v>21</v>
      </c>
      <c r="B778" s="3" t="inlineStr">
        <is>
          <t>SPE5EK-19-V-1672</t>
        </is>
      </c>
      <c r="E778" t="n">
        <v>4</v>
      </c>
      <c r="F778" t="inlineStr">
        <is>
          <t>TIM PRICE</t>
        </is>
      </c>
      <c r="G778" s="4" t="n">
        <v>43448</v>
      </c>
      <c r="H778" t="n">
        <v>140</v>
      </c>
      <c r="I778" t="inlineStr">
        <is>
          <t>WS-DE21</t>
        </is>
      </c>
      <c r="K778" s="232" t="n">
        <v>2826.92</v>
      </c>
      <c r="L778" s="230" t="n">
        <v>2756</v>
      </c>
      <c r="M778" s="232">
        <f>K778-L778</f>
        <v/>
      </c>
      <c r="P778" s="19">
        <f>(K778/L778)-1</f>
        <v/>
      </c>
    </row>
    <row r="779">
      <c r="A779" t="n">
        <v>22</v>
      </c>
      <c r="B779" s="3" t="inlineStr">
        <is>
          <t>SPE5EK-19-V-1689</t>
        </is>
      </c>
      <c r="E779" t="n">
        <v>52</v>
      </c>
      <c r="F779" t="inlineStr">
        <is>
          <t>DRUCK</t>
        </is>
      </c>
      <c r="G779" s="4" t="n">
        <v>43451</v>
      </c>
      <c r="H779" t="n">
        <v>200</v>
      </c>
      <c r="I779" t="inlineStr">
        <is>
          <t>WS-DE22</t>
        </is>
      </c>
      <c r="K779" s="232" t="n">
        <v>26057.72</v>
      </c>
      <c r="L779" s="230" t="n">
        <v>26000</v>
      </c>
      <c r="M779" s="232">
        <f>K779-L779</f>
        <v/>
      </c>
      <c r="P779" s="19">
        <f>(K779/L779)-1</f>
        <v/>
      </c>
    </row>
    <row r="780">
      <c r="A780" t="n">
        <v>23</v>
      </c>
      <c r="B780" t="inlineStr">
        <is>
          <t>SPE4A6-19-V-5478</t>
        </is>
      </c>
      <c r="E780" t="n">
        <v>60</v>
      </c>
      <c r="F780" s="51" t="inlineStr">
        <is>
          <t>L-Com, Cancellation PAR</t>
        </is>
      </c>
      <c r="G780" s="4" t="n">
        <v>43451</v>
      </c>
      <c r="H780" t="n">
        <v>90</v>
      </c>
      <c r="K780" s="232" t="n">
        <v>0</v>
      </c>
      <c r="L780" s="230" t="n">
        <v>0</v>
      </c>
      <c r="M780" s="232">
        <f>K780-L780</f>
        <v/>
      </c>
      <c r="P780" s="19">
        <f>(K780/L780)-1</f>
        <v/>
      </c>
    </row>
    <row r="781">
      <c r="A781" t="n">
        <v>24</v>
      </c>
      <c r="B781" t="inlineStr">
        <is>
          <t>SPE7M5-19-P-2894</t>
        </is>
      </c>
      <c r="E781" t="n">
        <v>1</v>
      </c>
      <c r="F781" t="inlineStr">
        <is>
          <t>Glenair</t>
        </is>
      </c>
      <c r="G781" s="4" t="n">
        <v>43453</v>
      </c>
      <c r="H781" t="n">
        <v>120</v>
      </c>
      <c r="I781" s="51" t="inlineStr">
        <is>
          <t>WS-OC15</t>
        </is>
      </c>
      <c r="K781" s="232" t="n">
        <v>376</v>
      </c>
      <c r="L781" s="230" t="n">
        <v>149.23</v>
      </c>
      <c r="M781" s="232">
        <f>K781-L781</f>
        <v/>
      </c>
      <c r="P781" s="19">
        <f>(K781/L781)-1</f>
        <v/>
      </c>
    </row>
    <row r="782">
      <c r="A782" t="n">
        <v>25</v>
      </c>
      <c r="B782" t="inlineStr">
        <is>
          <t>SPE7M5-19-V-3573</t>
        </is>
      </c>
      <c r="E782" t="n">
        <v>13</v>
      </c>
      <c r="F782" s="64" t="inlineStr">
        <is>
          <t>Glenair orderd 20</t>
        </is>
      </c>
      <c r="G782" s="4" t="n">
        <v>43453</v>
      </c>
      <c r="H782" t="n">
        <v>160</v>
      </c>
      <c r="I782" t="inlineStr">
        <is>
          <t>WS-DE25</t>
        </is>
      </c>
      <c r="K782" s="232" t="n">
        <v>2598.96</v>
      </c>
      <c r="L782" s="255" t="n">
        <v>2749.2</v>
      </c>
      <c r="M782" s="232">
        <f>K782-L782</f>
        <v/>
      </c>
      <c r="P782" s="19">
        <f>(K782/L782)-1</f>
        <v/>
      </c>
    </row>
    <row r="783">
      <c r="A783" t="n">
        <v>26</v>
      </c>
      <c r="B783" s="3" t="inlineStr">
        <is>
          <t>SPE4A6-19-V-5558</t>
        </is>
      </c>
      <c r="E783" t="n">
        <v>6</v>
      </c>
      <c r="F783" t="inlineStr">
        <is>
          <t>GEMS</t>
        </is>
      </c>
      <c r="G783" s="4" t="n">
        <v>43453</v>
      </c>
      <c r="H783" t="n">
        <v>160</v>
      </c>
      <c r="I783" t="inlineStr">
        <is>
          <t>WS-DE26</t>
        </is>
      </c>
      <c r="K783" s="232" t="n">
        <v>17991.72</v>
      </c>
      <c r="L783" s="230" t="n">
        <v>17424</v>
      </c>
      <c r="M783" s="232">
        <f>K783-L783</f>
        <v/>
      </c>
      <c r="P783" s="19">
        <f>(K783/L783)-1</f>
        <v/>
      </c>
    </row>
    <row r="784">
      <c r="A784" t="n">
        <v>27</v>
      </c>
      <c r="B784" s="3" t="inlineStr">
        <is>
          <t>SPE7M5-19-V-3594</t>
        </is>
      </c>
      <c r="E784" t="n">
        <v>6</v>
      </c>
      <c r="F784" t="inlineStr">
        <is>
          <t>Atrenne</t>
        </is>
      </c>
      <c r="G784" s="4" t="n">
        <v>43453</v>
      </c>
      <c r="H784" t="n">
        <v>160</v>
      </c>
      <c r="I784" t="inlineStr">
        <is>
          <t>WS-DE27</t>
        </is>
      </c>
      <c r="K784" s="232" t="n">
        <v>8629.559999999999</v>
      </c>
      <c r="L784" s="230" t="n">
        <v>8496</v>
      </c>
      <c r="M784" s="232">
        <f>K784-L784</f>
        <v/>
      </c>
      <c r="P784" s="19">
        <f>(K784/L784)-1</f>
        <v/>
      </c>
    </row>
    <row r="785">
      <c r="A785" t="n">
        <v>28</v>
      </c>
      <c r="B785" s="260" t="inlineStr">
        <is>
          <t>SPE7M5-19-V-3616</t>
        </is>
      </c>
      <c r="D785" s="234" t="n">
        <v>5935016157811</v>
      </c>
      <c r="E785" t="n">
        <v>110</v>
      </c>
      <c r="F785" s="64" t="inlineStr">
        <is>
          <t>GlenairQTY 250</t>
        </is>
      </c>
      <c r="G785" s="4" t="n">
        <v>43453</v>
      </c>
      <c r="H785" t="n">
        <v>160</v>
      </c>
      <c r="I785" t="inlineStr">
        <is>
          <t>FE1917</t>
        </is>
      </c>
      <c r="K785" s="232" t="n">
        <v>5464.8</v>
      </c>
      <c r="L785" s="255" t="n">
        <v>5400</v>
      </c>
      <c r="M785" s="232">
        <f>K785-L785</f>
        <v/>
      </c>
      <c r="P785" s="19">
        <f>(K785/L785)-1</f>
        <v/>
      </c>
    </row>
    <row r="786">
      <c r="A786" t="n">
        <v>29</v>
      </c>
      <c r="B786" s="3" t="inlineStr">
        <is>
          <t>SPE7M5-19-V-3617</t>
        </is>
      </c>
      <c r="E786" t="n">
        <v>28</v>
      </c>
      <c r="F786" t="inlineStr">
        <is>
          <t>Glenair</t>
        </is>
      </c>
      <c r="G786" s="4" t="n">
        <v>43453</v>
      </c>
      <c r="H786" t="n">
        <v>160</v>
      </c>
      <c r="I786" t="inlineStr">
        <is>
          <t>WS-DE29</t>
        </is>
      </c>
      <c r="K786" s="232" t="n">
        <v>1449.56</v>
      </c>
      <c r="L786" s="255" t="n">
        <v>1455.3</v>
      </c>
      <c r="M786" s="232">
        <f>K786-L786</f>
        <v/>
      </c>
      <c r="P786" s="19">
        <f>(K786/L786)-1</f>
        <v/>
      </c>
    </row>
    <row r="787">
      <c r="A787" t="n">
        <v>30</v>
      </c>
      <c r="B787" s="3" t="inlineStr">
        <is>
          <t>SPE7M5-19-P-2893</t>
        </is>
      </c>
      <c r="E787" t="n">
        <v>11</v>
      </c>
      <c r="F787" s="51" t="inlineStr">
        <is>
          <t>ITT PAR</t>
        </is>
      </c>
      <c r="G787" s="4" t="n">
        <v>43453</v>
      </c>
      <c r="H787" t="n">
        <v>160</v>
      </c>
      <c r="I787" t="inlineStr">
        <is>
          <t>WS-DE30</t>
        </is>
      </c>
      <c r="K787" s="232" t="n">
        <v>0</v>
      </c>
      <c r="L787" s="255" t="n">
        <v>0</v>
      </c>
      <c r="M787" s="232">
        <f>K787-L787</f>
        <v/>
      </c>
      <c r="P787" s="19">
        <f>(K787/L787)-1</f>
        <v/>
      </c>
    </row>
    <row r="788">
      <c r="A788" t="n">
        <v>31</v>
      </c>
      <c r="B788" t="inlineStr">
        <is>
          <t>SPE7M1-19-V-2669</t>
        </is>
      </c>
      <c r="E788" t="n">
        <v>11</v>
      </c>
      <c r="F788" t="inlineStr">
        <is>
          <t>The Lee</t>
        </is>
      </c>
      <c r="G788" s="4" t="n">
        <v>43454</v>
      </c>
      <c r="H788" t="n">
        <v>160</v>
      </c>
      <c r="I788" t="inlineStr">
        <is>
          <t>WS-DE31</t>
        </is>
      </c>
      <c r="K788" s="232" t="n">
        <v>6853</v>
      </c>
      <c r="L788" s="230" t="n">
        <v>6804.51</v>
      </c>
      <c r="M788" s="232">
        <f>K788-L788</f>
        <v/>
      </c>
      <c r="P788" s="19">
        <f>(K788/L788)-1</f>
        <v/>
      </c>
    </row>
    <row r="789">
      <c r="A789" t="n">
        <v>32</v>
      </c>
      <c r="B789" t="inlineStr">
        <is>
          <t>SPE7M1-19-V-2665</t>
        </is>
      </c>
      <c r="E789" t="n">
        <v>10</v>
      </c>
      <c r="F789" s="51" t="inlineStr">
        <is>
          <t>CPI PAR</t>
        </is>
      </c>
      <c r="G789" s="4" t="n">
        <v>43454</v>
      </c>
      <c r="H789" t="n">
        <v>160</v>
      </c>
      <c r="K789" s="232" t="n">
        <v>0</v>
      </c>
      <c r="L789" s="230" t="n">
        <v>0</v>
      </c>
      <c r="M789" s="232">
        <f>K789-L789</f>
        <v/>
      </c>
      <c r="P789" s="19">
        <f>(K789/L789)-1</f>
        <v/>
      </c>
    </row>
    <row r="790">
      <c r="A790" t="n">
        <v>33</v>
      </c>
      <c r="B790" t="inlineStr">
        <is>
          <t>SPE4A4-19-V-2749</t>
        </is>
      </c>
      <c r="E790" t="n">
        <v>1</v>
      </c>
      <c r="F790" s="51" t="inlineStr">
        <is>
          <t>GEMS PAR</t>
        </is>
      </c>
      <c r="G790" s="4" t="n">
        <v>43455</v>
      </c>
      <c r="K790" s="232" t="n">
        <v>0</v>
      </c>
      <c r="L790" s="230" t="n">
        <v>0</v>
      </c>
      <c r="M790" s="232">
        <f>K790-L790</f>
        <v/>
      </c>
      <c r="P790" s="19">
        <f>(K790/L790)-1</f>
        <v/>
      </c>
    </row>
    <row r="791">
      <c r="A791" t="n">
        <v>34</v>
      </c>
      <c r="B791" s="3" t="inlineStr">
        <is>
          <t>SPE7M5-19-P-3027</t>
        </is>
      </c>
      <c r="E791" t="n">
        <v>66</v>
      </c>
      <c r="F791" t="inlineStr">
        <is>
          <t>Gleair</t>
        </is>
      </c>
      <c r="G791" s="4" t="n">
        <v>43455</v>
      </c>
      <c r="H791" t="n">
        <v>160</v>
      </c>
      <c r="I791" t="inlineStr">
        <is>
          <t>WS-NV02</t>
        </is>
      </c>
      <c r="K791" s="232" t="n">
        <v>36675.54</v>
      </c>
      <c r="L791" s="230">
        <f>528.28*66</f>
        <v/>
      </c>
      <c r="M791" s="232">
        <f>K791-L791</f>
        <v/>
      </c>
      <c r="P791" s="19">
        <f>(K791/L791)-1</f>
        <v/>
      </c>
    </row>
    <row r="792">
      <c r="A792" t="n">
        <v>35</v>
      </c>
      <c r="B792" t="inlineStr">
        <is>
          <t>SPE7M0-19-V-3085</t>
        </is>
      </c>
      <c r="E792" t="n">
        <v>1</v>
      </c>
      <c r="F792" t="inlineStr">
        <is>
          <t>HIAB</t>
        </is>
      </c>
      <c r="G792" s="4" t="n">
        <v>43460</v>
      </c>
      <c r="H792" t="n">
        <v>140</v>
      </c>
      <c r="I792" t="inlineStr">
        <is>
          <t>WS-DE35</t>
        </is>
      </c>
      <c r="K792" s="232" t="n">
        <v>2457</v>
      </c>
      <c r="L792" s="230" t="n">
        <v>2412.47</v>
      </c>
      <c r="M792" s="232">
        <f>K792-L792</f>
        <v/>
      </c>
      <c r="P792" s="19">
        <f>(K792/L792)-1</f>
        <v/>
      </c>
    </row>
    <row r="793">
      <c r="A793" t="n">
        <v>36</v>
      </c>
      <c r="B793" s="3" t="inlineStr">
        <is>
          <t>SPE7M1-19-V-2748</t>
        </is>
      </c>
      <c r="E793" t="n">
        <v>1</v>
      </c>
      <c r="F793" s="51" t="inlineStr">
        <is>
          <t>HIAB  Cancellation</t>
        </is>
      </c>
      <c r="G793" s="4" t="n">
        <v>43461</v>
      </c>
      <c r="H793" t="n">
        <v>160</v>
      </c>
      <c r="I793" t="inlineStr">
        <is>
          <t>WS-DE36</t>
        </is>
      </c>
      <c r="K793" s="232" t="n">
        <v>0</v>
      </c>
      <c r="L793" s="230" t="n">
        <v>0</v>
      </c>
      <c r="M793" s="232">
        <f>K793-L793</f>
        <v/>
      </c>
      <c r="P793" s="19">
        <f>(K793/L793)-1</f>
        <v/>
      </c>
    </row>
    <row r="794">
      <c r="A794" t="n">
        <v>37</v>
      </c>
      <c r="B794" s="3" t="inlineStr">
        <is>
          <t>SPE4A6-19-P-5567</t>
        </is>
      </c>
      <c r="E794" t="n">
        <v>9</v>
      </c>
      <c r="F794" t="inlineStr">
        <is>
          <t>GEMS</t>
        </is>
      </c>
      <c r="G794" s="4" t="n">
        <v>43462</v>
      </c>
      <c r="H794" t="n">
        <v>200</v>
      </c>
      <c r="I794" t="inlineStr">
        <is>
          <t>WS-DE37</t>
        </is>
      </c>
      <c r="K794" s="232" t="n">
        <v>23620.68</v>
      </c>
      <c r="L794" s="230" t="n">
        <v>22896</v>
      </c>
      <c r="M794" s="232">
        <f>K794-L794</f>
        <v/>
      </c>
      <c r="P794" s="19">
        <f>(K794/L794)-1</f>
        <v/>
      </c>
    </row>
    <row r="795">
      <c r="A795" t="n">
        <v>38</v>
      </c>
      <c r="B795" t="inlineStr">
        <is>
          <t>SPE5E8-19-V-2573</t>
        </is>
      </c>
      <c r="E795" t="n">
        <v>3</v>
      </c>
      <c r="F795" t="inlineStr">
        <is>
          <t>KTSDI</t>
        </is>
      </c>
      <c r="G795" s="4" t="n">
        <v>43465</v>
      </c>
      <c r="H795" t="n">
        <v>140</v>
      </c>
      <c r="I795" s="49" t="inlineStr">
        <is>
          <t>WS-DE38</t>
        </is>
      </c>
      <c r="K795" s="232" t="n">
        <v>294</v>
      </c>
      <c r="L795" s="233" t="n">
        <v>156</v>
      </c>
      <c r="M795" s="232">
        <f>K795-L795</f>
        <v/>
      </c>
      <c r="P795" s="19">
        <f>(K795/L795)-1</f>
        <v/>
      </c>
    </row>
    <row r="796">
      <c r="A796" t="n">
        <v>39</v>
      </c>
      <c r="B796" s="3" t="inlineStr">
        <is>
          <t>SPE4A6-19-P-5262</t>
        </is>
      </c>
      <c r="E796" t="n">
        <v>20</v>
      </c>
      <c r="F796" t="inlineStr">
        <is>
          <t>Glenair</t>
        </is>
      </c>
      <c r="G796" s="4" t="n">
        <v>43465</v>
      </c>
      <c r="H796" t="n">
        <v>140</v>
      </c>
      <c r="I796" t="inlineStr">
        <is>
          <t>WS-NV10</t>
        </is>
      </c>
      <c r="K796" s="232" t="n">
        <v>10760</v>
      </c>
      <c r="L796" s="230" t="n">
        <v>9863</v>
      </c>
      <c r="M796" s="232">
        <f>K796-L796</f>
        <v/>
      </c>
      <c r="P796" s="19">
        <f>(K796/L796)-1</f>
        <v/>
      </c>
    </row>
    <row r="797">
      <c r="A797" t="n">
        <v>40</v>
      </c>
      <c r="B797" t="inlineStr">
        <is>
          <t>SPE7M0-19-V-3206</t>
        </is>
      </c>
      <c r="E797" t="n">
        <v>14</v>
      </c>
      <c r="F797" t="inlineStr">
        <is>
          <t>HIAB</t>
        </is>
      </c>
      <c r="G797" s="4" t="n">
        <v>43465</v>
      </c>
      <c r="H797" t="n">
        <v>140</v>
      </c>
      <c r="I797" s="49" t="inlineStr">
        <is>
          <t>WS-DE40</t>
        </is>
      </c>
      <c r="K797" s="232" t="n">
        <v>1809.22</v>
      </c>
      <c r="L797" s="233" t="n">
        <v>1753.78</v>
      </c>
      <c r="M797" s="232">
        <f>K797-L797</f>
        <v/>
      </c>
      <c r="P797" s="19">
        <f>(K797/L797)-1</f>
        <v/>
      </c>
    </row>
    <row r="798">
      <c r="A798" t="n">
        <v>41</v>
      </c>
      <c r="B798" t="inlineStr">
        <is>
          <t>SPE5EK-19-V-1827</t>
        </is>
      </c>
      <c r="E798" t="n">
        <v>10</v>
      </c>
      <c r="F798" t="inlineStr">
        <is>
          <t>C&amp;S</t>
        </is>
      </c>
      <c r="G798" s="4" t="n">
        <v>43465</v>
      </c>
      <c r="H798" t="n">
        <v>140</v>
      </c>
      <c r="I798" s="49" t="inlineStr">
        <is>
          <t>WS-DE41</t>
        </is>
      </c>
      <c r="K798" s="232" t="n">
        <v>1579.4</v>
      </c>
      <c r="L798" s="230">
        <f>153.4*10</f>
        <v/>
      </c>
      <c r="M798" s="232">
        <f>K798-L798</f>
        <v/>
      </c>
      <c r="P798" s="19">
        <f>(K798/L798)-1</f>
        <v/>
      </c>
    </row>
    <row r="799">
      <c r="K799" s="243">
        <f>SUM(K758:K798)</f>
        <v/>
      </c>
      <c r="L799" s="240">
        <f>SUM(L758:L798)</f>
        <v/>
      </c>
      <c r="M799" s="243">
        <f>K799-L799</f>
        <v/>
      </c>
      <c r="P799" s="92">
        <f>(K799/L799)-1</f>
        <v/>
      </c>
    </row>
    <row r="800">
      <c r="B800" s="5" t="inlineStr">
        <is>
          <t>Contract</t>
        </is>
      </c>
      <c r="C800" s="5" t="n"/>
      <c r="D800" s="235" t="inlineStr">
        <is>
          <t>NSN</t>
        </is>
      </c>
      <c r="E800" s="5" t="inlineStr">
        <is>
          <t>QTY</t>
        </is>
      </c>
      <c r="F800" s="5" t="inlineStr">
        <is>
          <t>Vendor</t>
        </is>
      </c>
      <c r="G800" s="5" t="inlineStr">
        <is>
          <t>Award Date</t>
        </is>
      </c>
      <c r="K800" s="233">
        <f>K286+K321+K380+K435+K479+K536+K582+K629+K680+K722+K756+K799</f>
        <v/>
      </c>
      <c r="L800" s="233">
        <f>L286+L321+L380+L435+L479+L536+L582+L629+L680+L722+L756+L799</f>
        <v/>
      </c>
      <c r="M800" s="233">
        <f>M286+M321+M380+M435+M479+M536+M582+M629+M680+M722+M756+M799</f>
        <v/>
      </c>
      <c r="P800" s="19">
        <f>(K800/L800)-1</f>
        <v/>
      </c>
      <c r="Q800" s="259">
        <f>K800*0.004</f>
        <v/>
      </c>
    </row>
    <row customHeight="1" ht="18.75" r="801">
      <c r="B801" s="162" t="n">
        <v>43466</v>
      </c>
      <c r="N801" s="232">
        <f>M694+M700+M706+M710+M726+M728+M748+M750+M759+M773+M776+M783+M794</f>
        <v/>
      </c>
    </row>
    <row r="802">
      <c r="A802" t="n">
        <v>1</v>
      </c>
      <c r="B802" s="3" t="inlineStr">
        <is>
          <t>SPE4A6-19-V-6191</t>
        </is>
      </c>
      <c r="E802" t="n">
        <v>9</v>
      </c>
      <c r="F802" t="inlineStr">
        <is>
          <t>CAMERON</t>
        </is>
      </c>
      <c r="G802" s="4" t="n">
        <v>43467</v>
      </c>
      <c r="H802" t="n">
        <v>190</v>
      </c>
      <c r="I802" t="inlineStr">
        <is>
          <t>JA1901</t>
        </is>
      </c>
      <c r="K802" s="232" t="n">
        <v>19114.83</v>
      </c>
      <c r="L802" s="230" t="n">
        <v>19071</v>
      </c>
      <c r="M802" s="232">
        <f>K802-L802</f>
        <v/>
      </c>
      <c r="N802" t="n">
        <v>200</v>
      </c>
      <c r="P802" s="19">
        <f>(K802/L802)-1</f>
        <v/>
      </c>
    </row>
    <row r="803">
      <c r="A803" t="n">
        <v>2</v>
      </c>
      <c r="B803" t="inlineStr">
        <is>
          <t>SPE7M5-19-V-3956</t>
        </is>
      </c>
      <c r="E803" t="n">
        <v>6</v>
      </c>
      <c r="F803" t="inlineStr">
        <is>
          <t>Atrenne Computing</t>
        </is>
      </c>
      <c r="G803" s="4" t="n">
        <v>43468</v>
      </c>
      <c r="H803" t="n">
        <v>140</v>
      </c>
      <c r="I803" t="inlineStr">
        <is>
          <t>JA1902</t>
        </is>
      </c>
      <c r="K803" s="232" t="n">
        <v>5920.32</v>
      </c>
      <c r="L803" s="230" t="n">
        <v>5790</v>
      </c>
      <c r="M803" s="232">
        <f>K803-L803</f>
        <v/>
      </c>
      <c r="N803" t="n">
        <v>60</v>
      </c>
      <c r="P803" s="19">
        <f>(K803/L803)-1</f>
        <v/>
      </c>
    </row>
    <row r="804">
      <c r="A804" t="n">
        <v>3</v>
      </c>
      <c r="B804" t="inlineStr">
        <is>
          <t>SPE5E7-19-V-1811</t>
        </is>
      </c>
      <c r="E804" t="n">
        <v>1</v>
      </c>
      <c r="F804" t="inlineStr">
        <is>
          <t>HIAB</t>
        </is>
      </c>
      <c r="G804" s="4" t="n">
        <v>43468</v>
      </c>
      <c r="I804" t="inlineStr">
        <is>
          <t>JA1903</t>
        </is>
      </c>
      <c r="K804" s="232" t="n">
        <v>3251</v>
      </c>
      <c r="L804" s="230">
        <f>3135.98+21.6</f>
        <v/>
      </c>
      <c r="M804" s="232">
        <f>K804-L804</f>
        <v/>
      </c>
      <c r="N804" t="n">
        <v>40</v>
      </c>
      <c r="P804" s="19">
        <f>(K804/L804)-1</f>
        <v/>
      </c>
    </row>
    <row r="805">
      <c r="A805" t="n">
        <v>4</v>
      </c>
      <c r="B805" s="3" t="inlineStr">
        <is>
          <t>SPE7L7-19-V-0436</t>
        </is>
      </c>
      <c r="E805" t="n">
        <v>3</v>
      </c>
      <c r="F805" t="inlineStr">
        <is>
          <t>Ultravolt,</t>
        </is>
      </c>
      <c r="G805" s="4" t="n">
        <v>43468</v>
      </c>
      <c r="H805" t="n">
        <v>140</v>
      </c>
      <c r="I805" t="inlineStr">
        <is>
          <t>JA1904</t>
        </is>
      </c>
      <c r="K805" s="232" t="n">
        <v>3963</v>
      </c>
      <c r="L805" s="230" t="n">
        <v>3807</v>
      </c>
      <c r="M805" s="232">
        <f>K805-L805</f>
        <v/>
      </c>
      <c r="P805" s="19">
        <f>(K805/L805)-1</f>
        <v/>
      </c>
    </row>
    <row r="806">
      <c r="A806" t="n">
        <v>5</v>
      </c>
      <c r="B806" t="inlineStr">
        <is>
          <t>SPE7MC-19-V-3200</t>
        </is>
      </c>
      <c r="E806" t="n">
        <v>4</v>
      </c>
      <c r="F806" t="inlineStr">
        <is>
          <t>PBM</t>
        </is>
      </c>
      <c r="G806" s="4" t="n">
        <v>43468</v>
      </c>
      <c r="I806" t="inlineStr">
        <is>
          <t>JA1905</t>
        </is>
      </c>
      <c r="K806" s="232" t="n">
        <v>669.4400000000001</v>
      </c>
      <c r="L806" s="230" t="n">
        <v>616</v>
      </c>
      <c r="M806" s="232">
        <f>K806-L806</f>
        <v/>
      </c>
      <c r="N806" t="n">
        <v>10</v>
      </c>
      <c r="P806" s="19">
        <f>(K806/L806)-1</f>
        <v/>
      </c>
    </row>
    <row r="807">
      <c r="A807" t="n">
        <v>6</v>
      </c>
      <c r="B807" t="inlineStr">
        <is>
          <t>SPE7M0-19-V-3325</t>
        </is>
      </c>
      <c r="E807" t="n">
        <v>3</v>
      </c>
      <c r="F807" t="inlineStr">
        <is>
          <t>CAMERON</t>
        </is>
      </c>
      <c r="G807" s="4" t="n">
        <v>43468</v>
      </c>
      <c r="I807" t="inlineStr">
        <is>
          <t>JA1906</t>
        </is>
      </c>
      <c r="K807" s="232" t="n">
        <v>291</v>
      </c>
      <c r="L807" s="230" t="n">
        <v>222</v>
      </c>
      <c r="M807" s="232">
        <f>K807-L807</f>
        <v/>
      </c>
      <c r="P807" s="19">
        <f>(K807/L807)-1</f>
        <v/>
      </c>
    </row>
    <row r="808">
      <c r="A808" t="n">
        <v>7</v>
      </c>
      <c r="B808" t="inlineStr">
        <is>
          <t>SPE4A6-19-P-5782</t>
        </is>
      </c>
      <c r="E808" t="n">
        <v>1</v>
      </c>
      <c r="F808" t="inlineStr">
        <is>
          <t>Indeeco</t>
        </is>
      </c>
      <c r="G808" s="4" t="n">
        <v>43469</v>
      </c>
      <c r="I808" t="inlineStr">
        <is>
          <t>stock</t>
        </is>
      </c>
      <c r="K808" s="232" t="n">
        <v>98.72</v>
      </c>
      <c r="L808" s="232" t="n">
        <v>0</v>
      </c>
      <c r="M808" s="232">
        <f>K808-L808</f>
        <v/>
      </c>
      <c r="P808" s="19">
        <f>(K808/L808)-1</f>
        <v/>
      </c>
    </row>
    <row r="809">
      <c r="A809" t="n">
        <v>8</v>
      </c>
      <c r="B809" s="3" t="inlineStr">
        <is>
          <t>SPE7M8-19-V-1067</t>
        </is>
      </c>
      <c r="E809" t="n">
        <v>2</v>
      </c>
      <c r="F809" t="inlineStr">
        <is>
          <t>GEMS 5lbsea</t>
        </is>
      </c>
      <c r="G809" s="4" t="n">
        <v>43472</v>
      </c>
      <c r="H809" t="n">
        <v>160</v>
      </c>
      <c r="I809" t="inlineStr">
        <is>
          <t>JA1908</t>
        </is>
      </c>
      <c r="K809" s="232" t="n">
        <v>2098</v>
      </c>
      <c r="L809" s="230" t="n">
        <v>2020</v>
      </c>
      <c r="M809" s="232">
        <f>K809-L809</f>
        <v/>
      </c>
      <c r="P809" s="19">
        <f>(K809/L809)-1</f>
        <v/>
      </c>
    </row>
    <row r="810">
      <c r="A810" t="n">
        <v>9</v>
      </c>
      <c r="B810" s="3" t="inlineStr">
        <is>
          <t>SPE7L7-19-V-0460</t>
        </is>
      </c>
      <c r="E810" t="n">
        <v>6</v>
      </c>
      <c r="F810" t="inlineStr">
        <is>
          <t>Elma</t>
        </is>
      </c>
      <c r="G810" s="4" t="n">
        <v>43472</v>
      </c>
      <c r="H810" t="n">
        <v>160</v>
      </c>
      <c r="I810" t="inlineStr">
        <is>
          <t>JA1909</t>
        </is>
      </c>
      <c r="K810" s="232" t="n">
        <v>12017.22</v>
      </c>
      <c r="L810" s="230" t="n">
        <v>11814</v>
      </c>
      <c r="M810" s="232">
        <f>K810-L810</f>
        <v/>
      </c>
      <c r="P810" s="19">
        <f>(K810/L810)-1</f>
        <v/>
      </c>
    </row>
    <row r="811">
      <c r="A811" t="n">
        <v>10</v>
      </c>
      <c r="B811" s="3" t="inlineStr">
        <is>
          <t>SPE7M5-19-V-4039</t>
        </is>
      </c>
      <c r="E811" t="n">
        <v>18</v>
      </c>
      <c r="F811" t="inlineStr">
        <is>
          <t>C&amp;S</t>
        </is>
      </c>
      <c r="G811" s="4" t="n">
        <v>43472</v>
      </c>
      <c r="H811" t="n">
        <v>140</v>
      </c>
      <c r="I811" t="inlineStr">
        <is>
          <t>JA1910</t>
        </is>
      </c>
      <c r="K811" s="232" t="n">
        <v>10378.98</v>
      </c>
      <c r="L811" s="230" t="n">
        <v>10170</v>
      </c>
      <c r="M811" s="232">
        <f>K811-L811</f>
        <v/>
      </c>
      <c r="P811" s="19">
        <f>(K811/L811)-1</f>
        <v/>
      </c>
    </row>
    <row r="812">
      <c r="A812" t="n">
        <v>11</v>
      </c>
      <c r="B812" t="inlineStr">
        <is>
          <t>SPE7M8-19-P-0997</t>
        </is>
      </c>
      <c r="E812" t="n">
        <v>14</v>
      </c>
      <c r="F812" t="inlineStr">
        <is>
          <t>GEMS PAR Cancelled</t>
        </is>
      </c>
      <c r="G812" s="4" t="n">
        <v>43474</v>
      </c>
      <c r="K812" s="232" t="n">
        <v>0</v>
      </c>
      <c r="L812" s="230" t="n">
        <v>0</v>
      </c>
      <c r="M812" s="232">
        <f>K812-L812</f>
        <v/>
      </c>
      <c r="P812" s="19">
        <f>(K812/L812)-1</f>
        <v/>
      </c>
    </row>
    <row r="813">
      <c r="A813" t="n">
        <v>12</v>
      </c>
      <c r="B813" t="inlineStr">
        <is>
          <t>SPE7M1-19-V-3044</t>
        </is>
      </c>
      <c r="E813" t="n">
        <v>2</v>
      </c>
      <c r="F813" t="inlineStr">
        <is>
          <t>PBM</t>
        </is>
      </c>
      <c r="G813" s="4" t="n">
        <v>43474</v>
      </c>
      <c r="H813" t="n">
        <v>120</v>
      </c>
      <c r="I813" t="inlineStr">
        <is>
          <t>JA1912</t>
        </is>
      </c>
      <c r="K813" s="232" t="n">
        <v>997.38</v>
      </c>
      <c r="L813" s="230" t="n">
        <v>934</v>
      </c>
      <c r="M813" s="232">
        <f>K813-L813</f>
        <v/>
      </c>
      <c r="P813" s="19">
        <f>(K813/L813)-1</f>
        <v/>
      </c>
    </row>
    <row r="814">
      <c r="A814" t="n">
        <v>13</v>
      </c>
      <c r="B814" s="3" t="inlineStr">
        <is>
          <t>SPE7M5-19-V-4184</t>
        </is>
      </c>
      <c r="E814" t="n">
        <v>223</v>
      </c>
      <c r="F814" t="inlineStr">
        <is>
          <t>Glenair</t>
        </is>
      </c>
      <c r="G814" s="4" t="n">
        <v>43474</v>
      </c>
      <c r="I814" t="inlineStr">
        <is>
          <t>JA1913</t>
        </is>
      </c>
      <c r="K814" s="232" t="n">
        <v>9350.389999999999</v>
      </c>
      <c r="L814" s="230">
        <f>39.15*223</f>
        <v/>
      </c>
      <c r="M814" s="232">
        <f>K814-L814</f>
        <v/>
      </c>
      <c r="P814" s="19">
        <f>(K814/L814)-1</f>
        <v/>
      </c>
    </row>
    <row r="815">
      <c r="A815" t="n">
        <v>14</v>
      </c>
      <c r="B815" t="inlineStr">
        <is>
          <t>SPE7M1-19-V-3033</t>
        </is>
      </c>
      <c r="E815" t="n">
        <v>5</v>
      </c>
      <c r="F815" t="inlineStr">
        <is>
          <t>Druck</t>
        </is>
      </c>
      <c r="G815" s="4" t="n">
        <v>43474</v>
      </c>
      <c r="H815" t="n">
        <v>160</v>
      </c>
      <c r="I815" t="inlineStr">
        <is>
          <t>JA1914</t>
        </is>
      </c>
      <c r="K815" s="232" t="n">
        <v>4407.65</v>
      </c>
      <c r="L815" s="230" t="n">
        <v>4390</v>
      </c>
      <c r="M815" s="232">
        <f>K815-L815</f>
        <v/>
      </c>
      <c r="P815" s="19">
        <f>(K815/L815)-1</f>
        <v/>
      </c>
    </row>
    <row r="816">
      <c r="A816" t="n">
        <v>15</v>
      </c>
      <c r="B816" s="3" t="inlineStr">
        <is>
          <t>SPE7M5-19-V-4185</t>
        </is>
      </c>
      <c r="E816" t="n">
        <v>63</v>
      </c>
      <c r="F816" t="inlineStr">
        <is>
          <t>Glenair</t>
        </is>
      </c>
      <c r="G816" s="4" t="n">
        <v>43474</v>
      </c>
      <c r="I816" t="inlineStr">
        <is>
          <t>JA1915</t>
        </is>
      </c>
      <c r="K816" s="232" t="n">
        <v>5911.29</v>
      </c>
      <c r="L816" s="230">
        <f>92.32*63</f>
        <v/>
      </c>
      <c r="M816" s="232">
        <f>K816-L816</f>
        <v/>
      </c>
      <c r="P816" s="19">
        <f>(K816/L816)-1</f>
        <v/>
      </c>
    </row>
    <row r="817">
      <c r="A817" t="n">
        <v>16</v>
      </c>
      <c r="B817" s="3" t="inlineStr">
        <is>
          <t>SPE5EJ-19-V-2161</t>
        </is>
      </c>
      <c r="E817" t="n">
        <v>1</v>
      </c>
      <c r="F817" t="inlineStr">
        <is>
          <t>LEE SPRING</t>
        </is>
      </c>
      <c r="G817" s="4" t="n">
        <v>43475</v>
      </c>
      <c r="H817" t="n">
        <v>90</v>
      </c>
      <c r="I817" t="inlineStr">
        <is>
          <t>JA1916</t>
        </is>
      </c>
      <c r="K817" s="232" t="n">
        <v>527</v>
      </c>
      <c r="L817" s="230" t="n">
        <v>489.47</v>
      </c>
      <c r="M817" s="232">
        <f>K817-L817</f>
        <v/>
      </c>
      <c r="P817" s="19">
        <f>(K817/L817)-1</f>
        <v/>
      </c>
    </row>
    <row r="818">
      <c r="A818" t="n">
        <v>17</v>
      </c>
      <c r="B818" s="3" t="inlineStr">
        <is>
          <t>SPE7M8-19-P-1025</t>
        </is>
      </c>
      <c r="E818" t="n">
        <v>1</v>
      </c>
      <c r="F818" t="inlineStr">
        <is>
          <t>GEMS</t>
        </is>
      </c>
      <c r="G818" s="4" t="n">
        <v>43476</v>
      </c>
      <c r="H818" t="n">
        <v>140</v>
      </c>
      <c r="I818" t="inlineStr">
        <is>
          <t>JA1917</t>
        </is>
      </c>
      <c r="K818" s="232" t="n">
        <v>2446.62</v>
      </c>
      <c r="L818" s="230" t="n">
        <v>2375</v>
      </c>
      <c r="M818" s="232">
        <f>K818-L818</f>
        <v/>
      </c>
      <c r="P818" s="19">
        <f>(K818/L818)-1</f>
        <v/>
      </c>
    </row>
    <row r="819">
      <c r="A819" t="n">
        <v>18</v>
      </c>
      <c r="B819" s="3" t="inlineStr">
        <is>
          <t>SPE7M3-19-P-1895</t>
        </is>
      </c>
      <c r="E819" t="n">
        <v>16</v>
      </c>
      <c r="F819" t="inlineStr">
        <is>
          <t>Aerofit</t>
        </is>
      </c>
      <c r="G819" s="4" t="n">
        <v>43480</v>
      </c>
      <c r="H819" t="n">
        <v>160</v>
      </c>
      <c r="I819" t="inlineStr">
        <is>
          <t>JA1918</t>
        </is>
      </c>
      <c r="K819" s="232" t="n">
        <v>5241.92</v>
      </c>
      <c r="L819" s="230" t="n">
        <v>5103.36</v>
      </c>
      <c r="M819" s="232">
        <f>K819-L819</f>
        <v/>
      </c>
      <c r="N819" t="n">
        <v>80</v>
      </c>
      <c r="P819" s="19">
        <f>(K819/L819)-1</f>
        <v/>
      </c>
    </row>
    <row r="820">
      <c r="A820" t="n">
        <v>19</v>
      </c>
      <c r="B820" s="3" t="inlineStr">
        <is>
          <t>SPE7MC-19-V-3679</t>
        </is>
      </c>
      <c r="E820" t="n">
        <v>31</v>
      </c>
      <c r="F820" t="inlineStr">
        <is>
          <t>INDECO</t>
        </is>
      </c>
      <c r="G820" s="4" t="n">
        <v>43481</v>
      </c>
      <c r="H820" t="n">
        <v>140</v>
      </c>
      <c r="I820" t="inlineStr">
        <is>
          <t>JA1919</t>
        </is>
      </c>
      <c r="K820" s="232" t="n">
        <v>21974.66</v>
      </c>
      <c r="L820" s="230" t="n">
        <v>21700</v>
      </c>
      <c r="M820" s="232">
        <f>K820-L820</f>
        <v/>
      </c>
      <c r="N820" t="n">
        <v>300</v>
      </c>
      <c r="P820" s="19">
        <f>(K820/L820)-1</f>
        <v/>
      </c>
    </row>
    <row r="821">
      <c r="A821" t="n">
        <v>20</v>
      </c>
      <c r="B821" s="3" t="inlineStr">
        <is>
          <t>SPE7L3-19-V-3191</t>
        </is>
      </c>
      <c r="E821" t="n">
        <v>7</v>
      </c>
      <c r="F821" t="inlineStr">
        <is>
          <t>TIM PRICE</t>
        </is>
      </c>
      <c r="G821" s="4" t="n">
        <v>43481</v>
      </c>
      <c r="H821" t="n">
        <v>160</v>
      </c>
      <c r="K821" s="232" t="n">
        <v>1582</v>
      </c>
      <c r="L821" s="255" t="n">
        <v>1520</v>
      </c>
      <c r="M821" s="232">
        <f>K821-L821</f>
        <v/>
      </c>
      <c r="P821" s="19">
        <f>(K821/L821)-1</f>
        <v/>
      </c>
    </row>
    <row r="822">
      <c r="A822" t="n">
        <v>21</v>
      </c>
      <c r="B822" s="3" t="inlineStr">
        <is>
          <t>SPE8EE-19-P-7070</t>
        </is>
      </c>
      <c r="E822" t="n">
        <v>72</v>
      </c>
      <c r="F822" t="inlineStr">
        <is>
          <t>Avibank</t>
        </is>
      </c>
      <c r="G822" s="4" t="n">
        <v>43482</v>
      </c>
      <c r="I822" t="inlineStr">
        <is>
          <t>JA1921</t>
        </is>
      </c>
      <c r="K822" s="232" t="n">
        <v>990.72</v>
      </c>
      <c r="L822" t="n">
        <v>833.76</v>
      </c>
      <c r="M822" s="232">
        <f>K822-L822</f>
        <v/>
      </c>
      <c r="P822" s="19">
        <f>(K822/L822)-1</f>
        <v/>
      </c>
    </row>
    <row r="823">
      <c r="A823" t="n">
        <v>22</v>
      </c>
      <c r="B823" s="20" t="inlineStr">
        <is>
          <t>SPE7M0-19-V-3751</t>
        </is>
      </c>
      <c r="E823" t="n">
        <v>2</v>
      </c>
      <c r="F823" t="inlineStr">
        <is>
          <t>Sauer</t>
        </is>
      </c>
      <c r="G823" s="4" t="n">
        <v>43482</v>
      </c>
      <c r="I823" t="inlineStr">
        <is>
          <t>JA1922</t>
        </is>
      </c>
      <c r="K823" s="232" t="n">
        <v>1707.74</v>
      </c>
      <c r="L823" s="230" t="n">
        <v>1685.16</v>
      </c>
      <c r="M823" s="232">
        <f>K823-L823</f>
        <v/>
      </c>
      <c r="P823" s="19">
        <f>(K823/L823)-1</f>
        <v/>
      </c>
    </row>
    <row r="824">
      <c r="A824" t="n">
        <v>23</v>
      </c>
      <c r="B824" s="3" t="inlineStr">
        <is>
          <t>SPE8E8-19-V-0906</t>
        </is>
      </c>
      <c r="E824" t="n">
        <v>8</v>
      </c>
      <c r="F824" t="inlineStr">
        <is>
          <t>INDECO</t>
        </is>
      </c>
      <c r="G824" s="4" t="n">
        <v>43482</v>
      </c>
      <c r="H824" t="n">
        <v>160</v>
      </c>
      <c r="I824" t="inlineStr">
        <is>
          <t>JA1923</t>
        </is>
      </c>
      <c r="K824" s="232" t="n">
        <v>5182.64</v>
      </c>
      <c r="L824" s="230" t="n">
        <v>5080</v>
      </c>
      <c r="M824" s="232">
        <f>K824-L824</f>
        <v/>
      </c>
      <c r="N824" t="n">
        <v>35.82</v>
      </c>
      <c r="P824" s="19">
        <f>(K824/L824)-1</f>
        <v/>
      </c>
    </row>
    <row r="825">
      <c r="A825" t="n">
        <v>24</v>
      </c>
      <c r="B825" s="3" t="inlineStr">
        <is>
          <t>SPE7M0-19-V-3729</t>
        </is>
      </c>
      <c r="E825" t="n">
        <v>4</v>
      </c>
      <c r="F825" t="inlineStr">
        <is>
          <t>GEMS</t>
        </is>
      </c>
      <c r="G825" s="4" t="n">
        <v>43482</v>
      </c>
      <c r="H825" t="n">
        <v>160</v>
      </c>
      <c r="I825" t="inlineStr">
        <is>
          <t>JA1924</t>
        </is>
      </c>
      <c r="K825" s="232" t="n">
        <v>10068</v>
      </c>
      <c r="L825" s="230" t="n">
        <v>9872</v>
      </c>
      <c r="M825" s="232">
        <f>K825-L825</f>
        <v/>
      </c>
      <c r="P825" s="19">
        <f>(K825/L825)-1</f>
        <v/>
      </c>
    </row>
    <row r="826">
      <c r="A826" t="n">
        <v>25</v>
      </c>
      <c r="B826" s="3" t="inlineStr">
        <is>
          <t>SPE7M0-19-V-3779</t>
        </is>
      </c>
      <c r="E826" t="n">
        <v>4</v>
      </c>
      <c r="F826" s="64" t="inlineStr">
        <is>
          <t>Glenair 3from OC13</t>
        </is>
      </c>
      <c r="G826" s="4" t="n">
        <v>43483</v>
      </c>
      <c r="H826" t="n">
        <v>160</v>
      </c>
      <c r="K826" s="232" t="n">
        <v>2454.68</v>
      </c>
      <c r="L826" s="255" t="n">
        <v>474.74</v>
      </c>
      <c r="M826" s="232">
        <f>K826-L826</f>
        <v/>
      </c>
      <c r="P826" s="19">
        <f>(K826/L826)-1</f>
        <v/>
      </c>
    </row>
    <row r="827">
      <c r="A827" t="n">
        <v>26</v>
      </c>
      <c r="B827" s="3" t="inlineStr">
        <is>
          <t>SPE7M1-19-P-2370</t>
        </is>
      </c>
      <c r="E827" t="n">
        <v>1</v>
      </c>
      <c r="F827" t="inlineStr">
        <is>
          <t>Morpac</t>
        </is>
      </c>
      <c r="G827" s="4" t="n">
        <v>43484</v>
      </c>
      <c r="I827" t="inlineStr">
        <is>
          <t>JA1926</t>
        </is>
      </c>
      <c r="K827" s="232" t="n">
        <v>4573.57</v>
      </c>
      <c r="L827" s="232" t="n">
        <v>4470</v>
      </c>
      <c r="M827" s="232">
        <f>K827-L827</f>
        <v/>
      </c>
      <c r="P827" s="19">
        <f>(K827/L827)-1</f>
        <v/>
      </c>
    </row>
    <row r="828">
      <c r="A828" t="n">
        <v>27</v>
      </c>
      <c r="B828" s="3" t="inlineStr">
        <is>
          <t>SPE5E8-19-V-3172</t>
        </is>
      </c>
      <c r="E828" t="n">
        <v>27</v>
      </c>
      <c r="F828" t="inlineStr">
        <is>
          <t>Morpac</t>
        </is>
      </c>
      <c r="G828" s="4" t="n">
        <v>43487</v>
      </c>
      <c r="I828" t="inlineStr">
        <is>
          <t>JA1927</t>
        </is>
      </c>
      <c r="K828" s="232" t="n">
        <v>3667.14</v>
      </c>
      <c r="L828" s="232" t="n">
        <v>3559.95</v>
      </c>
      <c r="M828" s="232">
        <f>K828-L828</f>
        <v/>
      </c>
      <c r="P828" s="19">
        <f>(K828/L828)-1</f>
        <v/>
      </c>
    </row>
    <row r="829">
      <c r="A829" t="n">
        <v>28</v>
      </c>
      <c r="B829" s="3" t="inlineStr">
        <is>
          <t>SPE8E7-19-P-0456</t>
        </is>
      </c>
      <c r="E829" t="n">
        <v>1</v>
      </c>
      <c r="F829" s="51" t="inlineStr">
        <is>
          <t>TIM PRICE PAR Cancel</t>
        </is>
      </c>
      <c r="G829" s="4" t="n">
        <v>43487</v>
      </c>
      <c r="K829" s="232" t="n">
        <v>0</v>
      </c>
      <c r="L829" s="255" t="n">
        <v>0</v>
      </c>
      <c r="M829" s="232">
        <f>K829-L829</f>
        <v/>
      </c>
      <c r="P829" s="19">
        <f>(K829/L829)-1</f>
        <v/>
      </c>
    </row>
    <row r="830">
      <c r="A830" t="n">
        <v>29</v>
      </c>
      <c r="B830" s="3" t="inlineStr">
        <is>
          <t>SPE7M0-19-V-3857</t>
        </is>
      </c>
      <c r="E830" t="n">
        <v>1</v>
      </c>
      <c r="F830" t="inlineStr">
        <is>
          <t>Druck</t>
        </is>
      </c>
      <c r="G830" s="4" t="n">
        <v>43487</v>
      </c>
      <c r="I830" t="inlineStr">
        <is>
          <t>JA1929</t>
        </is>
      </c>
      <c r="K830" s="232" t="n">
        <v>1478</v>
      </c>
      <c r="L830" s="230" t="n">
        <v>1464.66</v>
      </c>
      <c r="M830" s="232">
        <f>K830-L830</f>
        <v/>
      </c>
      <c r="P830" s="19">
        <f>(K830/L830)-1</f>
        <v/>
      </c>
    </row>
    <row r="831">
      <c r="A831" t="n">
        <v>30</v>
      </c>
      <c r="B831" s="3" t="inlineStr">
        <is>
          <t>SPE7M0-19-V-3840</t>
        </is>
      </c>
      <c r="E831" t="n">
        <v>279</v>
      </c>
      <c r="F831" s="51" t="inlineStr">
        <is>
          <t>WM Nugnet Cancel</t>
        </is>
      </c>
      <c r="G831" s="4" t="n">
        <v>43487</v>
      </c>
      <c r="H831" t="n">
        <v>125</v>
      </c>
      <c r="K831" s="232" t="n">
        <v>0</v>
      </c>
      <c r="L831" s="255" t="n">
        <v>0</v>
      </c>
      <c r="M831" s="232">
        <f>K831-L831</f>
        <v/>
      </c>
      <c r="P831" s="19">
        <f>(K831/L831)-1</f>
        <v/>
      </c>
    </row>
    <row r="832">
      <c r="A832" t="n">
        <v>31</v>
      </c>
      <c r="B832" s="3" t="inlineStr">
        <is>
          <t>SPE7M5-19-V-4627</t>
        </is>
      </c>
      <c r="E832" t="n">
        <v>5</v>
      </c>
      <c r="F832" t="inlineStr">
        <is>
          <t>Glenair</t>
        </is>
      </c>
      <c r="G832" s="4" t="n">
        <v>43487</v>
      </c>
      <c r="I832" t="inlineStr">
        <is>
          <t>JA1931</t>
        </is>
      </c>
      <c r="K832" s="232" t="n">
        <v>549.3</v>
      </c>
      <c r="L832" s="230" t="n">
        <v>518.4</v>
      </c>
      <c r="M832" s="232">
        <f>K832-L832</f>
        <v/>
      </c>
      <c r="P832" s="19">
        <f>(K832/L832)-1</f>
        <v/>
      </c>
    </row>
    <row r="833">
      <c r="A833" t="n">
        <v>32</v>
      </c>
      <c r="B833" s="3" t="inlineStr">
        <is>
          <t>SPE5E9-19-V-2112</t>
        </is>
      </c>
      <c r="E833" t="n">
        <v>2</v>
      </c>
      <c r="F833" t="inlineStr">
        <is>
          <t>HIAB</t>
        </is>
      </c>
      <c r="G833" s="4" t="n">
        <v>43487</v>
      </c>
      <c r="I833" t="inlineStr">
        <is>
          <t>JA1932</t>
        </is>
      </c>
      <c r="K833" s="232" t="n">
        <v>902</v>
      </c>
      <c r="L833" s="230" t="n">
        <v>866.26</v>
      </c>
      <c r="M833" s="232">
        <f>K833-L833</f>
        <v/>
      </c>
      <c r="P833" s="19">
        <f>(K833/L833)-1</f>
        <v/>
      </c>
    </row>
    <row r="834">
      <c r="A834" t="n">
        <v>33</v>
      </c>
      <c r="B834" s="3" t="inlineStr">
        <is>
          <t>SPE7MC-19-V-3882</t>
        </is>
      </c>
      <c r="E834" t="n">
        <v>19</v>
      </c>
      <c r="F834" s="64" t="inlineStr">
        <is>
          <t>Glenair QTY 20</t>
        </is>
      </c>
      <c r="G834" s="4" t="n">
        <v>43489</v>
      </c>
      <c r="H834" t="n">
        <v>160</v>
      </c>
      <c r="I834" t="inlineStr">
        <is>
          <t>JA1933</t>
        </is>
      </c>
      <c r="K834" s="232" t="n">
        <v>6336.12</v>
      </c>
      <c r="L834" s="230" t="n">
        <v>6321</v>
      </c>
      <c r="M834" s="232">
        <f>K834-L834</f>
        <v/>
      </c>
      <c r="P834" s="19">
        <f>(K834/L834)-1</f>
        <v/>
      </c>
    </row>
    <row r="835">
      <c r="A835" t="n">
        <v>34</v>
      </c>
      <c r="B835" s="3" t="inlineStr">
        <is>
          <t>SPE7M5-19-V-4696</t>
        </is>
      </c>
      <c r="E835" t="n">
        <v>14</v>
      </c>
      <c r="F835" t="inlineStr">
        <is>
          <t>Glenair QTY 20</t>
        </is>
      </c>
      <c r="G835" s="4" t="n">
        <v>43489</v>
      </c>
      <c r="H835" t="n">
        <v>160</v>
      </c>
      <c r="I835" t="inlineStr">
        <is>
          <t>JA1934</t>
        </is>
      </c>
      <c r="K835" s="232" t="n">
        <v>1116.92</v>
      </c>
      <c r="L835" s="230" t="n">
        <v>1439</v>
      </c>
      <c r="M835" s="232">
        <f>K835-L835</f>
        <v/>
      </c>
      <c r="P835" s="19">
        <f>(K835/L835)-1</f>
        <v/>
      </c>
    </row>
    <row r="836">
      <c r="A836" t="n">
        <v>35</v>
      </c>
      <c r="B836" s="227" t="inlineStr">
        <is>
          <t>SPE7MC-19-V-3862</t>
        </is>
      </c>
      <c r="E836" t="n">
        <v>100</v>
      </c>
      <c r="F836" t="inlineStr">
        <is>
          <t>Glenair</t>
        </is>
      </c>
      <c r="G836" s="4" t="n">
        <v>43489</v>
      </c>
      <c r="H836" t="n">
        <v>160</v>
      </c>
      <c r="I836" t="inlineStr">
        <is>
          <t>JA1913</t>
        </is>
      </c>
      <c r="K836" s="232" t="n">
        <v>4164</v>
      </c>
      <c r="L836" s="230">
        <f>39.15*100</f>
        <v/>
      </c>
      <c r="M836" s="232">
        <f>K836-L836</f>
        <v/>
      </c>
      <c r="P836" s="19">
        <f>(K836/L836)-1</f>
        <v/>
      </c>
    </row>
    <row r="837">
      <c r="A837" t="n">
        <v>36</v>
      </c>
      <c r="B837" t="inlineStr">
        <is>
          <t>SPE5E8-19-V-3258</t>
        </is>
      </c>
      <c r="E837" t="n">
        <v>999</v>
      </c>
      <c r="F837" t="inlineStr">
        <is>
          <t>Glenair</t>
        </is>
      </c>
      <c r="G837" s="4" t="n">
        <v>43489</v>
      </c>
      <c r="H837" t="n">
        <v>160</v>
      </c>
      <c r="I837" t="inlineStr">
        <is>
          <t>JA1936</t>
        </is>
      </c>
      <c r="K837" s="232" t="n">
        <v>3866.13</v>
      </c>
      <c r="L837" s="230" t="n">
        <v>2290</v>
      </c>
      <c r="M837" s="232">
        <f>K837-L837</f>
        <v/>
      </c>
      <c r="P837" s="19">
        <f>(K837/L837)-1</f>
        <v/>
      </c>
    </row>
    <row r="838">
      <c r="A838" t="n">
        <v>37</v>
      </c>
      <c r="B838" t="inlineStr">
        <is>
          <t>SPE4A6-19-V-7510</t>
        </is>
      </c>
      <c r="E838" t="n">
        <v>3</v>
      </c>
      <c r="F838" t="inlineStr">
        <is>
          <t>Glenair</t>
        </is>
      </c>
      <c r="G838" s="4" t="n">
        <v>43490</v>
      </c>
      <c r="H838" t="n">
        <v>160</v>
      </c>
      <c r="K838" s="232" t="n">
        <v>3549</v>
      </c>
      <c r="L838" s="230">
        <f>523*3</f>
        <v/>
      </c>
      <c r="M838" s="232">
        <f>K838-L838</f>
        <v/>
      </c>
      <c r="P838" s="19">
        <f>(K838/L838)-1</f>
        <v/>
      </c>
    </row>
    <row r="839">
      <c r="A839" t="n">
        <v>38</v>
      </c>
      <c r="B839" t="inlineStr">
        <is>
          <t>SPE7M0-19-V-3959</t>
        </is>
      </c>
      <c r="E839" t="n">
        <v>3</v>
      </c>
      <c r="F839" t="inlineStr">
        <is>
          <t>GEMS 5lbsea</t>
        </is>
      </c>
      <c r="G839" s="4" t="n">
        <v>43490</v>
      </c>
      <c r="H839" t="n">
        <v>160</v>
      </c>
      <c r="I839" t="inlineStr">
        <is>
          <t>JA1938</t>
        </is>
      </c>
      <c r="K839" s="232" t="n">
        <v>4779</v>
      </c>
      <c r="L839" s="230" t="n">
        <v>4665</v>
      </c>
      <c r="M839" s="232">
        <f>K839-L839</f>
        <v/>
      </c>
      <c r="P839" s="19">
        <f>(K839/L839)-1</f>
        <v/>
      </c>
    </row>
    <row r="840">
      <c r="A840" t="n">
        <v>39</v>
      </c>
      <c r="B840" t="inlineStr">
        <is>
          <t>SPE4A6-19-V-7529</t>
        </is>
      </c>
      <c r="E840" t="n">
        <v>1</v>
      </c>
      <c r="F840" t="inlineStr">
        <is>
          <t>Glenair</t>
        </is>
      </c>
      <c r="G840" s="4" t="n">
        <v>43490</v>
      </c>
      <c r="H840" t="n">
        <v>160</v>
      </c>
      <c r="K840" s="232" t="n">
        <v>1598</v>
      </c>
      <c r="L840" s="230" t="n">
        <v>1563.53</v>
      </c>
      <c r="M840" s="232">
        <f>K840-L840</f>
        <v/>
      </c>
      <c r="P840" s="19">
        <f>(K840/L840)-1</f>
        <v/>
      </c>
    </row>
    <row r="841">
      <c r="A841" t="n">
        <v>40</v>
      </c>
      <c r="B841" t="inlineStr">
        <is>
          <t>SPE7M5-19-P-4065</t>
        </is>
      </c>
      <c r="E841" t="n">
        <v>4</v>
      </c>
      <c r="F841" t="inlineStr">
        <is>
          <t>Glenair</t>
        </is>
      </c>
      <c r="G841" s="4" t="n">
        <v>43493</v>
      </c>
      <c r="H841" t="n">
        <v>160</v>
      </c>
      <c r="K841" s="232" t="n">
        <v>3124</v>
      </c>
      <c r="L841" s="230">
        <f>774.12*4</f>
        <v/>
      </c>
      <c r="M841" s="232">
        <f>K841-L841</f>
        <v/>
      </c>
      <c r="P841" s="19">
        <f>(K841/L841)-1</f>
        <v/>
      </c>
    </row>
    <row r="842">
      <c r="A842" t="n">
        <v>41</v>
      </c>
      <c r="B842" t="inlineStr">
        <is>
          <t>SPE7M1-19-V-3492</t>
        </is>
      </c>
      <c r="E842" t="n">
        <v>19</v>
      </c>
      <c r="F842" t="inlineStr">
        <is>
          <t>Glenair</t>
        </is>
      </c>
      <c r="G842" s="4" t="n">
        <v>43493</v>
      </c>
      <c r="H842" t="n">
        <v>160</v>
      </c>
      <c r="K842" s="232" t="n">
        <v>4208.12</v>
      </c>
      <c r="L842" s="230">
        <f>207.5*19</f>
        <v/>
      </c>
      <c r="M842" s="232">
        <f>K842-L842</f>
        <v/>
      </c>
      <c r="P842" s="19">
        <f>(K842/L842)-1</f>
        <v/>
      </c>
    </row>
    <row r="843">
      <c r="A843" t="n">
        <v>42</v>
      </c>
      <c r="B843" t="inlineStr">
        <is>
          <t>SPE7MC-19-V-3998</t>
        </is>
      </c>
      <c r="E843" t="n">
        <v>7</v>
      </c>
      <c r="F843" t="inlineStr">
        <is>
          <t>Glenair</t>
        </is>
      </c>
      <c r="G843" s="4" t="n">
        <v>43494</v>
      </c>
      <c r="H843" t="n">
        <v>160</v>
      </c>
      <c r="K843" s="232" t="n">
        <v>1692.74</v>
      </c>
      <c r="L843" s="230">
        <f>243.18*7</f>
        <v/>
      </c>
      <c r="M843" s="232">
        <f>K843-L843</f>
        <v/>
      </c>
      <c r="P843" s="19">
        <f>(K843/L843)-1</f>
        <v/>
      </c>
    </row>
    <row r="844">
      <c r="A844" t="n">
        <v>43</v>
      </c>
      <c r="B844" t="inlineStr">
        <is>
          <t>SPE5E8-19-V-3407</t>
        </is>
      </c>
      <c r="E844" t="n">
        <v>1</v>
      </c>
      <c r="F844" s="51" t="inlineStr">
        <is>
          <t>Griswold PAR</t>
        </is>
      </c>
      <c r="G844" s="4" t="n">
        <v>43494</v>
      </c>
      <c r="H844" t="n">
        <v>160</v>
      </c>
      <c r="K844" s="232" t="n">
        <v>0</v>
      </c>
      <c r="L844" s="230" t="n">
        <v>0</v>
      </c>
      <c r="M844" s="232">
        <f>K844-L844</f>
        <v/>
      </c>
      <c r="P844" s="19">
        <f>(K844/L844)-1</f>
        <v/>
      </c>
    </row>
    <row r="845">
      <c r="A845" t="n">
        <v>44</v>
      </c>
      <c r="B845" t="inlineStr">
        <is>
          <t>SPE8E8-19-V-0990</t>
        </is>
      </c>
      <c r="E845" t="n">
        <v>7</v>
      </c>
      <c r="F845" t="inlineStr">
        <is>
          <t>INDECO</t>
        </is>
      </c>
      <c r="G845" s="4" t="n">
        <v>43494</v>
      </c>
      <c r="H845" t="n">
        <v>160</v>
      </c>
      <c r="I845" t="inlineStr">
        <is>
          <t>JA1944</t>
        </is>
      </c>
      <c r="K845" s="232" t="n">
        <v>2088.8</v>
      </c>
      <c r="L845" s="230" t="n">
        <v>2002</v>
      </c>
      <c r="M845" s="232">
        <f>K845-L845</f>
        <v/>
      </c>
      <c r="P845" s="19">
        <f>(K845/L845)-1</f>
        <v/>
      </c>
    </row>
    <row r="846">
      <c r="A846" t="n">
        <v>45</v>
      </c>
      <c r="B846" t="inlineStr">
        <is>
          <t>SPE7M5-19-V-4861</t>
        </is>
      </c>
      <c r="E846" t="n">
        <v>9</v>
      </c>
      <c r="F846" t="inlineStr">
        <is>
          <t>C  S ANTENNAS</t>
        </is>
      </c>
      <c r="G846" s="4" t="n">
        <v>43494</v>
      </c>
      <c r="H846" t="n">
        <v>160</v>
      </c>
      <c r="I846" t="inlineStr">
        <is>
          <t>JA1945</t>
        </is>
      </c>
      <c r="K846" s="232" t="n">
        <v>2546.1</v>
      </c>
      <c r="L846" s="230" t="n">
        <v>2481.12</v>
      </c>
      <c r="M846" s="232">
        <f>K846-L846</f>
        <v/>
      </c>
      <c r="P846" s="19">
        <f>(K846/L846)-1</f>
        <v/>
      </c>
    </row>
    <row r="847">
      <c r="A847" t="n">
        <v>46</v>
      </c>
      <c r="B847" t="inlineStr">
        <is>
          <t>SPE7M3-19-P-0591</t>
        </is>
      </c>
      <c r="E847" t="n">
        <v>28</v>
      </c>
      <c r="F847" s="51" t="inlineStr">
        <is>
          <t>PREECE PAR Cancel</t>
        </is>
      </c>
      <c r="G847" s="4" t="n">
        <v>43494</v>
      </c>
      <c r="H847" t="n">
        <v>240</v>
      </c>
      <c r="K847" s="232" t="n">
        <v>0</v>
      </c>
      <c r="L847" t="n">
        <v>0</v>
      </c>
      <c r="M847" s="232">
        <f>K847-L847</f>
        <v/>
      </c>
      <c r="P847" s="19">
        <f>(K847/L847)-1</f>
        <v/>
      </c>
    </row>
    <row r="848">
      <c r="A848" t="n">
        <v>47</v>
      </c>
      <c r="B848" t="inlineStr">
        <is>
          <t>SPE7M8-19-P-1289</t>
        </is>
      </c>
      <c r="E848" t="n">
        <v>8</v>
      </c>
      <c r="F848" t="inlineStr">
        <is>
          <t>INDECO</t>
        </is>
      </c>
      <c r="G848" s="4" t="n">
        <v>43495</v>
      </c>
      <c r="I848" t="inlineStr">
        <is>
          <t>JA1947</t>
        </is>
      </c>
      <c r="K848" s="232" t="n">
        <v>538.4</v>
      </c>
      <c r="L848" s="230" t="n">
        <v>499.92</v>
      </c>
      <c r="M848" s="232">
        <f>K848-L848</f>
        <v/>
      </c>
      <c r="P848" s="19">
        <f>(K848/L848)-1</f>
        <v/>
      </c>
    </row>
    <row r="849">
      <c r="A849" t="n">
        <v>48</v>
      </c>
      <c r="B849" t="inlineStr">
        <is>
          <t>SPE4A6-19-V-7847</t>
        </is>
      </c>
      <c r="E849" t="n">
        <v>12</v>
      </c>
      <c r="F849" t="inlineStr">
        <is>
          <t>Glenair</t>
        </is>
      </c>
      <c r="G849" s="4" t="n">
        <v>43495</v>
      </c>
      <c r="H849" t="n">
        <v>160</v>
      </c>
      <c r="I849" t="inlineStr">
        <is>
          <t>JA1948</t>
        </is>
      </c>
      <c r="K849" s="232" t="n">
        <v>8778.48</v>
      </c>
      <c r="L849" s="230">
        <f>523*12</f>
        <v/>
      </c>
      <c r="M849" s="232">
        <f>K849-L849</f>
        <v/>
      </c>
      <c r="P849" s="19">
        <f>(K849/L849)-1</f>
        <v/>
      </c>
    </row>
    <row r="850">
      <c r="A850" t="n">
        <v>49</v>
      </c>
      <c r="B850" t="inlineStr">
        <is>
          <t>SPE4A4-19-V-3652</t>
        </is>
      </c>
      <c r="E850" t="n">
        <v>1</v>
      </c>
      <c r="F850" s="51" t="inlineStr">
        <is>
          <t>Cameron PAR</t>
        </is>
      </c>
      <c r="G850" s="4" t="n">
        <v>43495</v>
      </c>
      <c r="H850" t="n">
        <v>140</v>
      </c>
      <c r="K850" s="232" t="n">
        <v>0</v>
      </c>
      <c r="L850" s="230" t="n">
        <v>0</v>
      </c>
      <c r="M850" s="232">
        <f>K850-L850</f>
        <v/>
      </c>
      <c r="P850" s="19">
        <f>(K850/L850)-1</f>
        <v/>
      </c>
    </row>
    <row r="851">
      <c r="A851" t="n">
        <v>50</v>
      </c>
      <c r="B851" t="inlineStr">
        <is>
          <t>SPE7M5-19-V-4883</t>
        </is>
      </c>
      <c r="E851" t="n">
        <v>1</v>
      </c>
      <c r="F851" t="inlineStr">
        <is>
          <t>Glenair</t>
        </is>
      </c>
      <c r="G851" s="4" t="n">
        <v>43495</v>
      </c>
      <c r="K851" s="232" t="n">
        <v>773</v>
      </c>
      <c r="L851" s="230" t="n">
        <v>737.54</v>
      </c>
      <c r="M851" s="232">
        <f>K851-L851</f>
        <v/>
      </c>
      <c r="P851" s="19">
        <f>(K851/L851)-1</f>
        <v/>
      </c>
    </row>
    <row r="852">
      <c r="A852" t="n">
        <v>51</v>
      </c>
      <c r="B852" t="inlineStr">
        <is>
          <t>SPE4A0-19-V-0491</t>
        </is>
      </c>
      <c r="E852" t="n">
        <v>1</v>
      </c>
      <c r="F852" s="51" t="inlineStr">
        <is>
          <t>Cameron PAR</t>
        </is>
      </c>
      <c r="G852" s="4" t="n">
        <v>43496</v>
      </c>
      <c r="K852" s="232" t="n">
        <v>2042</v>
      </c>
      <c r="L852" s="230" t="n">
        <v>2042</v>
      </c>
      <c r="M852" s="232">
        <f>K852-L852</f>
        <v/>
      </c>
      <c r="P852" s="19">
        <f>(K852/L852)-1</f>
        <v/>
      </c>
    </row>
    <row r="853">
      <c r="A853" t="n">
        <v>52</v>
      </c>
      <c r="B853" t="inlineStr">
        <is>
          <t>SPE5EM-19-V-2405</t>
        </is>
      </c>
      <c r="E853" t="n">
        <v>50</v>
      </c>
      <c r="F853" t="inlineStr">
        <is>
          <t>DRUCK</t>
        </is>
      </c>
      <c r="G853" s="4" t="n">
        <v>43496</v>
      </c>
      <c r="I853" t="inlineStr">
        <is>
          <t>JA1952</t>
        </is>
      </c>
      <c r="K853" s="232" t="n">
        <v>13498</v>
      </c>
      <c r="L853" s="230" t="n">
        <v>13100</v>
      </c>
      <c r="M853" s="232">
        <f>K853-L853</f>
        <v/>
      </c>
      <c r="P853" s="19">
        <f>(K853/L853)-1</f>
        <v/>
      </c>
    </row>
    <row r="854">
      <c r="K854" s="243">
        <f>SUM(K802:K853)</f>
        <v/>
      </c>
      <c r="L854" s="240">
        <f>SUM(L802:L853)</f>
        <v/>
      </c>
      <c r="M854" s="243">
        <f>K854-L854</f>
        <v/>
      </c>
      <c r="P854" s="92">
        <f>(K854/L854)-1</f>
        <v/>
      </c>
    </row>
    <row customHeight="1" ht="18.75" r="855">
      <c r="B855" s="162" t="n">
        <v>43497</v>
      </c>
    </row>
    <row r="856">
      <c r="A856" t="n">
        <v>1</v>
      </c>
      <c r="B856" t="inlineStr">
        <is>
          <t>SPE7M1-19-V-3759</t>
        </is>
      </c>
      <c r="E856" t="n">
        <v>20</v>
      </c>
      <c r="F856" t="inlineStr">
        <is>
          <t>DRUCK</t>
        </is>
      </c>
      <c r="G856" s="4" t="n">
        <v>43501</v>
      </c>
      <c r="H856" t="n">
        <v>140</v>
      </c>
      <c r="I856" t="inlineStr">
        <is>
          <t>FE1901</t>
        </is>
      </c>
      <c r="K856" s="230" t="n">
        <v>16715.4</v>
      </c>
      <c r="L856" s="230" t="n">
        <v>16600</v>
      </c>
      <c r="M856" s="232">
        <f>K856-L856</f>
        <v/>
      </c>
      <c r="P856" s="19">
        <f>(K856/L856)-1</f>
        <v/>
      </c>
    </row>
    <row r="857">
      <c r="A857" t="n">
        <v>2</v>
      </c>
      <c r="B857" s="260" t="inlineStr">
        <is>
          <t>SPE7L0-19-V-3024</t>
        </is>
      </c>
      <c r="E857" t="n">
        <v>1</v>
      </c>
      <c r="F857" t="inlineStr">
        <is>
          <t>HIAB</t>
        </is>
      </c>
      <c r="G857" s="4" t="n">
        <v>43501</v>
      </c>
      <c r="I857" t="inlineStr">
        <is>
          <t>FE1902</t>
        </is>
      </c>
      <c r="K857" s="230" t="n">
        <v>4224.55</v>
      </c>
      <c r="L857" s="230" t="n">
        <v>4136.41</v>
      </c>
      <c r="M857" s="232">
        <f>K857-L857</f>
        <v/>
      </c>
      <c r="P857" s="19">
        <f>(K857/L857)-1</f>
        <v/>
      </c>
      <c r="S857" s="233">
        <f>L856+L857+L862+L864+L865+L866+L867+L868+L869+L870+L871+L872+L873+L874+L875+L879+L881+L882+L883+L885+L886+L887+L888+L889+L890+L891+L892+L893+L894+L896+L897+L900+L901</f>
        <v/>
      </c>
    </row>
    <row r="858">
      <c r="A858" t="n">
        <v>3</v>
      </c>
      <c r="B858" t="inlineStr">
        <is>
          <t>SPE5EK-19-V-2429</t>
        </is>
      </c>
      <c r="E858" t="n">
        <v>2434</v>
      </c>
      <c r="F858" t="inlineStr">
        <is>
          <t>Molded Devices</t>
        </is>
      </c>
      <c r="G858" s="4" t="n">
        <v>43501</v>
      </c>
      <c r="H858" t="n">
        <v>120</v>
      </c>
      <c r="I858" t="inlineStr">
        <is>
          <t>FE1903</t>
        </is>
      </c>
      <c r="K858" s="230" t="n">
        <v>1849.84</v>
      </c>
      <c r="L858" s="230" t="n">
        <v>1425</v>
      </c>
      <c r="M858" s="232">
        <f>K858-L858</f>
        <v/>
      </c>
      <c r="N858">
        <f>16.52*3</f>
        <v/>
      </c>
      <c r="P858" s="19">
        <f>(K858/L858)-1</f>
        <v/>
      </c>
    </row>
    <row r="859">
      <c r="A859" t="n">
        <v>4</v>
      </c>
      <c r="B859" s="260" t="inlineStr">
        <is>
          <t>SPE5EJ-19-V-2693</t>
        </is>
      </c>
      <c r="E859" t="n">
        <v>26</v>
      </c>
      <c r="F859" s="64" t="inlineStr">
        <is>
          <t>Lee Spring Qty50</t>
        </is>
      </c>
      <c r="G859" s="4" t="n">
        <v>43501</v>
      </c>
      <c r="I859" t="inlineStr">
        <is>
          <t>FE1904</t>
        </is>
      </c>
      <c r="K859" s="230" t="n">
        <v>275.08</v>
      </c>
      <c r="L859" s="230" t="n">
        <v>285.5</v>
      </c>
      <c r="M859" s="232">
        <f>K859-L859</f>
        <v/>
      </c>
      <c r="P859" s="19">
        <f>(K859/L859)-1</f>
        <v/>
      </c>
    </row>
    <row r="860">
      <c r="A860" t="n">
        <v>5</v>
      </c>
      <c r="B860" t="inlineStr">
        <is>
          <t>SPE5E8-19-V-3643</t>
        </is>
      </c>
      <c r="E860" t="n">
        <v>4</v>
      </c>
      <c r="F860" s="64" t="inlineStr">
        <is>
          <t>HIAB QTY 5</t>
        </is>
      </c>
      <c r="G860" s="4" t="n">
        <v>43501</v>
      </c>
      <c r="H860" t="n">
        <v>120</v>
      </c>
      <c r="I860" t="inlineStr">
        <is>
          <t>FE1905</t>
        </is>
      </c>
      <c r="K860" s="230" t="n">
        <v>39.52</v>
      </c>
      <c r="L860" s="230" t="n">
        <v>18.38</v>
      </c>
      <c r="M860" s="232">
        <f>K860-L860</f>
        <v/>
      </c>
      <c r="P860" s="19">
        <f>(K860/L860)-1</f>
        <v/>
      </c>
    </row>
    <row r="861">
      <c r="A861" t="n">
        <v>6</v>
      </c>
      <c r="B861" t="inlineStr">
        <is>
          <t>SPE5EK-19-V-2480</t>
        </is>
      </c>
      <c r="E861" t="n">
        <v>6</v>
      </c>
      <c r="F861" t="inlineStr">
        <is>
          <t>KDSTI</t>
        </is>
      </c>
      <c r="G861" s="4" t="n">
        <v>43501</v>
      </c>
      <c r="H861" t="n">
        <v>160</v>
      </c>
      <c r="I861" t="inlineStr">
        <is>
          <t>FE1906</t>
        </is>
      </c>
      <c r="K861" s="230" t="n">
        <v>2849.16</v>
      </c>
      <c r="L861" s="230" t="n">
        <v>2774.4</v>
      </c>
      <c r="M861" s="232">
        <f>K861-L861</f>
        <v/>
      </c>
      <c r="P861" s="19">
        <f>(K861/L861)-1</f>
        <v/>
      </c>
    </row>
    <row r="862">
      <c r="A862" t="n">
        <v>7</v>
      </c>
      <c r="B862" t="inlineStr">
        <is>
          <t>SPE5E8-19-P-1307</t>
        </is>
      </c>
      <c r="D862" s="234" t="inlineStr">
        <is>
          <t>5310-01-676-7282</t>
        </is>
      </c>
      <c r="E862" t="n">
        <v>10</v>
      </c>
      <c r="F862" t="inlineStr">
        <is>
          <t>NAFCO</t>
        </is>
      </c>
      <c r="G862" s="4" t="n">
        <v>43502</v>
      </c>
      <c r="I862" t="inlineStr">
        <is>
          <t>FE1907</t>
        </is>
      </c>
      <c r="K862" s="230" t="n">
        <v>5486.9</v>
      </c>
      <c r="L862" s="230" t="n">
        <v>5302.1</v>
      </c>
      <c r="M862" s="232">
        <f>K862-L862</f>
        <v/>
      </c>
      <c r="P862" s="19">
        <f>(K862/L862)-1</f>
        <v/>
      </c>
    </row>
    <row r="863">
      <c r="A863" t="n">
        <v>8</v>
      </c>
      <c r="B863" t="inlineStr">
        <is>
          <t>SPE7MC-19-V-4311</t>
        </is>
      </c>
      <c r="E863" t="n">
        <v>14</v>
      </c>
      <c r="F863" t="inlineStr">
        <is>
          <t>HIAB</t>
        </is>
      </c>
      <c r="G863" s="4" t="n">
        <v>43502</v>
      </c>
      <c r="I863" t="inlineStr">
        <is>
          <t>FE1908</t>
        </is>
      </c>
      <c r="K863" s="230" t="n">
        <v>2012.64</v>
      </c>
      <c r="L863" s="230" t="n">
        <v>1974.98</v>
      </c>
      <c r="M863" s="232">
        <f>K863-L863</f>
        <v/>
      </c>
      <c r="P863" s="19">
        <f>(K863/L863)-1</f>
        <v/>
      </c>
    </row>
    <row r="864">
      <c r="A864" t="n">
        <v>9</v>
      </c>
      <c r="B864" s="260" t="inlineStr">
        <is>
          <t>SPE7M5-19-V-5330</t>
        </is>
      </c>
      <c r="E864" t="n">
        <v>49</v>
      </c>
      <c r="F864" t="inlineStr">
        <is>
          <t>Data Delay</t>
        </is>
      </c>
      <c r="G864" s="4" t="n">
        <v>43502</v>
      </c>
      <c r="I864" t="inlineStr">
        <is>
          <t>FE1909</t>
        </is>
      </c>
      <c r="K864" s="230" t="n">
        <v>1978.13</v>
      </c>
      <c r="L864" s="230" t="n">
        <v>1862</v>
      </c>
      <c r="M864" s="232">
        <f>K864-L864</f>
        <v/>
      </c>
      <c r="P864" s="19">
        <f>(K864/L864)-1</f>
        <v/>
      </c>
    </row>
    <row r="865">
      <c r="A865" t="n">
        <v>10</v>
      </c>
      <c r="B865" t="inlineStr">
        <is>
          <t>SPE7M5-19-V-5162</t>
        </is>
      </c>
      <c r="E865" t="n">
        <v>27</v>
      </c>
      <c r="F865" t="inlineStr">
        <is>
          <t>Glenair</t>
        </is>
      </c>
      <c r="G865" s="4" t="n">
        <v>43502</v>
      </c>
      <c r="K865" s="230" t="n">
        <v>1071.63</v>
      </c>
      <c r="L865" s="230" t="n">
        <v>1197</v>
      </c>
      <c r="M865" s="232">
        <f>K865-L865</f>
        <v/>
      </c>
      <c r="P865" s="19">
        <f>(K865/L865)-1</f>
        <v/>
      </c>
    </row>
    <row r="866">
      <c r="A866" t="n">
        <v>11</v>
      </c>
      <c r="B866" t="inlineStr">
        <is>
          <t>SPE8E8-19-V-1076</t>
        </is>
      </c>
      <c r="E866" t="n">
        <v>19</v>
      </c>
      <c r="F866" s="232" t="inlineStr">
        <is>
          <t>Indeco</t>
        </is>
      </c>
      <c r="G866" s="4" t="n">
        <v>43502</v>
      </c>
      <c r="I866" t="inlineStr">
        <is>
          <t>FE1911</t>
        </is>
      </c>
      <c r="K866" s="230" t="n">
        <v>9545.6</v>
      </c>
      <c r="L866" s="230" t="n">
        <v>9348</v>
      </c>
      <c r="M866" s="232">
        <f>K866-L866</f>
        <v/>
      </c>
      <c r="N866" t="n">
        <v>30.14</v>
      </c>
      <c r="P866" s="19">
        <f>(K866/L866)-1</f>
        <v/>
      </c>
    </row>
    <row r="867">
      <c r="A867" t="n">
        <v>12</v>
      </c>
      <c r="B867" t="inlineStr">
        <is>
          <t>SPE7M5-19-V-5118</t>
        </is>
      </c>
      <c r="E867" t="n">
        <v>14</v>
      </c>
      <c r="F867" t="inlineStr">
        <is>
          <t>Glenair</t>
        </is>
      </c>
      <c r="G867" s="4" t="n">
        <v>43502</v>
      </c>
      <c r="K867" s="230" t="n">
        <v>2712.36</v>
      </c>
      <c r="L867" s="230" t="n">
        <v>2749</v>
      </c>
      <c r="M867" s="232">
        <f>K867-L867</f>
        <v/>
      </c>
      <c r="P867" s="19">
        <f>(K867/L867)-1</f>
        <v/>
      </c>
    </row>
    <row r="868">
      <c r="A868" t="n">
        <v>13</v>
      </c>
      <c r="B868" t="inlineStr">
        <is>
          <t>SPE7M1-19-V-3779</t>
        </is>
      </c>
      <c r="E868" t="n">
        <v>2</v>
      </c>
      <c r="F868" t="inlineStr">
        <is>
          <t>Glenair</t>
        </is>
      </c>
      <c r="G868" s="4" t="n">
        <v>43502</v>
      </c>
      <c r="K868" s="230" t="n">
        <v>1778.92</v>
      </c>
      <c r="L868" s="230">
        <f>774.12*2</f>
        <v/>
      </c>
      <c r="M868" s="232">
        <f>K868-L868</f>
        <v/>
      </c>
      <c r="P868" s="19">
        <f>(K868/L868)-1</f>
        <v/>
      </c>
    </row>
    <row r="869">
      <c r="A869" t="n">
        <v>14</v>
      </c>
      <c r="B869" t="inlineStr">
        <is>
          <t>SPE7L3-19-V-3682</t>
        </is>
      </c>
      <c r="E869" t="n">
        <v>8</v>
      </c>
      <c r="F869" t="inlineStr">
        <is>
          <t>HIAB</t>
        </is>
      </c>
      <c r="G869" s="4" t="n">
        <v>43502</v>
      </c>
      <c r="I869" t="inlineStr">
        <is>
          <t>FE1914</t>
        </is>
      </c>
      <c r="K869" s="230" t="n">
        <v>796.96</v>
      </c>
      <c r="L869" s="230" t="n">
        <v>757.52</v>
      </c>
      <c r="M869" s="232">
        <f>K869-L869</f>
        <v/>
      </c>
      <c r="P869" s="19">
        <f>(K869/L869)-1</f>
        <v/>
      </c>
    </row>
    <row r="870">
      <c r="A870" t="n">
        <v>15</v>
      </c>
      <c r="B870" t="inlineStr">
        <is>
          <t>SPE7M1-19-V-3860</t>
        </is>
      </c>
      <c r="E870" t="n">
        <v>3</v>
      </c>
      <c r="F870" t="inlineStr">
        <is>
          <t>Glenair</t>
        </is>
      </c>
      <c r="G870" s="4" t="n">
        <v>43502</v>
      </c>
      <c r="K870" s="230" t="n">
        <v>1274.49</v>
      </c>
      <c r="L870" s="255">
        <f>365.88*3</f>
        <v/>
      </c>
      <c r="M870" s="232">
        <f>K870-L870</f>
        <v/>
      </c>
      <c r="P870" s="19">
        <f>(K870/L870)-1</f>
        <v/>
      </c>
    </row>
    <row r="871">
      <c r="A871" t="n">
        <v>16</v>
      </c>
      <c r="B871" t="inlineStr">
        <is>
          <t>SPE7M5-19-V-5105</t>
        </is>
      </c>
      <c r="D871" s="234" t="n">
        <v>5935015740494</v>
      </c>
      <c r="E871" t="n">
        <v>14</v>
      </c>
      <c r="F871" t="inlineStr">
        <is>
          <t>APPLIED SPECIALTIES</t>
        </is>
      </c>
      <c r="G871" s="4" t="n">
        <v>43502</v>
      </c>
      <c r="I871" t="inlineStr">
        <is>
          <t>FE1916</t>
        </is>
      </c>
      <c r="K871" s="230" t="n">
        <v>1604.82</v>
      </c>
      <c r="L871" s="230" t="n">
        <v>1540</v>
      </c>
      <c r="M871" s="232">
        <f>K871-L871</f>
        <v/>
      </c>
      <c r="P871" s="19">
        <f>(K871/L871)-1</f>
        <v/>
      </c>
    </row>
    <row r="872">
      <c r="A872" t="n">
        <v>17</v>
      </c>
      <c r="B872" t="inlineStr">
        <is>
          <t>SPE7M1-19-V-3790</t>
        </is>
      </c>
      <c r="D872" s="234" t="n">
        <v>5935016157811</v>
      </c>
      <c r="E872" t="n">
        <v>65</v>
      </c>
      <c r="F872" s="64" t="inlineStr">
        <is>
          <t>Glenair Qty250</t>
        </is>
      </c>
      <c r="G872" s="4" t="n">
        <v>43502</v>
      </c>
      <c r="I872" t="inlineStr">
        <is>
          <t>FE1917</t>
        </is>
      </c>
      <c r="K872" s="230" t="n">
        <v>3290.3</v>
      </c>
      <c r="L872" s="230">
        <f>42.28*65</f>
        <v/>
      </c>
      <c r="M872" s="232">
        <f>K872-L872</f>
        <v/>
      </c>
      <c r="P872" s="19">
        <f>(K872/L872)-1</f>
        <v/>
      </c>
    </row>
    <row r="873">
      <c r="A873" t="n">
        <v>18</v>
      </c>
      <c r="B873" t="inlineStr">
        <is>
          <t>SPE7M5-19-V-5097</t>
        </is>
      </c>
      <c r="E873" t="n">
        <v>17</v>
      </c>
      <c r="F873" t="inlineStr">
        <is>
          <t>Glenair</t>
        </is>
      </c>
      <c r="G873" s="4" t="n">
        <v>43502</v>
      </c>
      <c r="K873" s="230" t="n">
        <v>2106.47</v>
      </c>
      <c r="L873" s="230">
        <f>128*17</f>
        <v/>
      </c>
      <c r="M873" s="232">
        <f>K873-L873</f>
        <v/>
      </c>
      <c r="P873" s="19">
        <f>(K873/L873)-1</f>
        <v/>
      </c>
    </row>
    <row r="874">
      <c r="A874" t="n">
        <v>19</v>
      </c>
      <c r="B874" t="inlineStr">
        <is>
          <t>SPE7M5-19-V-5417</t>
        </is>
      </c>
      <c r="E874" t="n">
        <v>9</v>
      </c>
      <c r="F874" t="inlineStr">
        <is>
          <t>Glenair</t>
        </is>
      </c>
      <c r="G874" s="4" t="n">
        <v>43503</v>
      </c>
      <c r="K874" s="230" t="n">
        <v>2451.6</v>
      </c>
      <c r="L874" s="255">
        <f>243.87*10</f>
        <v/>
      </c>
      <c r="M874" s="232">
        <f>K874-L874</f>
        <v/>
      </c>
      <c r="P874" s="19">
        <f>(K874/L874)-1</f>
        <v/>
      </c>
    </row>
    <row r="875">
      <c r="A875" t="n">
        <v>20</v>
      </c>
      <c r="B875" t="inlineStr">
        <is>
          <t>SPE7M1-19-V-4038</t>
        </is>
      </c>
      <c r="E875" t="n">
        <v>10</v>
      </c>
      <c r="F875" t="inlineStr">
        <is>
          <t>Glenair</t>
        </is>
      </c>
      <c r="G875" s="4" t="n">
        <v>43503</v>
      </c>
      <c r="K875" s="230" t="n">
        <v>693.9</v>
      </c>
      <c r="L875" s="230">
        <f>72.24*10</f>
        <v/>
      </c>
      <c r="M875" s="232">
        <f>K875-L875</f>
        <v/>
      </c>
      <c r="P875" s="19">
        <f>(K875/L875)-1</f>
        <v/>
      </c>
    </row>
    <row r="876">
      <c r="A876" t="n">
        <v>21</v>
      </c>
      <c r="B876" t="inlineStr">
        <is>
          <t>SPE7L3-19-V-3810</t>
        </is>
      </c>
      <c r="E876" t="n">
        <v>8</v>
      </c>
      <c r="F876" t="inlineStr">
        <is>
          <t>HIAB</t>
        </is>
      </c>
      <c r="G876" s="4" t="n">
        <v>43503</v>
      </c>
      <c r="I876" t="inlineStr">
        <is>
          <t>FE1921</t>
        </is>
      </c>
      <c r="K876" s="230" t="n">
        <v>1491.04</v>
      </c>
      <c r="L876" s="230" t="n">
        <v>1442.74</v>
      </c>
      <c r="M876" s="232">
        <f>K876-L876</f>
        <v/>
      </c>
      <c r="P876" s="19">
        <f>(K876/L876)-1</f>
        <v/>
      </c>
    </row>
    <row r="877">
      <c r="A877" t="n">
        <v>22</v>
      </c>
      <c r="B877" t="inlineStr">
        <is>
          <t>SPE7L3-19-V-3785</t>
        </is>
      </c>
      <c r="E877" t="n">
        <v>49</v>
      </c>
      <c r="F877" t="inlineStr">
        <is>
          <t>MAFCO</t>
        </is>
      </c>
      <c r="G877" s="4" t="n">
        <v>43503</v>
      </c>
      <c r="I877" t="inlineStr">
        <is>
          <t>FE1922</t>
        </is>
      </c>
      <c r="K877" s="230" t="n">
        <v>7565.11</v>
      </c>
      <c r="L877" s="230" t="n">
        <v>6795.77</v>
      </c>
      <c r="M877" s="232">
        <f>K877-L877</f>
        <v/>
      </c>
      <c r="P877" s="19">
        <f>(K877/L877)-1</f>
        <v/>
      </c>
    </row>
    <row r="878">
      <c r="A878" t="n">
        <v>23</v>
      </c>
      <c r="B878" t="inlineStr">
        <is>
          <t>SPE4A6-19-P-8694</t>
        </is>
      </c>
      <c r="E878" t="n">
        <v>4</v>
      </c>
      <c r="F878" t="inlineStr">
        <is>
          <t>GEMS</t>
        </is>
      </c>
      <c r="G878" s="4" t="n">
        <v>43503</v>
      </c>
      <c r="I878" t="inlineStr">
        <is>
          <t>FE1923</t>
        </is>
      </c>
      <c r="K878" s="230" t="n">
        <v>2987.92</v>
      </c>
      <c r="L878" s="230">
        <f>720*4</f>
        <v/>
      </c>
      <c r="M878" s="232">
        <f>K878-L878</f>
        <v/>
      </c>
      <c r="O878" s="230" t="n"/>
      <c r="P878" s="19">
        <f>(K878/L878)-1</f>
        <v/>
      </c>
    </row>
    <row r="879">
      <c r="A879" t="n">
        <v>24</v>
      </c>
      <c r="B879" t="inlineStr">
        <is>
          <t>SPE7M8-19-V-1404</t>
        </is>
      </c>
      <c r="D879" s="234" t="n">
        <v>5930011262867</v>
      </c>
      <c r="E879" t="n">
        <v>21</v>
      </c>
      <c r="F879" s="64" t="inlineStr">
        <is>
          <t>Cole Qty 25</t>
        </is>
      </c>
      <c r="G879" s="4" t="n">
        <v>43504</v>
      </c>
      <c r="H879" s="4" t="n">
        <v>43664</v>
      </c>
      <c r="I879" t="inlineStr">
        <is>
          <t>FE1924</t>
        </is>
      </c>
      <c r="K879" s="230" t="n">
        <v>8106</v>
      </c>
      <c r="L879" s="230" t="n">
        <v>8209</v>
      </c>
      <c r="M879" s="232">
        <f>K879-L879</f>
        <v/>
      </c>
      <c r="P879" s="19">
        <f>(K879/L879)-1</f>
        <v/>
      </c>
    </row>
    <row r="880">
      <c r="A880" t="n">
        <v>25</v>
      </c>
      <c r="B880" t="inlineStr">
        <is>
          <t>SPE4A6-19-V-8442</t>
        </is>
      </c>
      <c r="D880" s="234" t="n">
        <v>5975015966883</v>
      </c>
      <c r="E880" t="n">
        <v>102</v>
      </c>
      <c r="F880" t="inlineStr">
        <is>
          <t>Glenair</t>
        </is>
      </c>
      <c r="G880" s="4" t="n">
        <v>43507</v>
      </c>
      <c r="H880" t="inlineStr">
        <is>
          <t>2019 JUL 22</t>
        </is>
      </c>
      <c r="K880" s="256" t="n">
        <v>5289.72</v>
      </c>
      <c r="L880" s="255">
        <f>50.71*102</f>
        <v/>
      </c>
      <c r="M880" s="232">
        <f>K880-L880</f>
        <v/>
      </c>
      <c r="P880" s="19">
        <f>(K880/L880)-1</f>
        <v/>
      </c>
    </row>
    <row r="881">
      <c r="A881" t="n">
        <v>26</v>
      </c>
      <c r="B881" t="inlineStr">
        <is>
          <t>SPE4A4-19-V-3879</t>
        </is>
      </c>
      <c r="D881" s="234" t="n">
        <v>6150014934376</v>
      </c>
      <c r="E881" t="n">
        <v>1</v>
      </c>
      <c r="F881" t="inlineStr">
        <is>
          <t>GEMS</t>
        </is>
      </c>
      <c r="G881" s="4" t="n">
        <v>43507</v>
      </c>
      <c r="H881" t="inlineStr">
        <is>
          <t>2019 JUN 11</t>
        </is>
      </c>
      <c r="I881" t="inlineStr">
        <is>
          <t>FE1926</t>
        </is>
      </c>
      <c r="K881" s="256" t="n">
        <v>1283</v>
      </c>
      <c r="L881" s="230" t="n">
        <v>1224</v>
      </c>
      <c r="M881" s="232">
        <f>K881-L881</f>
        <v/>
      </c>
      <c r="P881" s="19">
        <f>(K881/L881)-1</f>
        <v/>
      </c>
    </row>
    <row r="882">
      <c r="A882" t="n">
        <v>27</v>
      </c>
      <c r="B882" t="inlineStr">
        <is>
          <t>SPE4A6-19-V-8448</t>
        </is>
      </c>
      <c r="D882" s="234" t="n">
        <v>6150992596415</v>
      </c>
      <c r="E882" t="n">
        <v>16</v>
      </c>
      <c r="F882" t="inlineStr">
        <is>
          <t>HIAB</t>
        </is>
      </c>
      <c r="G882" s="4" t="n">
        <v>43507</v>
      </c>
      <c r="H882" t="inlineStr">
        <is>
          <t>2019 JUL 22</t>
        </is>
      </c>
      <c r="I882" t="inlineStr">
        <is>
          <t>FE1927</t>
        </is>
      </c>
      <c r="K882" s="256" t="n">
        <v>5017.6</v>
      </c>
      <c r="L882" s="230">
        <f>4930.24+12.88</f>
        <v/>
      </c>
      <c r="M882" s="232">
        <f>K882-L882</f>
        <v/>
      </c>
      <c r="P882" s="19">
        <f>(K882/L882)-1</f>
        <v/>
      </c>
    </row>
    <row r="883">
      <c r="A883" t="n">
        <v>28</v>
      </c>
      <c r="B883" t="inlineStr">
        <is>
          <t>SPE7M5-19-V-5675</t>
        </is>
      </c>
      <c r="D883" s="234" t="n">
        <v>5996014740545</v>
      </c>
      <c r="E883" t="n">
        <v>14</v>
      </c>
      <c r="F883" t="inlineStr">
        <is>
          <t>RADIO DESIGN LABS</t>
        </is>
      </c>
      <c r="G883" s="4" t="n">
        <v>43507</v>
      </c>
      <c r="H883" t="inlineStr">
        <is>
          <t>2019 JUN 11</t>
        </is>
      </c>
      <c r="K883" s="256" t="n">
        <v>1707.44</v>
      </c>
      <c r="L883" s="255" t="n">
        <v>1640</v>
      </c>
      <c r="M883" s="232">
        <f>K883-L883</f>
        <v/>
      </c>
      <c r="P883" s="19">
        <f>(K883/L883)-1</f>
        <v/>
      </c>
    </row>
    <row r="884">
      <c r="A884" t="n">
        <v>29</v>
      </c>
      <c r="B884" t="inlineStr">
        <is>
          <t>SPE7M8-19-V-1433</t>
        </is>
      </c>
      <c r="D884" s="234" t="n">
        <v>5930011265326</v>
      </c>
      <c r="E884" t="n">
        <v>23</v>
      </c>
      <c r="F884" t="inlineStr">
        <is>
          <t>Cole</t>
        </is>
      </c>
      <c r="G884" s="4" t="n">
        <v>43507</v>
      </c>
      <c r="H884" t="inlineStr">
        <is>
          <t>2019 JUL 22</t>
        </is>
      </c>
      <c r="I884" t="inlineStr">
        <is>
          <t>FE1929</t>
        </is>
      </c>
      <c r="K884" s="256" t="n">
        <v>9790.870000000001</v>
      </c>
      <c r="L884" s="230" t="n">
        <v>9382</v>
      </c>
      <c r="M884" s="232">
        <f>K884-L884</f>
        <v/>
      </c>
      <c r="P884" s="19">
        <f>(K884/L884)-1</f>
        <v/>
      </c>
    </row>
    <row r="885">
      <c r="A885" t="n">
        <v>30</v>
      </c>
      <c r="B885" t="inlineStr">
        <is>
          <t>SPE7M1-19-V-4219</t>
        </is>
      </c>
      <c r="D885" s="234" t="n">
        <v>5935013670500</v>
      </c>
      <c r="E885" t="n">
        <v>8</v>
      </c>
      <c r="F885" t="inlineStr">
        <is>
          <t>ITT</t>
        </is>
      </c>
      <c r="G885" s="4" t="n">
        <v>43507</v>
      </c>
      <c r="H885" t="inlineStr">
        <is>
          <t>2019 JUL 31</t>
        </is>
      </c>
      <c r="I885" t="inlineStr">
        <is>
          <t>FE1930</t>
        </is>
      </c>
      <c r="K885" s="256" t="n">
        <v>3421.52</v>
      </c>
      <c r="L885" s="230" t="n">
        <v>3341.7</v>
      </c>
      <c r="M885" s="232">
        <f>K885-L885</f>
        <v/>
      </c>
      <c r="P885" s="19">
        <f>(K885/L885)-1</f>
        <v/>
      </c>
    </row>
    <row r="886">
      <c r="A886" t="n">
        <v>31</v>
      </c>
      <c r="B886" t="inlineStr">
        <is>
          <t>SPE5E7-19-V-2579</t>
        </is>
      </c>
      <c r="D886" s="234" t="n">
        <v>5315016292965</v>
      </c>
      <c r="E886" t="n">
        <v>67</v>
      </c>
      <c r="F886" t="inlineStr">
        <is>
          <t>Avibank</t>
        </is>
      </c>
      <c r="G886" s="4" t="n">
        <v>43507</v>
      </c>
      <c r="H886" t="inlineStr">
        <is>
          <t>2019 JUL 31</t>
        </is>
      </c>
      <c r="I886" t="inlineStr">
        <is>
          <t>FE1931</t>
        </is>
      </c>
      <c r="K886" s="256" t="n">
        <v>2369.79</v>
      </c>
      <c r="L886" s="230" t="n">
        <v>2452</v>
      </c>
      <c r="M886" s="232">
        <f>K886-L886</f>
        <v/>
      </c>
      <c r="P886" s="19">
        <f>(K886/L886)-1</f>
        <v/>
      </c>
    </row>
    <row r="887">
      <c r="A887" t="n">
        <v>32</v>
      </c>
      <c r="B887" t="inlineStr">
        <is>
          <t>SPE7M0-19-P-1626</t>
        </is>
      </c>
      <c r="D887" s="234" t="n">
        <v>6625014372464</v>
      </c>
      <c r="E887" t="n">
        <v>1</v>
      </c>
      <c r="F887" t="inlineStr">
        <is>
          <t>DRUCK</t>
        </is>
      </c>
      <c r="G887" s="4" t="n">
        <v>43507</v>
      </c>
      <c r="H887" t="inlineStr">
        <is>
          <t>2019 JUL 31</t>
        </is>
      </c>
      <c r="I887" t="inlineStr">
        <is>
          <t>FE1932</t>
        </is>
      </c>
      <c r="K887" s="232" t="n">
        <v>845.47</v>
      </c>
      <c r="L887" s="230" t="n">
        <v>822</v>
      </c>
      <c r="M887" s="232">
        <f>K887-L887</f>
        <v/>
      </c>
      <c r="P887" s="19">
        <f>(K887/L887)-1</f>
        <v/>
      </c>
    </row>
    <row r="888">
      <c r="A888" t="n">
        <v>33</v>
      </c>
      <c r="B888" t="inlineStr">
        <is>
          <t>SPE7MC-19-V-4634</t>
        </is>
      </c>
      <c r="D888" s="234" t="n">
        <v>5935011013539</v>
      </c>
      <c r="E888" t="n">
        <v>16</v>
      </c>
      <c r="F888" t="inlineStr">
        <is>
          <t>Glenair</t>
        </is>
      </c>
      <c r="G888" s="4" t="n">
        <v>43509</v>
      </c>
      <c r="H888" t="inlineStr">
        <is>
          <t>2019 JUL 23</t>
        </is>
      </c>
      <c r="K888" s="232" t="n">
        <v>4782.24</v>
      </c>
      <c r="L888" s="255">
        <f>308*16</f>
        <v/>
      </c>
      <c r="M888" s="232">
        <f>K888-L888</f>
        <v/>
      </c>
      <c r="P888" s="19">
        <f>(K888/L888)-1</f>
        <v/>
      </c>
    </row>
    <row r="889">
      <c r="A889" t="n">
        <v>34</v>
      </c>
      <c r="B889" t="inlineStr">
        <is>
          <t>SPE7M1-19-V-4303</t>
        </is>
      </c>
      <c r="D889" s="234" t="n">
        <v>5935016151707</v>
      </c>
      <c r="E889" t="n">
        <v>3</v>
      </c>
      <c r="F889" t="inlineStr">
        <is>
          <t>Glenair</t>
        </is>
      </c>
      <c r="G889" s="4" t="n">
        <v>43509</v>
      </c>
      <c r="H889" t="inlineStr">
        <is>
          <t>2019 JUL 23</t>
        </is>
      </c>
      <c r="K889" s="232" t="n">
        <v>1259.34</v>
      </c>
      <c r="L889" s="255">
        <f>365.88*3</f>
        <v/>
      </c>
      <c r="M889" s="232">
        <f>K889-L889</f>
        <v/>
      </c>
      <c r="P889" s="19">
        <f>(K889/L889)-1</f>
        <v/>
      </c>
    </row>
    <row r="890">
      <c r="A890" t="n">
        <v>35</v>
      </c>
      <c r="B890" t="inlineStr">
        <is>
          <t>SPE4A6-19-V-8849</t>
        </is>
      </c>
      <c r="D890" s="234" t="n">
        <v>6150015770553</v>
      </c>
      <c r="E890" t="n">
        <v>65</v>
      </c>
      <c r="F890" t="inlineStr">
        <is>
          <t>National Inst</t>
        </is>
      </c>
      <c r="G890" s="4" t="n">
        <v>43509</v>
      </c>
      <c r="H890" t="inlineStr">
        <is>
          <t>2019 JUN 13</t>
        </is>
      </c>
      <c r="I890" t="inlineStr">
        <is>
          <t>FE1935</t>
        </is>
      </c>
      <c r="K890" s="232" t="n">
        <v>6228.95</v>
      </c>
      <c r="L890" s="230" t="n">
        <v>6175</v>
      </c>
      <c r="M890" s="232">
        <f>K890-L890</f>
        <v/>
      </c>
      <c r="P890" s="19">
        <f>(K890/L890)-1</f>
        <v/>
      </c>
    </row>
    <row r="891">
      <c r="A891" t="n">
        <v>36</v>
      </c>
      <c r="B891" t="inlineStr">
        <is>
          <t>SPE7M1-19-V-4314</t>
        </is>
      </c>
      <c r="D891" s="234" t="n">
        <v>6625014372465</v>
      </c>
      <c r="E891" t="n">
        <v>3</v>
      </c>
      <c r="F891" t="inlineStr">
        <is>
          <t>Druck</t>
        </is>
      </c>
      <c r="G891" s="4" t="n">
        <v>43509</v>
      </c>
      <c r="H891" t="inlineStr">
        <is>
          <t>2019 JUN 03</t>
        </is>
      </c>
      <c r="I891" t="inlineStr">
        <is>
          <t>FE1936</t>
        </is>
      </c>
      <c r="K891" s="232" t="n">
        <v>22593.33</v>
      </c>
      <c r="L891" s="230" t="n">
        <v>22578.63</v>
      </c>
      <c r="M891" s="232">
        <f>K891-L891</f>
        <v/>
      </c>
      <c r="P891" s="19">
        <f>(K891/L891)-1</f>
        <v/>
      </c>
    </row>
    <row r="892">
      <c r="A892" t="n">
        <v>37</v>
      </c>
      <c r="B892" t="inlineStr">
        <is>
          <t>SPE7MC-19-V-4627</t>
        </is>
      </c>
      <c r="D892" s="234" t="n">
        <v>4810014355671</v>
      </c>
      <c r="E892" t="n">
        <v>5</v>
      </c>
      <c r="F892" t="inlineStr">
        <is>
          <t>Druck</t>
        </is>
      </c>
      <c r="G892" s="4" t="n">
        <v>43509</v>
      </c>
      <c r="H892" t="inlineStr">
        <is>
          <t>2019 JUL 23</t>
        </is>
      </c>
      <c r="I892" t="inlineStr">
        <is>
          <t>FE1937</t>
        </is>
      </c>
      <c r="K892" s="232" t="n">
        <v>4557.35</v>
      </c>
      <c r="L892" s="230" t="n">
        <v>4525</v>
      </c>
      <c r="M892" s="232">
        <f>K892-L892</f>
        <v/>
      </c>
      <c r="P892" s="19">
        <f>(K892/L892)-1</f>
        <v/>
      </c>
    </row>
    <row r="893">
      <c r="A893" t="n">
        <v>38</v>
      </c>
      <c r="B893" t="inlineStr">
        <is>
          <t>SPE7MC-19-V-4623</t>
        </is>
      </c>
      <c r="D893" s="234" t="n">
        <v>5935012542181</v>
      </c>
      <c r="E893" t="n">
        <v>17</v>
      </c>
      <c r="F893" t="inlineStr">
        <is>
          <t>Glenair</t>
        </is>
      </c>
      <c r="G893" s="4" t="n">
        <v>43509</v>
      </c>
      <c r="H893" t="inlineStr">
        <is>
          <t>2019 JUL 23</t>
        </is>
      </c>
      <c r="K893" s="232" t="n">
        <v>2752.98</v>
      </c>
      <c r="L893" s="255">
        <f>167.15*17</f>
        <v/>
      </c>
      <c r="M893" s="232">
        <f>K893-L893</f>
        <v/>
      </c>
      <c r="P893" s="19">
        <f>(K893/L893)-1</f>
        <v/>
      </c>
    </row>
    <row r="894">
      <c r="A894" t="n">
        <v>39</v>
      </c>
      <c r="B894" t="inlineStr">
        <is>
          <t>SPE7MC-19-V-4682</t>
        </is>
      </c>
      <c r="D894" s="234" t="n">
        <v>5935007397495</v>
      </c>
      <c r="E894" t="n">
        <v>45</v>
      </c>
      <c r="F894" s="64" t="inlineStr">
        <is>
          <t>ITTQTY 50</t>
        </is>
      </c>
      <c r="G894" s="4" t="n">
        <v>43510</v>
      </c>
      <c r="H894" t="inlineStr">
        <is>
          <t>2019 AUG 13</t>
        </is>
      </c>
      <c r="I894" t="inlineStr">
        <is>
          <t>FE1939</t>
        </is>
      </c>
      <c r="K894" s="232" t="n">
        <v>15746.85</v>
      </c>
      <c r="L894" s="230" t="n">
        <v>15689</v>
      </c>
      <c r="M894" s="232">
        <f>K894-L894</f>
        <v/>
      </c>
      <c r="P894" s="19">
        <f>(K894/L894)-1</f>
        <v/>
      </c>
    </row>
    <row r="895">
      <c r="A895" t="n">
        <v>40</v>
      </c>
      <c r="B895" t="inlineStr">
        <is>
          <t>SPE4A6-19-V-9167</t>
        </is>
      </c>
      <c r="D895" s="234" t="n">
        <v>6150013389520</v>
      </c>
      <c r="E895" t="n">
        <v>21</v>
      </c>
      <c r="F895" t="inlineStr">
        <is>
          <t>GEMS</t>
        </is>
      </c>
      <c r="G895" s="4" t="n">
        <v>43515</v>
      </c>
      <c r="H895" t="inlineStr">
        <is>
          <t>2019 JUL 29</t>
        </is>
      </c>
      <c r="I895" t="inlineStr">
        <is>
          <t>FE1940</t>
        </is>
      </c>
      <c r="K895" s="232" t="n">
        <v>9639</v>
      </c>
      <c r="L895" s="230" t="n">
        <v>9345</v>
      </c>
      <c r="M895" s="232">
        <f>K895-L895</f>
        <v/>
      </c>
      <c r="P895" s="19">
        <f>(K895/L895)-1</f>
        <v/>
      </c>
    </row>
    <row r="896">
      <c r="A896" t="n">
        <v>41</v>
      </c>
      <c r="B896" t="inlineStr">
        <is>
          <t>SPE7MC-19-V-4770</t>
        </is>
      </c>
      <c r="D896" s="234" t="n">
        <v>5998015867425</v>
      </c>
      <c r="E896" t="n">
        <v>7</v>
      </c>
      <c r="F896" t="inlineStr">
        <is>
          <t>FCX</t>
        </is>
      </c>
      <c r="G896" s="4" t="n">
        <v>43515</v>
      </c>
      <c r="H896" t="inlineStr">
        <is>
          <t>2019 JUL 29</t>
        </is>
      </c>
      <c r="I896" t="inlineStr">
        <is>
          <t>FE1941</t>
        </is>
      </c>
      <c r="K896" s="232" t="n">
        <v>5418.77</v>
      </c>
      <c r="L896" s="255" t="n">
        <v>5334</v>
      </c>
      <c r="M896" s="232">
        <f>K896-L896</f>
        <v/>
      </c>
      <c r="P896" s="19">
        <f>(K896/L896)-1</f>
        <v/>
      </c>
    </row>
    <row r="897">
      <c r="A897" t="n">
        <v>42</v>
      </c>
      <c r="B897" t="inlineStr">
        <is>
          <t>SPE7M5-19-P-4805</t>
        </is>
      </c>
      <c r="D897" s="234" t="n">
        <v>5935009021149</v>
      </c>
      <c r="E897" t="n">
        <v>22</v>
      </c>
      <c r="F897" t="inlineStr">
        <is>
          <t>ITT</t>
        </is>
      </c>
      <c r="G897" s="4" t="n">
        <v>43515</v>
      </c>
      <c r="H897" t="inlineStr">
        <is>
          <t>2019 AUG 19</t>
        </is>
      </c>
      <c r="I897" t="inlineStr">
        <is>
          <t>FE1940</t>
        </is>
      </c>
      <c r="K897" s="232" t="n">
        <v>19404</v>
      </c>
      <c r="L897" s="230" t="n">
        <v>19230.5</v>
      </c>
      <c r="M897" s="232">
        <f>K897-L897</f>
        <v/>
      </c>
      <c r="P897" s="19">
        <f>(K897/L897)-1</f>
        <v/>
      </c>
    </row>
    <row r="898">
      <c r="A898" t="n">
        <v>54</v>
      </c>
      <c r="B898" t="inlineStr">
        <is>
          <t>SPE7M0-19-V-4707</t>
        </is>
      </c>
      <c r="D898" s="234" t="n">
        <v>4720015203957</v>
      </c>
      <c r="E898" t="n">
        <v>14</v>
      </c>
      <c r="F898" t="inlineStr">
        <is>
          <t>HIAB</t>
        </is>
      </c>
      <c r="G898" s="4" t="n">
        <v>43515</v>
      </c>
      <c r="H898" t="inlineStr">
        <is>
          <t>2019 JUL 29</t>
        </is>
      </c>
      <c r="I898" t="inlineStr">
        <is>
          <t>FE1954</t>
        </is>
      </c>
      <c r="K898" s="232" t="n">
        <v>1678.32</v>
      </c>
      <c r="L898" s="230">
        <f>1638.7+27.16</f>
        <v/>
      </c>
      <c r="M898" s="232">
        <f>K898-L898</f>
        <v/>
      </c>
      <c r="P898" s="19">
        <f>(K898/L898)-1</f>
        <v/>
      </c>
    </row>
    <row r="899">
      <c r="A899" t="n">
        <v>55</v>
      </c>
      <c r="B899" t="inlineStr">
        <is>
          <t>SPE7M0-19-V-4705</t>
        </is>
      </c>
      <c r="D899" s="234" t="n">
        <v>4730016712628</v>
      </c>
      <c r="E899" t="n">
        <v>4</v>
      </c>
      <c r="F899" t="inlineStr">
        <is>
          <t>General Rubber</t>
        </is>
      </c>
      <c r="G899" s="4" t="n">
        <v>43515</v>
      </c>
      <c r="H899" t="inlineStr">
        <is>
          <t>2019 JUN 19</t>
        </is>
      </c>
      <c r="I899" s="51" t="n"/>
      <c r="K899" s="232" t="n">
        <v>1051.12</v>
      </c>
      <c r="L899" s="230">
        <f>144*4</f>
        <v/>
      </c>
      <c r="M899" s="232">
        <f>K899-L899</f>
        <v/>
      </c>
      <c r="P899" s="19">
        <f>(K899/L899)-1</f>
        <v/>
      </c>
    </row>
    <row r="900">
      <c r="A900" t="n">
        <v>43</v>
      </c>
      <c r="B900" t="inlineStr">
        <is>
          <t>SPE7M0-19-P-1715</t>
        </is>
      </c>
      <c r="D900" s="234" t="n">
        <v>5315015283667</v>
      </c>
      <c r="E900" t="n">
        <v>12</v>
      </c>
      <c r="F900" t="inlineStr">
        <is>
          <t>AVIBANK</t>
        </is>
      </c>
      <c r="G900" s="4" t="n">
        <v>43516</v>
      </c>
      <c r="H900" t="inlineStr">
        <is>
          <t>2019 JUL 30</t>
        </is>
      </c>
      <c r="I900" t="inlineStr">
        <is>
          <t>FE1941</t>
        </is>
      </c>
      <c r="K900" s="230" t="n">
        <v>816</v>
      </c>
      <c r="L900" s="230" t="n">
        <v>739.08</v>
      </c>
      <c r="M900" s="232">
        <f>K900-L900</f>
        <v/>
      </c>
      <c r="P900" s="19">
        <f>(K900/L900)-1</f>
        <v/>
      </c>
    </row>
    <row r="901">
      <c r="A901" t="n">
        <v>44</v>
      </c>
      <c r="B901" t="inlineStr">
        <is>
          <t>SPE5EK-19-V-2910</t>
        </is>
      </c>
      <c r="D901" s="234" t="n">
        <v>5340013434333</v>
      </c>
      <c r="E901" t="n">
        <v>28</v>
      </c>
      <c r="F901" t="inlineStr">
        <is>
          <t>ITT</t>
        </is>
      </c>
      <c r="G901" s="4" t="n">
        <v>43517</v>
      </c>
      <c r="I901" t="inlineStr">
        <is>
          <t>FE1944</t>
        </is>
      </c>
      <c r="K901" s="230" t="n">
        <v>812</v>
      </c>
      <c r="L901" s="230" t="n">
        <v>582.12</v>
      </c>
      <c r="M901" s="232">
        <f>K901-L901</f>
        <v/>
      </c>
      <c r="P901" s="19">
        <f>(K901/L901)-1</f>
        <v/>
      </c>
    </row>
    <row r="902">
      <c r="A902" t="n">
        <v>45</v>
      </c>
      <c r="B902" t="inlineStr">
        <is>
          <t>SPE7M1-19-V-4510</t>
        </is>
      </c>
      <c r="D902" s="234" t="n">
        <v>5935010409312</v>
      </c>
      <c r="E902" t="n">
        <v>179</v>
      </c>
      <c r="F902" t="inlineStr">
        <is>
          <t>Glenair</t>
        </is>
      </c>
      <c r="G902" s="4" t="n">
        <v>43517</v>
      </c>
      <c r="H902" t="inlineStr">
        <is>
          <t>2019 JUL 31</t>
        </is>
      </c>
      <c r="K902" s="230" t="n">
        <v>3420.69</v>
      </c>
      <c r="L902" s="230">
        <f>19.12*179</f>
        <v/>
      </c>
      <c r="M902" s="232">
        <f>K902-L902</f>
        <v/>
      </c>
      <c r="P902" s="19">
        <f>(K902/L902)-1</f>
        <v/>
      </c>
    </row>
    <row r="903">
      <c r="A903" t="n">
        <v>46</v>
      </c>
      <c r="B903" t="inlineStr">
        <is>
          <t>SPE7M5-19-V-6021</t>
        </is>
      </c>
      <c r="D903" s="234" t="n">
        <v>5935013887039</v>
      </c>
      <c r="E903" t="n">
        <v>80</v>
      </c>
      <c r="F903" s="64" t="inlineStr">
        <is>
          <t>Molded DevicesQty100</t>
        </is>
      </c>
      <c r="G903" s="4" t="n">
        <v>43517</v>
      </c>
      <c r="H903" t="inlineStr">
        <is>
          <t>2019 JUL 31</t>
        </is>
      </c>
      <c r="I903" t="inlineStr">
        <is>
          <t>FE1946</t>
        </is>
      </c>
      <c r="K903" s="230" t="n">
        <v>1166.4</v>
      </c>
      <c r="L903" s="230" t="n">
        <v>1100</v>
      </c>
      <c r="M903" s="232">
        <f>K903-L903</f>
        <v/>
      </c>
      <c r="P903" s="19">
        <f>(K903/L903)-1</f>
        <v/>
      </c>
    </row>
    <row r="904">
      <c r="A904" t="n">
        <v>47</v>
      </c>
      <c r="B904" s="260" t="inlineStr">
        <is>
          <t>SPE4A6-19-V-9410</t>
        </is>
      </c>
      <c r="D904" s="234" t="n">
        <v>6150016462925</v>
      </c>
      <c r="E904" t="n">
        <v>26</v>
      </c>
      <c r="F904" t="inlineStr">
        <is>
          <t>HIAB</t>
        </is>
      </c>
      <c r="G904" s="4" t="n">
        <v>43517</v>
      </c>
      <c r="H904" t="inlineStr">
        <is>
          <t>2019 JUL 31</t>
        </is>
      </c>
      <c r="I904" t="inlineStr">
        <is>
          <t>FE1947</t>
        </is>
      </c>
      <c r="K904" s="230" t="n">
        <v>4676.36</v>
      </c>
      <c r="L904" s="230" t="n">
        <v>4514.12</v>
      </c>
      <c r="M904" s="232">
        <f>K904-L904</f>
        <v/>
      </c>
      <c r="P904" s="19">
        <f>(K904/L904)-1</f>
        <v/>
      </c>
    </row>
    <row r="905">
      <c r="A905" t="n">
        <v>48</v>
      </c>
      <c r="B905" t="inlineStr">
        <is>
          <t>SPE4A0-19-V-0587</t>
        </is>
      </c>
      <c r="D905" s="234" t="n">
        <v>5365012662598</v>
      </c>
      <c r="E905" t="n">
        <v>8</v>
      </c>
      <c r="F905" t="inlineStr">
        <is>
          <t>Timken</t>
        </is>
      </c>
      <c r="G905" s="4" t="n">
        <v>43518</v>
      </c>
      <c r="H905" t="inlineStr">
        <is>
          <t>2019 AUG 01</t>
        </is>
      </c>
      <c r="I905" t="inlineStr">
        <is>
          <t>FE1948</t>
        </is>
      </c>
      <c r="K905" s="230" t="n">
        <v>5788.88</v>
      </c>
      <c r="L905" s="230" t="n">
        <v>5632</v>
      </c>
      <c r="M905" s="232">
        <f>K905-L905</f>
        <v/>
      </c>
      <c r="P905" s="19">
        <f>(K905/L905)-1</f>
        <v/>
      </c>
    </row>
    <row r="906">
      <c r="A906" t="n">
        <v>49</v>
      </c>
      <c r="B906" t="inlineStr">
        <is>
          <t>SPE4A6-19-P-A410</t>
        </is>
      </c>
      <c r="D906" s="234" t="n">
        <v>6680013326771</v>
      </c>
      <c r="E906" t="n">
        <v>1</v>
      </c>
      <c r="F906" t="inlineStr">
        <is>
          <t>GEMS</t>
        </is>
      </c>
      <c r="G906" s="4" t="n">
        <v>43522</v>
      </c>
      <c r="H906" t="inlineStr">
        <is>
          <t>2019 JUL 16</t>
        </is>
      </c>
      <c r="I906" t="inlineStr">
        <is>
          <t>FE1949</t>
        </is>
      </c>
      <c r="K906" s="230" t="n">
        <v>3359</v>
      </c>
      <c r="L906" s="230" t="n">
        <v>3264</v>
      </c>
      <c r="M906" s="232">
        <f>K906-L906</f>
        <v/>
      </c>
      <c r="P906" s="19">
        <f>(K906/L906)-1</f>
        <v/>
      </c>
    </row>
    <row r="907">
      <c r="A907" t="n">
        <v>50</v>
      </c>
      <c r="B907" t="inlineStr">
        <is>
          <t>SPE7L0-19-V-3583</t>
        </is>
      </c>
      <c r="D907" s="234" t="n">
        <v>2990015998433</v>
      </c>
      <c r="E907" t="n">
        <v>30</v>
      </c>
      <c r="F907" t="inlineStr">
        <is>
          <t>PG</t>
        </is>
      </c>
      <c r="G907" s="4" t="n">
        <v>43522</v>
      </c>
      <c r="H907" t="inlineStr">
        <is>
          <t>2019 AUG 05</t>
        </is>
      </c>
      <c r="I907" t="inlineStr">
        <is>
          <t>FE1950</t>
        </is>
      </c>
      <c r="K907" s="230" t="n">
        <v>7908.6</v>
      </c>
      <c r="L907" s="230" t="n">
        <v>7735.5</v>
      </c>
      <c r="M907" s="232">
        <f>K907-L907</f>
        <v/>
      </c>
      <c r="P907" s="19">
        <f>(K907/L907)-1</f>
        <v/>
      </c>
    </row>
    <row r="908">
      <c r="A908" t="n">
        <v>51</v>
      </c>
      <c r="B908" t="inlineStr">
        <is>
          <t>SPE7MC-19-V-5065</t>
        </is>
      </c>
      <c r="D908" s="234" t="n">
        <v>6060013975012</v>
      </c>
      <c r="E908" t="n">
        <v>10</v>
      </c>
      <c r="F908" t="inlineStr">
        <is>
          <t>ITT</t>
        </is>
      </c>
      <c r="G908" s="4" t="n">
        <v>43522</v>
      </c>
      <c r="H908" t="inlineStr">
        <is>
          <t>2019 AUG 15</t>
        </is>
      </c>
      <c r="I908" t="inlineStr">
        <is>
          <t>FE1951</t>
        </is>
      </c>
      <c r="K908" s="230" t="n">
        <v>2380</v>
      </c>
      <c r="L908" s="230" t="n">
        <v>2112</v>
      </c>
      <c r="M908" s="232">
        <f>K908-L908</f>
        <v/>
      </c>
      <c r="P908" s="19">
        <f>(K908/L908)-1</f>
        <v/>
      </c>
    </row>
    <row r="909">
      <c r="A909" t="n">
        <v>52</v>
      </c>
      <c r="B909" s="169" t="inlineStr">
        <is>
          <t>SPE5EJ-19-V-3220</t>
        </is>
      </c>
      <c r="D909" s="234" t="n">
        <v>5330016570106</v>
      </c>
      <c r="E909" t="n">
        <v>8</v>
      </c>
      <c r="F909" t="inlineStr">
        <is>
          <t>KTSDI</t>
        </is>
      </c>
      <c r="G909" s="4" t="n">
        <v>43522</v>
      </c>
      <c r="H909" t="inlineStr">
        <is>
          <t>2019 JUN 26</t>
        </is>
      </c>
      <c r="I909" t="inlineStr">
        <is>
          <t>FE1952</t>
        </is>
      </c>
      <c r="K909" s="230" t="n">
        <v>3429.44</v>
      </c>
      <c r="L909" s="230" t="n">
        <v>3231.76</v>
      </c>
      <c r="M909" s="232">
        <f>K909-L909</f>
        <v/>
      </c>
      <c r="P909" s="19">
        <f>(K909/L909)-1</f>
        <v/>
      </c>
    </row>
    <row r="910">
      <c r="A910" t="n">
        <v>53</v>
      </c>
      <c r="B910" t="inlineStr">
        <is>
          <t>SPE7M5-19-V-6228</t>
        </is>
      </c>
      <c r="D910" s="234" t="n">
        <v>5915013371045</v>
      </c>
      <c r="E910" t="n">
        <v>39</v>
      </c>
      <c r="F910" t="inlineStr">
        <is>
          <t>ITT</t>
        </is>
      </c>
      <c r="G910" s="4" t="n">
        <v>43524</v>
      </c>
      <c r="H910" t="inlineStr">
        <is>
          <t>2019 SEP 16</t>
        </is>
      </c>
      <c r="K910" s="230" t="n">
        <v>35870.64</v>
      </c>
      <c r="L910" s="232" t="n">
        <v>35870.64</v>
      </c>
      <c r="M910" s="232">
        <f>K910-L910</f>
        <v/>
      </c>
      <c r="P910" s="19">
        <f>(K910/L910)-1</f>
        <v/>
      </c>
    </row>
    <row r="911">
      <c r="K911" s="230">
        <f>SUM(K856:K910)</f>
        <v/>
      </c>
      <c r="L911" s="233">
        <f>SUM(L856:L910)</f>
        <v/>
      </c>
      <c r="M911" s="232">
        <f>K911-L911</f>
        <v/>
      </c>
      <c r="P911" s="19">
        <f>(K911/L911)-1</f>
        <v/>
      </c>
    </row>
    <row customHeight="1" ht="18.75" r="912">
      <c r="B912" s="162" t="n">
        <v>43525</v>
      </c>
      <c r="M912" s="232" t="n"/>
    </row>
    <row r="913">
      <c r="A913" t="n">
        <v>1</v>
      </c>
      <c r="B913" t="inlineStr">
        <is>
          <t>SPE7L2-19-V-0918</t>
        </is>
      </c>
      <c r="D913" s="234" t="n">
        <v>2910016167460</v>
      </c>
      <c r="E913" t="n">
        <v>37</v>
      </c>
      <c r="F913" t="inlineStr">
        <is>
          <t>PG</t>
        </is>
      </c>
      <c r="G913" s="4" t="n">
        <v>43528</v>
      </c>
      <c r="H913" t="inlineStr">
        <is>
          <t>2019 AUG 12</t>
        </is>
      </c>
      <c r="I913" t="inlineStr">
        <is>
          <t>MR1901</t>
        </is>
      </c>
      <c r="K913" s="232" t="n">
        <v>15034.58</v>
      </c>
      <c r="L913" s="233" t="n">
        <v>14717.86</v>
      </c>
      <c r="M913" s="232">
        <f>K913-L913</f>
        <v/>
      </c>
    </row>
    <row r="914">
      <c r="A914" t="n">
        <v>2</v>
      </c>
      <c r="B914" t="inlineStr">
        <is>
          <t>SPE7L0-19-V-3681</t>
        </is>
      </c>
      <c r="D914" s="234" t="n">
        <v>2590998645191</v>
      </c>
      <c r="E914" t="n">
        <v>1</v>
      </c>
      <c r="F914" t="inlineStr">
        <is>
          <t>HIAB</t>
        </is>
      </c>
      <c r="G914" s="4" t="n">
        <v>43528</v>
      </c>
      <c r="H914" t="inlineStr">
        <is>
          <t>2019 JUL 02</t>
        </is>
      </c>
      <c r="I914" t="inlineStr">
        <is>
          <t>MR1902</t>
        </is>
      </c>
      <c r="K914" s="232" t="n">
        <v>4223</v>
      </c>
      <c r="L914" s="233" t="n">
        <v>4136.41</v>
      </c>
      <c r="M914" s="232">
        <f>K914-L914</f>
        <v/>
      </c>
    </row>
    <row r="915">
      <c r="A915" t="n">
        <v>3</v>
      </c>
      <c r="B915" t="inlineStr">
        <is>
          <t>SPE7M0-19-V-5240</t>
        </is>
      </c>
      <c r="D915" s="234" t="n">
        <v>5930015713526</v>
      </c>
      <c r="E915" t="n">
        <v>3</v>
      </c>
      <c r="F915" t="inlineStr">
        <is>
          <t>GEMSQTY 7, 4for-11</t>
        </is>
      </c>
      <c r="G915" s="4" t="n">
        <v>43529</v>
      </c>
      <c r="H915" t="inlineStr">
        <is>
          <t>2019 AUG 12</t>
        </is>
      </c>
      <c r="I915" t="inlineStr">
        <is>
          <t>MR1903</t>
        </is>
      </c>
      <c r="K915" s="232" t="n">
        <v>4775.31</v>
      </c>
      <c r="L915" s="233" t="n">
        <v>4665</v>
      </c>
      <c r="M915" s="232">
        <f>K915-L915</f>
        <v/>
      </c>
    </row>
    <row r="916">
      <c r="A916" t="n">
        <v>4</v>
      </c>
      <c r="B916" t="inlineStr">
        <is>
          <t>SPE4A0-19-V-0640</t>
        </is>
      </c>
      <c r="D916" s="234" t="n">
        <v>5975016689905</v>
      </c>
      <c r="E916" t="n">
        <v>1</v>
      </c>
      <c r="F916" t="inlineStr">
        <is>
          <t>Glenair</t>
        </is>
      </c>
      <c r="G916" s="4" t="n">
        <v>43529</v>
      </c>
      <c r="H916" t="inlineStr">
        <is>
          <t>2019 AUG 12</t>
        </is>
      </c>
      <c r="K916" s="232" t="n">
        <v>1496</v>
      </c>
      <c r="M916" s="232">
        <f>K916-L916</f>
        <v/>
      </c>
    </row>
    <row r="917">
      <c r="A917" t="n">
        <v>5</v>
      </c>
      <c r="B917" s="260" t="inlineStr">
        <is>
          <t>SPE7M0-19-V-5312</t>
        </is>
      </c>
      <c r="D917" s="234" t="n">
        <v>4310123620489</v>
      </c>
      <c r="E917" t="n">
        <v>1</v>
      </c>
      <c r="F917" t="inlineStr">
        <is>
          <t>Sauer</t>
        </is>
      </c>
      <c r="G917" s="4" t="n">
        <v>43531</v>
      </c>
      <c r="H917" t="inlineStr">
        <is>
          <t>2019 AUG 14</t>
        </is>
      </c>
      <c r="I917" t="inlineStr">
        <is>
          <t>MR1905</t>
        </is>
      </c>
      <c r="K917" s="232" t="n">
        <v>968</v>
      </c>
      <c r="L917" s="233" t="n">
        <v>947.5700000000001</v>
      </c>
      <c r="M917" s="232">
        <f>K917-L917</f>
        <v/>
      </c>
    </row>
    <row r="918">
      <c r="A918" t="n">
        <v>6</v>
      </c>
      <c r="B918" t="inlineStr">
        <is>
          <t>SPE5EM-19-V-3108</t>
        </is>
      </c>
      <c r="D918" s="234" t="n">
        <v>5330010966896</v>
      </c>
      <c r="E918" t="n">
        <v>3</v>
      </c>
      <c r="F918" t="inlineStr">
        <is>
          <t>Morris</t>
        </is>
      </c>
      <c r="G918" s="4" t="n">
        <v>43531</v>
      </c>
      <c r="H918" t="inlineStr">
        <is>
          <t>2019 JUL 05</t>
        </is>
      </c>
      <c r="K918" s="232" t="n">
        <v>148.11</v>
      </c>
      <c r="M918" s="232">
        <f>K918-L918</f>
        <v/>
      </c>
    </row>
    <row r="919">
      <c r="A919" t="n">
        <v>7</v>
      </c>
      <c r="B919" t="inlineStr">
        <is>
          <t>SPE7M0-19-V-5335</t>
        </is>
      </c>
      <c r="D919" s="234" t="n">
        <v>6110015294840</v>
      </c>
      <c r="E919" t="n">
        <v>7</v>
      </c>
      <c r="F919" t="inlineStr">
        <is>
          <t>Indeeco</t>
        </is>
      </c>
      <c r="G919" s="4" t="n">
        <v>43531</v>
      </c>
      <c r="H919" t="inlineStr">
        <is>
          <t>2019 AUG 14</t>
        </is>
      </c>
      <c r="I919" t="inlineStr">
        <is>
          <t>MR1907</t>
        </is>
      </c>
      <c r="K919" s="232" t="n">
        <v>5023.34</v>
      </c>
      <c r="L919" s="230" t="n">
        <v>4949</v>
      </c>
      <c r="M919" s="232">
        <f>K919-L919</f>
        <v/>
      </c>
    </row>
    <row r="920">
      <c r="A920" t="n">
        <v>8</v>
      </c>
      <c r="B920" t="inlineStr">
        <is>
          <t>SPE7M5-19-P-5423</t>
        </is>
      </c>
      <c r="D920" s="234" t="n">
        <v>5915014078867</v>
      </c>
      <c r="E920" t="n">
        <v>14</v>
      </c>
      <c r="F920" t="inlineStr">
        <is>
          <t>Genisco</t>
        </is>
      </c>
      <c r="G920" s="4" t="n">
        <v>43531</v>
      </c>
      <c r="H920" t="inlineStr">
        <is>
          <t>2019 SEP 03</t>
        </is>
      </c>
      <c r="I920" t="inlineStr">
        <is>
          <t>MR1908</t>
        </is>
      </c>
      <c r="K920" s="232" t="n">
        <v>22086.96</v>
      </c>
      <c r="L920" s="230" t="n">
        <v>21700</v>
      </c>
      <c r="M920" s="232">
        <f>K920-L920</f>
        <v/>
      </c>
    </row>
    <row r="921">
      <c r="A921" t="n">
        <v>9</v>
      </c>
      <c r="B921" t="inlineStr">
        <is>
          <t>SPE5EM-19-V-3103</t>
        </is>
      </c>
      <c r="D921" s="234" t="n">
        <v>5360016551461</v>
      </c>
      <c r="E921" t="n">
        <v>15</v>
      </c>
      <c r="F921" t="inlineStr">
        <is>
          <t>Ace Wire</t>
        </is>
      </c>
      <c r="G921" s="4" t="n">
        <v>43531</v>
      </c>
      <c r="H921" t="inlineStr">
        <is>
          <t>2019 AUG 14</t>
        </is>
      </c>
      <c r="K921" s="232" t="n">
        <v>7047</v>
      </c>
      <c r="M921" s="232">
        <f>K921-L921</f>
        <v/>
      </c>
    </row>
    <row r="922">
      <c r="A922" t="n">
        <v>10</v>
      </c>
      <c r="B922" t="inlineStr">
        <is>
          <t>SPE5EM-19-V-3135</t>
        </is>
      </c>
      <c r="D922" s="234" t="n">
        <v>5330010966896</v>
      </c>
      <c r="E922" t="n">
        <v>1</v>
      </c>
      <c r="F922" t="inlineStr">
        <is>
          <t>Morris</t>
        </is>
      </c>
      <c r="G922" s="4" t="n">
        <v>43532</v>
      </c>
      <c r="H922" t="inlineStr">
        <is>
          <t>2019 JUL 08</t>
        </is>
      </c>
      <c r="K922" s="232" t="n">
        <v>59.72</v>
      </c>
      <c r="M922" s="232">
        <f>K922-L922</f>
        <v/>
      </c>
    </row>
    <row r="923">
      <c r="A923" t="n">
        <v>11</v>
      </c>
      <c r="B923" t="inlineStr">
        <is>
          <t>SPE7M0-19-V-5360</t>
        </is>
      </c>
      <c r="D923" s="234" t="n">
        <v>5935015842504</v>
      </c>
      <c r="E923" t="n">
        <v>18</v>
      </c>
      <c r="F923" t="inlineStr">
        <is>
          <t>Glenair</t>
        </is>
      </c>
      <c r="G923" s="4" t="n">
        <v>43532</v>
      </c>
      <c r="H923" t="inlineStr">
        <is>
          <t>2019 AUG 15</t>
        </is>
      </c>
      <c r="K923" s="232" t="n">
        <v>5623.92</v>
      </c>
      <c r="M923" s="232">
        <f>K923-L923</f>
        <v/>
      </c>
    </row>
    <row r="924">
      <c r="A924" t="n">
        <v>12</v>
      </c>
      <c r="B924" t="inlineStr">
        <is>
          <t>SPE7M0-19-V-5411</t>
        </is>
      </c>
      <c r="D924" s="234" t="n">
        <v>5930015713526</v>
      </c>
      <c r="E924" t="n">
        <v>4</v>
      </c>
      <c r="F924" t="inlineStr">
        <is>
          <t>GEMS</t>
        </is>
      </c>
      <c r="G924" s="4" t="n">
        <v>43536</v>
      </c>
      <c r="H924" t="inlineStr">
        <is>
          <t>2019 AUG 19</t>
        </is>
      </c>
      <c r="I924" t="inlineStr">
        <is>
          <t>MR1903</t>
        </is>
      </c>
      <c r="K924" s="232" t="n">
        <v>6363.04</v>
      </c>
      <c r="L924" s="230" t="n">
        <v>6220</v>
      </c>
      <c r="M924" s="232">
        <f>K924-L924</f>
        <v/>
      </c>
    </row>
    <row r="925">
      <c r="A925" t="n">
        <v>13</v>
      </c>
      <c r="B925" t="inlineStr">
        <is>
          <t>SPE4A6-19-V-023L</t>
        </is>
      </c>
      <c r="D925" s="234" t="n">
        <v>6685011492769</v>
      </c>
      <c r="E925" t="n">
        <v>18</v>
      </c>
      <c r="F925" t="inlineStr">
        <is>
          <t>Cameron</t>
        </is>
      </c>
      <c r="G925" s="4" t="n">
        <v>43536</v>
      </c>
      <c r="H925" t="inlineStr">
        <is>
          <t>2019 JUL 10</t>
        </is>
      </c>
      <c r="I925" t="inlineStr">
        <is>
          <t>MR1913</t>
        </is>
      </c>
      <c r="K925" s="232" t="n">
        <v>416.16</v>
      </c>
      <c r="L925" s="230" t="n">
        <v>360</v>
      </c>
      <c r="M925" s="232">
        <f>K925-L925</f>
        <v/>
      </c>
    </row>
    <row r="926">
      <c r="A926" t="n">
        <v>14</v>
      </c>
      <c r="B926" t="inlineStr">
        <is>
          <t>SPE7M5-19-V-6416</t>
        </is>
      </c>
      <c r="D926" s="234" t="n">
        <v>5935011283778</v>
      </c>
      <c r="E926" t="n">
        <v>8</v>
      </c>
      <c r="F926" t="inlineStr">
        <is>
          <t>Glenair</t>
        </is>
      </c>
      <c r="G926" s="4" t="n">
        <v>43537</v>
      </c>
      <c r="H926" t="inlineStr">
        <is>
          <t>2019 AUG 20</t>
        </is>
      </c>
      <c r="K926" s="232" t="n">
        <v>578.72</v>
      </c>
      <c r="M926" s="232">
        <f>K926-L926</f>
        <v/>
      </c>
    </row>
    <row r="927">
      <c r="A927" t="n">
        <v>15</v>
      </c>
      <c r="B927" t="inlineStr">
        <is>
          <t>SPE7MC-19-V-5452</t>
        </is>
      </c>
      <c r="D927" s="234" t="n">
        <v>2040171152907</v>
      </c>
      <c r="E927" t="n">
        <v>18</v>
      </c>
      <c r="F927" t="inlineStr">
        <is>
          <t>MAFO</t>
        </is>
      </c>
      <c r="G927" s="4" t="n">
        <v>43537</v>
      </c>
      <c r="H927" t="inlineStr">
        <is>
          <t>2019 AUG 20</t>
        </is>
      </c>
      <c r="I927" t="inlineStr">
        <is>
          <t>MR1915</t>
        </is>
      </c>
      <c r="K927" s="232" t="n">
        <v>7168.86</v>
      </c>
      <c r="L927" s="230" t="n">
        <v>6694.48</v>
      </c>
      <c r="M927" s="232">
        <f>K927-L927</f>
        <v/>
      </c>
    </row>
    <row r="928">
      <c r="A928" t="n">
        <v>16</v>
      </c>
      <c r="B928" t="inlineStr">
        <is>
          <t>SPE7MC-19-V-5454</t>
        </is>
      </c>
      <c r="D928" s="234" t="n">
        <v>2040171153423</v>
      </c>
      <c r="E928" t="n">
        <v>58</v>
      </c>
      <c r="F928" t="inlineStr">
        <is>
          <t>MAFO</t>
        </is>
      </c>
      <c r="G928" s="4" t="n">
        <v>43537</v>
      </c>
      <c r="H928" t="inlineStr">
        <is>
          <t>2019 AUG 20</t>
        </is>
      </c>
      <c r="I928" t="inlineStr">
        <is>
          <t>MR1916</t>
        </is>
      </c>
      <c r="K928" s="232" t="n">
        <v>9995.719999999999</v>
      </c>
      <c r="L928" s="230" t="n">
        <v>9493.58</v>
      </c>
      <c r="M928" s="232">
        <f>K928-L928</f>
        <v/>
      </c>
    </row>
    <row r="929">
      <c r="A929" t="n">
        <v>17</v>
      </c>
      <c r="B929" t="inlineStr">
        <is>
          <t>SPE7M1-19-V-4981</t>
        </is>
      </c>
      <c r="D929" s="234" t="n">
        <v>5935016151707</v>
      </c>
      <c r="E929" t="n">
        <v>7</v>
      </c>
      <c r="F929" t="inlineStr">
        <is>
          <t>Glenair</t>
        </is>
      </c>
      <c r="G929" s="4" t="n">
        <v>43537</v>
      </c>
      <c r="H929" t="inlineStr">
        <is>
          <t>2019 AUG 20</t>
        </is>
      </c>
      <c r="K929" s="232" t="n">
        <v>1876</v>
      </c>
      <c r="M929" s="232">
        <f>K929-L929</f>
        <v/>
      </c>
    </row>
    <row r="930">
      <c r="A930" t="n">
        <v>18</v>
      </c>
      <c r="B930" t="inlineStr">
        <is>
          <t>SPE7MC-19-V-5473</t>
        </is>
      </c>
      <c r="D930" s="234" t="n">
        <v>5930012661145</v>
      </c>
      <c r="E930" t="n">
        <v>5</v>
      </c>
      <c r="F930" t="inlineStr">
        <is>
          <t>Indeeco</t>
        </is>
      </c>
      <c r="G930" s="4" t="n">
        <v>43537</v>
      </c>
      <c r="H930" t="inlineStr">
        <is>
          <t>2019 AUG 20</t>
        </is>
      </c>
      <c r="I930" t="inlineStr">
        <is>
          <t>MR1918</t>
        </is>
      </c>
      <c r="K930" s="232" t="n">
        <v>927.2</v>
      </c>
      <c r="L930" t="n">
        <v>893.2</v>
      </c>
      <c r="M930" s="232">
        <f>K930-L930</f>
        <v/>
      </c>
    </row>
    <row r="931">
      <c r="A931" t="n">
        <v>19</v>
      </c>
      <c r="B931" t="inlineStr">
        <is>
          <t>SPE7M5-19-V-6631</t>
        </is>
      </c>
      <c r="D931" s="234" t="n">
        <v>5998996677221</v>
      </c>
      <c r="E931" t="n">
        <v>6</v>
      </c>
      <c r="F931" t="inlineStr">
        <is>
          <t>HIAB</t>
        </is>
      </c>
      <c r="G931" s="4" t="n">
        <v>43537</v>
      </c>
      <c r="H931" t="inlineStr">
        <is>
          <t>2019 AUG 20</t>
        </is>
      </c>
      <c r="I931" t="inlineStr">
        <is>
          <t>MR1919</t>
        </is>
      </c>
      <c r="K931" s="232" t="n">
        <v>4131.48</v>
      </c>
      <c r="L931" t="n">
        <v>4045.2</v>
      </c>
      <c r="M931" s="232">
        <f>K931-L931</f>
        <v/>
      </c>
    </row>
    <row r="932">
      <c r="A932" t="n">
        <v>20</v>
      </c>
      <c r="B932" t="inlineStr">
        <is>
          <t>SPE7M8-19-V-1706</t>
        </is>
      </c>
      <c r="D932" s="234" t="n">
        <v>5930015507482</v>
      </c>
      <c r="E932" t="n">
        <v>5</v>
      </c>
      <c r="F932" t="inlineStr">
        <is>
          <t>Indeeco</t>
        </is>
      </c>
      <c r="G932" s="4" t="n">
        <v>43537</v>
      </c>
      <c r="H932" t="inlineStr">
        <is>
          <t>2019 AUG 20</t>
        </is>
      </c>
      <c r="I932" t="inlineStr">
        <is>
          <t>MR1920</t>
        </is>
      </c>
      <c r="K932" s="232" t="n">
        <v>350.45</v>
      </c>
      <c r="L932" t="n">
        <v>312.45</v>
      </c>
      <c r="M932" s="232">
        <f>K932-L932</f>
        <v/>
      </c>
    </row>
    <row r="933">
      <c r="A933" t="n">
        <v>21</v>
      </c>
      <c r="B933" t="inlineStr">
        <is>
          <t>SPE7M5-19-V-6595</t>
        </is>
      </c>
      <c r="D933" s="234" t="n">
        <v>5935013683077</v>
      </c>
      <c r="E933" t="n">
        <v>11</v>
      </c>
      <c r="F933" t="inlineStr">
        <is>
          <t>ITT Qty 13</t>
        </is>
      </c>
      <c r="G933" s="4" t="n">
        <v>43537</v>
      </c>
      <c r="H933" t="inlineStr">
        <is>
          <t>2019 JUL 11</t>
        </is>
      </c>
      <c r="K933" s="232" t="n">
        <v>513.04</v>
      </c>
      <c r="L933" t="n">
        <v>363.74</v>
      </c>
      <c r="M933" s="232">
        <f>K933-L933</f>
        <v/>
      </c>
    </row>
    <row r="934">
      <c r="A934" t="n">
        <v>22</v>
      </c>
      <c r="B934" t="inlineStr">
        <is>
          <t>SPE7M5-19-V-6580</t>
        </is>
      </c>
      <c r="D934" s="234" t="n">
        <v>5935013902653</v>
      </c>
      <c r="E934" t="n">
        <v>14</v>
      </c>
      <c r="F934" t="inlineStr">
        <is>
          <t>Glenair</t>
        </is>
      </c>
      <c r="G934" s="4" t="n">
        <v>43537</v>
      </c>
      <c r="H934" t="inlineStr">
        <is>
          <t>2019 AUG 20</t>
        </is>
      </c>
      <c r="K934" s="232" t="n">
        <v>4729.48</v>
      </c>
      <c r="M934" s="232">
        <f>K934-L934</f>
        <v/>
      </c>
    </row>
    <row r="935">
      <c r="A935" t="n">
        <v>23</v>
      </c>
      <c r="B935" t="inlineStr">
        <is>
          <t>SPE7M1-19-V-5101</t>
        </is>
      </c>
      <c r="D935" s="234" t="n">
        <v>5935015998209</v>
      </c>
      <c r="E935" t="n">
        <v>48</v>
      </c>
      <c r="F935" t="inlineStr">
        <is>
          <t>Glenair</t>
        </is>
      </c>
      <c r="G935" s="4" t="n">
        <v>43537</v>
      </c>
      <c r="H935" t="inlineStr">
        <is>
          <t>2019 AUG 20</t>
        </is>
      </c>
      <c r="K935" s="232" t="n">
        <v>4439.52</v>
      </c>
      <c r="M935" s="232">
        <f>K935-L935</f>
        <v/>
      </c>
    </row>
    <row r="936">
      <c r="A936" t="n">
        <v>24</v>
      </c>
      <c r="B936" t="inlineStr">
        <is>
          <t>SPE7M1-19-V-5027</t>
        </is>
      </c>
      <c r="D936" s="234" t="n">
        <v>6110015116558</v>
      </c>
      <c r="E936" t="n">
        <v>3</v>
      </c>
      <c r="F936" t="inlineStr">
        <is>
          <t>Indeeco</t>
        </is>
      </c>
      <c r="G936" s="4" t="n">
        <v>43537</v>
      </c>
      <c r="H936" t="inlineStr">
        <is>
          <t>2019 AUG 20</t>
        </is>
      </c>
      <c r="I936" t="inlineStr">
        <is>
          <t>MR1924</t>
        </is>
      </c>
      <c r="K936" s="232" t="n">
        <v>6894</v>
      </c>
      <c r="L936" s="230" t="n">
        <v>6804</v>
      </c>
      <c r="M936" s="232">
        <f>K936-L936</f>
        <v/>
      </c>
    </row>
    <row r="937">
      <c r="A937" t="n">
        <v>25</v>
      </c>
      <c r="B937" t="inlineStr">
        <is>
          <t>SPE4A6-19-V-029H</t>
        </is>
      </c>
      <c r="D937" s="234" t="n">
        <v>5975016689905</v>
      </c>
      <c r="E937" t="n">
        <v>10</v>
      </c>
      <c r="F937" t="inlineStr">
        <is>
          <t>Glenair</t>
        </is>
      </c>
      <c r="G937" s="4" t="n">
        <v>43537</v>
      </c>
      <c r="H937" t="inlineStr">
        <is>
          <t>2019 AUG 20</t>
        </is>
      </c>
      <c r="K937" s="232" t="n">
        <v>7268.3</v>
      </c>
      <c r="M937" s="232">
        <f>K937-L937</f>
        <v/>
      </c>
    </row>
    <row r="938">
      <c r="A938" t="n">
        <v>26</v>
      </c>
      <c r="B938" t="inlineStr">
        <is>
          <t>SPE7M5-19-V-6600</t>
        </is>
      </c>
      <c r="D938" s="234" t="n">
        <v>5935015863100</v>
      </c>
      <c r="E938" t="n">
        <v>46</v>
      </c>
      <c r="F938" t="inlineStr">
        <is>
          <t>Glenair</t>
        </is>
      </c>
      <c r="G938" s="4" t="n">
        <v>43537</v>
      </c>
      <c r="H938" t="inlineStr">
        <is>
          <t>2019 AUG 20</t>
        </is>
      </c>
      <c r="K938" s="232" t="n">
        <v>2110.94</v>
      </c>
      <c r="M938" s="232">
        <f>K938-L938</f>
        <v/>
      </c>
    </row>
    <row r="939">
      <c r="A939" t="n">
        <v>27</v>
      </c>
      <c r="B939" t="inlineStr">
        <is>
          <t>SPE7M3-19-V-3147</t>
        </is>
      </c>
      <c r="D939" s="234" t="n">
        <v>4730016712628</v>
      </c>
      <c r="E939" t="n">
        <v>6</v>
      </c>
      <c r="F939" t="inlineStr">
        <is>
          <t>General Rubber</t>
        </is>
      </c>
      <c r="G939" s="4" t="n">
        <v>43537</v>
      </c>
      <c r="H939" t="inlineStr">
        <is>
          <t>2019 JUL 31</t>
        </is>
      </c>
      <c r="K939" s="232" t="n">
        <v>1192.68</v>
      </c>
      <c r="L939" s="230">
        <f>144*6</f>
        <v/>
      </c>
      <c r="M939" s="232">
        <f>K939-L939</f>
        <v/>
      </c>
    </row>
    <row r="940">
      <c r="A940" t="n">
        <v>28</v>
      </c>
      <c r="B940" t="inlineStr">
        <is>
          <t>SPE7MC-19-V-5599</t>
        </is>
      </c>
      <c r="D940" s="234" t="n">
        <v>5930013819335</v>
      </c>
      <c r="E940" t="n">
        <v>2</v>
      </c>
      <c r="F940" t="inlineStr">
        <is>
          <t>GEMS</t>
        </is>
      </c>
      <c r="G940" s="4" t="n">
        <v>43538</v>
      </c>
      <c r="H940" t="inlineStr">
        <is>
          <t>2019 SEP 20</t>
        </is>
      </c>
      <c r="K940" s="232" t="n">
        <v>21572</v>
      </c>
      <c r="M940" s="232">
        <f>K940-L940</f>
        <v/>
      </c>
    </row>
    <row r="941">
      <c r="A941" t="n">
        <v>29</v>
      </c>
      <c r="B941" t="inlineStr">
        <is>
          <t>SPE7M5-19-V-6672</t>
        </is>
      </c>
      <c r="D941" s="234" t="n">
        <v>5998015026170</v>
      </c>
      <c r="E941" t="n">
        <v>6</v>
      </c>
      <c r="F941" t="inlineStr">
        <is>
          <t>Xenotronix</t>
        </is>
      </c>
      <c r="G941" s="4" t="n">
        <v>43538</v>
      </c>
      <c r="H941" t="inlineStr">
        <is>
          <t>2019 SEP 10</t>
        </is>
      </c>
      <c r="K941" s="232" t="n">
        <v>6447.6</v>
      </c>
      <c r="M941" s="232">
        <f>K941-L941</f>
        <v/>
      </c>
    </row>
    <row r="942">
      <c r="A942" t="n">
        <v>30</v>
      </c>
      <c r="B942" t="inlineStr">
        <is>
          <t>SPE8E9-19-V-1172</t>
        </is>
      </c>
      <c r="D942" s="234" t="n">
        <v>4520012989522</v>
      </c>
      <c r="E942" t="n">
        <v>7</v>
      </c>
      <c r="F942" t="inlineStr">
        <is>
          <t>Indeeco</t>
        </is>
      </c>
      <c r="G942" s="4" t="n">
        <v>43538</v>
      </c>
      <c r="H942" t="inlineStr">
        <is>
          <t>2019 AUG 21</t>
        </is>
      </c>
      <c r="K942" s="232" t="n">
        <v>4573.73</v>
      </c>
      <c r="M942" s="232">
        <f>K942-L942</f>
        <v/>
      </c>
    </row>
    <row r="943">
      <c r="A943" t="n">
        <v>31</v>
      </c>
      <c r="B943" t="inlineStr">
        <is>
          <t>SPE7MC-19-V-5623</t>
        </is>
      </c>
      <c r="D943" s="234" t="n">
        <v>5930013674486</v>
      </c>
      <c r="E943" t="n">
        <v>8</v>
      </c>
      <c r="F943" t="inlineStr">
        <is>
          <t>GEMS</t>
        </is>
      </c>
      <c r="G943" s="4" t="n">
        <v>43539</v>
      </c>
      <c r="H943" t="inlineStr">
        <is>
          <t>2019 AUG 22</t>
        </is>
      </c>
      <c r="K943" s="232" t="n">
        <v>16900.48</v>
      </c>
      <c r="M943" s="232">
        <f>K943-L943</f>
        <v/>
      </c>
    </row>
    <row r="944">
      <c r="A944" t="n">
        <v>32</v>
      </c>
      <c r="B944" t="inlineStr">
        <is>
          <t>SPE7MC-19-V-5618</t>
        </is>
      </c>
      <c r="D944" s="234" t="n">
        <v>5935016150029</v>
      </c>
      <c r="E944" t="n">
        <v>16</v>
      </c>
      <c r="F944" t="inlineStr">
        <is>
          <t>Glenair</t>
        </is>
      </c>
      <c r="G944" s="4" t="n">
        <v>43539</v>
      </c>
      <c r="H944" t="inlineStr">
        <is>
          <t>2019 AUG 22</t>
        </is>
      </c>
      <c r="K944" s="232" t="n">
        <v>4219.52</v>
      </c>
      <c r="M944" s="232">
        <f>K944-L944</f>
        <v/>
      </c>
    </row>
    <row r="945">
      <c r="A945" t="n">
        <v>33</v>
      </c>
      <c r="B945" t="inlineStr">
        <is>
          <t>SPE7M5-19-P-5686</t>
        </is>
      </c>
      <c r="D945" s="234" t="n">
        <v>5935016786667</v>
      </c>
      <c r="E945" t="n">
        <v>50</v>
      </c>
      <c r="F945" t="inlineStr">
        <is>
          <t>Glenair</t>
        </is>
      </c>
      <c r="G945" s="4" t="n">
        <v>43542</v>
      </c>
      <c r="H945" t="inlineStr">
        <is>
          <t>2019 JUN 17</t>
        </is>
      </c>
      <c r="K945" s="232" t="n">
        <v>6366</v>
      </c>
      <c r="M945" s="232">
        <f>K945-L945</f>
        <v/>
      </c>
    </row>
    <row r="946">
      <c r="A946" t="n">
        <v>34</v>
      </c>
      <c r="B946" t="inlineStr">
        <is>
          <t>SPE7M3-19-P-3000</t>
        </is>
      </c>
      <c r="D946" s="234" t="n">
        <v>4730010978812</v>
      </c>
      <c r="E946" t="n">
        <v>115</v>
      </c>
      <c r="F946" t="inlineStr">
        <is>
          <t>Lee Company</t>
        </is>
      </c>
      <c r="G946" s="4" t="n">
        <v>43542</v>
      </c>
      <c r="H946" t="inlineStr">
        <is>
          <t>2019 AUG 05</t>
        </is>
      </c>
      <c r="K946" s="232" t="n">
        <v>30533.65</v>
      </c>
      <c r="M946" s="232">
        <f>K946-L946</f>
        <v/>
      </c>
    </row>
    <row r="947">
      <c r="A947" t="n">
        <v>35</v>
      </c>
      <c r="B947" t="inlineStr">
        <is>
          <t>SPE7M8-19-P-1912</t>
        </is>
      </c>
      <c r="D947" s="234" t="n">
        <v>5930015955056</v>
      </c>
      <c r="E947" t="n">
        <v>6</v>
      </c>
      <c r="F947" t="inlineStr">
        <is>
          <t>GEMS</t>
        </is>
      </c>
      <c r="G947" s="4" t="n">
        <v>43542</v>
      </c>
      <c r="H947" t="inlineStr">
        <is>
          <t>2019 AUG 26</t>
        </is>
      </c>
      <c r="K947" s="232" t="n">
        <v>3447.72</v>
      </c>
      <c r="M947" s="232">
        <f>K947-L947</f>
        <v/>
      </c>
    </row>
    <row r="948">
      <c r="A948" t="n">
        <v>36</v>
      </c>
      <c r="B948" t="inlineStr">
        <is>
          <t>65</t>
        </is>
      </c>
      <c r="D948" t="inlineStr">
        <is>
          <t>464</t>
        </is>
      </c>
      <c r="E948" t="inlineStr">
        <is>
          <t>4654</t>
        </is>
      </c>
      <c r="F948" t="inlineStr">
        <is>
          <t>4</t>
        </is>
      </c>
      <c r="G948" t="inlineStr">
        <is>
          <t>3/5/2019</t>
        </is>
      </c>
      <c r="H948" t="inlineStr">
        <is>
          <t>654</t>
        </is>
      </c>
      <c r="K948" t="inlineStr">
        <is>
          <t>654</t>
        </is>
      </c>
      <c r="M948" s="232">
        <f>K948-L948</f>
        <v/>
      </c>
    </row>
    <row r="949">
      <c r="A949" t="n">
        <v>37</v>
      </c>
      <c r="B949" t="inlineStr">
        <is>
          <t>6987</t>
        </is>
      </c>
      <c r="D949" t="inlineStr">
        <is>
          <t>15849</t>
        </is>
      </c>
      <c r="E949" t="n">
        <v>9456</v>
      </c>
      <c r="F949" t="inlineStr">
        <is>
          <t>489</t>
        </is>
      </c>
      <c r="G949" t="inlineStr">
        <is>
          <t>4/4/2019</t>
        </is>
      </c>
      <c r="H949" t="inlineStr">
        <is>
          <t>44</t>
        </is>
      </c>
      <c r="K949" t="inlineStr">
        <is>
          <t>453</t>
        </is>
      </c>
    </row>
    <row r="950">
      <c r="A950" t="n">
        <v>38</v>
      </c>
      <c r="B950" t="inlineStr">
        <is>
          <t>5</t>
        </is>
      </c>
      <c r="D950" t="inlineStr">
        <is>
          <t>484</t>
        </is>
      </c>
      <c r="E950" t="n">
        <v>984</v>
      </c>
      <c r="F950" t="inlineStr">
        <is>
          <t>89</t>
        </is>
      </c>
      <c r="G950" t="inlineStr">
        <is>
          <t>4/4/2019</t>
        </is>
      </c>
      <c r="H950" t="inlineStr">
        <is>
          <t>684894</t>
        </is>
      </c>
      <c r="K950" t="inlineStr">
        <is>
          <t>65156</t>
        </is>
      </c>
    </row>
    <row r="951">
      <c r="A951" t="n">
        <v>39</v>
      </c>
      <c r="B951" t="inlineStr">
        <is>
          <t>654</t>
        </is>
      </c>
      <c r="D951" t="inlineStr">
        <is>
          <t>7979</t>
        </is>
      </c>
      <c r="E951" t="n">
        <v>65</v>
      </c>
      <c r="F951" t="inlineStr">
        <is>
          <t>98</t>
        </is>
      </c>
      <c r="G951" t="inlineStr">
        <is>
          <t>4/4/2019</t>
        </is>
      </c>
      <c r="H951" t="inlineStr">
        <is>
          <t>7987</t>
        </is>
      </c>
      <c r="K951" t="inlineStr">
        <is>
          <t>878</t>
        </is>
      </c>
    </row>
    <row r="952">
      <c r="A952" t="n">
        <v>40</v>
      </c>
      <c r="B952" t="inlineStr">
        <is>
          <t>6</t>
        </is>
      </c>
      <c r="D952" t="inlineStr">
        <is>
          <t>8</t>
        </is>
      </c>
      <c r="E952" t="n">
        <v>897</v>
      </c>
      <c r="F952" t="inlineStr">
        <is>
          <t>97</t>
        </is>
      </c>
      <c r="G952" t="inlineStr">
        <is>
          <t>4/4/2019</t>
        </is>
      </c>
      <c r="H952" t="inlineStr">
        <is>
          <t>7987</t>
        </is>
      </c>
      <c r="K952" t="inlineStr">
        <is>
          <t>987</t>
        </is>
      </c>
    </row>
    <row r="953">
      <c r="A953" t="n">
        <v>41</v>
      </c>
      <c r="B953" t="inlineStr">
        <is>
          <t>654</t>
        </is>
      </c>
      <c r="D953" t="inlineStr">
        <is>
          <t>564</t>
        </is>
      </c>
      <c r="E953" t="n">
        <v>564</v>
      </c>
      <c r="F953" t="inlineStr">
        <is>
          <t>56465</t>
        </is>
      </c>
      <c r="G953" t="inlineStr">
        <is>
          <t>4/4/2019</t>
        </is>
      </c>
      <c r="H953" t="inlineStr">
        <is>
          <t>54</t>
        </is>
      </c>
      <c r="K953" t="inlineStr">
        <is>
          <t>6456</t>
        </is>
      </c>
    </row>
    <row r="954">
      <c r="A954" t="n">
        <v>42</v>
      </c>
      <c r="B954" t="inlineStr">
        <is>
          <t>465</t>
        </is>
      </c>
      <c r="D954" t="inlineStr">
        <is>
          <t>654</t>
        </is>
      </c>
      <c r="E954" t="n">
        <v>4654</v>
      </c>
      <c r="F954" t="inlineStr">
        <is>
          <t>654</t>
        </is>
      </c>
      <c r="G954" t="inlineStr">
        <is>
          <t>65</t>
        </is>
      </c>
      <c r="H954" t="inlineStr">
        <is>
          <t>545</t>
        </is>
      </c>
      <c r="K954" t="inlineStr">
        <is>
          <t>54</t>
        </is>
      </c>
    </row>
    <row r="955">
      <c r="A955" t="n">
        <v>43</v>
      </c>
      <c r="B955" t="inlineStr">
        <is>
          <t>SPE7M1-19-V-5883</t>
        </is>
      </c>
      <c r="D955" t="inlineStr">
        <is>
          <t>4320014742927</t>
        </is>
      </c>
      <c r="E955" t="n">
        <v>1</v>
      </c>
      <c r="F955" t="inlineStr">
        <is>
          <t>Fluid Handling</t>
        </is>
      </c>
      <c r="G955" t="inlineStr">
        <is>
          <t>4/8/2019</t>
        </is>
      </c>
      <c r="H955" t="inlineStr">
        <is>
          <t>2019 SEP 16</t>
        </is>
      </c>
      <c r="K955" t="inlineStr">
        <is>
          <t>$2,927.00</t>
        </is>
      </c>
    </row>
    <row r="956">
      <c r="A956" t="n">
        <v>44</v>
      </c>
      <c r="B956" t="inlineStr">
        <is>
          <t>SPE4A6-19-V-083J</t>
        </is>
      </c>
      <c r="D956" t="inlineStr">
        <is>
          <t>5970251443173</t>
        </is>
      </c>
      <c r="E956" t="n">
        <v>2</v>
      </c>
      <c r="F956" t="inlineStr">
        <is>
          <t>Kongsberg</t>
        </is>
      </c>
      <c r="G956" t="inlineStr">
        <is>
          <t>4/8/2019</t>
        </is>
      </c>
      <c r="H956" t="inlineStr">
        <is>
          <t>2019 SEP 16</t>
        </is>
      </c>
      <c r="K956" t="inlineStr">
        <is>
          <t>$3,136.00</t>
        </is>
      </c>
    </row>
    <row r="957">
      <c r="A957" t="n">
        <v>45</v>
      </c>
      <c r="B957" t="inlineStr">
        <is>
          <t>SPE7M5-19-V-7450</t>
        </is>
      </c>
      <c r="D957" t="inlineStr">
        <is>
          <t>5935016607704</t>
        </is>
      </c>
      <c r="E957" t="n">
        <v>43</v>
      </c>
      <c r="F957" t="inlineStr">
        <is>
          <t>Glenair</t>
        </is>
      </c>
      <c r="G957" t="inlineStr">
        <is>
          <t>4/8/2019</t>
        </is>
      </c>
      <c r="H957" t="inlineStr">
        <is>
          <t>2019 SEP 25</t>
        </is>
      </c>
      <c r="K957" t="inlineStr">
        <is>
          <t>$25,514.91</t>
        </is>
      </c>
    </row>
    <row r="958">
      <c r="A958" t="n">
        <v>46</v>
      </c>
      <c r="B958" t="inlineStr">
        <is>
          <t>SPE5EK-19-V-3779</t>
        </is>
      </c>
      <c r="D958" t="inlineStr">
        <is>
          <t>5340016482555</t>
        </is>
      </c>
      <c r="E958" t="n">
        <v>1</v>
      </c>
      <c r="F958" t="inlineStr">
        <is>
          <t>Indeeco</t>
        </is>
      </c>
      <c r="G958" t="inlineStr">
        <is>
          <t>4/8/2019</t>
        </is>
      </c>
      <c r="H958" t="inlineStr">
        <is>
          <t>2019 AUG 06</t>
        </is>
      </c>
      <c r="K958" t="inlineStr">
        <is>
          <t>$45.48</t>
        </is>
      </c>
    </row>
    <row r="959">
      <c r="A959" t="n">
        <v>47</v>
      </c>
      <c r="B959" t="inlineStr">
        <is>
          <t>SPE4A6-19-V-085K</t>
        </is>
      </c>
      <c r="D959" t="inlineStr">
        <is>
          <t>6150013923696</t>
        </is>
      </c>
      <c r="E959" t="n">
        <v>4</v>
      </c>
      <c r="F959" t="inlineStr">
        <is>
          <t>Morpac</t>
        </is>
      </c>
      <c r="G959" t="inlineStr">
        <is>
          <t>4/8/2019</t>
        </is>
      </c>
      <c r="H959" t="inlineStr">
        <is>
          <t>2019 SEP 16</t>
        </is>
      </c>
      <c r="K959" t="inlineStr">
        <is>
          <t>$1,037.88</t>
        </is>
      </c>
    </row>
    <row r="960">
      <c r="A960" t="n">
        <v>48</v>
      </c>
      <c r="B960" t="inlineStr">
        <is>
          <t>SPE4A6-19-V-086Y</t>
        </is>
      </c>
      <c r="D960" t="inlineStr">
        <is>
          <t>4010015798517</t>
        </is>
      </c>
      <c r="E960" t="n">
        <v>2</v>
      </c>
      <c r="F960" t="inlineStr">
        <is>
          <t>Glenair</t>
        </is>
      </c>
      <c r="G960" t="inlineStr">
        <is>
          <t>4/8/2019</t>
        </is>
      </c>
      <c r="H960" t="inlineStr">
        <is>
          <t>2019 SEP 16</t>
        </is>
      </c>
      <c r="K960" t="inlineStr">
        <is>
          <t>$96.00</t>
        </is>
      </c>
    </row>
    <row r="961">
      <c r="A961" t="n">
        <v>49</v>
      </c>
      <c r="B961" t="inlineStr">
        <is>
          <t>SPE5EM-19-V-3777</t>
        </is>
      </c>
      <c r="D961" t="inlineStr">
        <is>
          <t>5330016250653</t>
        </is>
      </c>
      <c r="E961" t="n">
        <v>1</v>
      </c>
      <c r="F961" t="inlineStr">
        <is>
          <t>PBM</t>
        </is>
      </c>
      <c r="G961" t="inlineStr">
        <is>
          <t>4/8/2019</t>
        </is>
      </c>
      <c r="H961" t="inlineStr">
        <is>
          <t>2019 AUG 06</t>
        </is>
      </c>
      <c r="K961" t="inlineStr">
        <is>
          <t>$87.62</t>
        </is>
      </c>
    </row>
    <row r="962">
      <c r="A962" t="n">
        <v>50</v>
      </c>
      <c r="B962" t="inlineStr">
        <is>
          <t>SPE7M1-19-V-5739</t>
        </is>
      </c>
      <c r="D962" t="inlineStr">
        <is>
          <t>5935016215019</t>
        </is>
      </c>
      <c r="E962" t="n">
        <v>22</v>
      </c>
      <c r="F962" t="inlineStr">
        <is>
          <t>Glenair</t>
        </is>
      </c>
      <c r="G962" t="inlineStr">
        <is>
          <t>4/4/2019</t>
        </is>
      </c>
      <c r="H962" t="inlineStr">
        <is>
          <t>2019 SEP 23</t>
        </is>
      </c>
      <c r="K962" t="inlineStr">
        <is>
          <t>$3,693.36</t>
        </is>
      </c>
    </row>
    <row r="963">
      <c r="A963" t="n">
        <v>51</v>
      </c>
      <c r="B963" t="inlineStr">
        <is>
          <t>SPE4A6-19-V-073C</t>
        </is>
      </c>
      <c r="D963" t="inlineStr">
        <is>
          <t>6680003044845</t>
        </is>
      </c>
      <c r="E963" t="n">
        <v>26</v>
      </c>
      <c r="F963" t="inlineStr">
        <is>
          <t>Cameron</t>
        </is>
      </c>
      <c r="G963" t="inlineStr">
        <is>
          <t>4/4/2019</t>
        </is>
      </c>
      <c r="H963" t="inlineStr">
        <is>
          <t>2019 AUG 02</t>
        </is>
      </c>
      <c r="K963" t="inlineStr">
        <is>
          <t>$1,009.84</t>
        </is>
      </c>
    </row>
    <row r="964">
      <c r="A964" t="n">
        <v>52</v>
      </c>
      <c r="B964" t="inlineStr">
        <is>
          <t>SPE7M5-19-V-7336</t>
        </is>
      </c>
      <c r="D964" t="inlineStr">
        <is>
          <t>5935015843147</t>
        </is>
      </c>
      <c r="E964" t="n">
        <v>23</v>
      </c>
      <c r="F964" t="inlineStr">
        <is>
          <t>Glenair</t>
        </is>
      </c>
      <c r="G964" t="inlineStr">
        <is>
          <t>4/4/2019</t>
        </is>
      </c>
      <c r="H964" t="inlineStr">
        <is>
          <t>2019 SEP 11</t>
        </is>
      </c>
      <c r="K964" t="inlineStr">
        <is>
          <t>$1,175.07</t>
        </is>
      </c>
    </row>
    <row r="965">
      <c r="A965" t="n">
        <v>53</v>
      </c>
      <c r="B965" t="inlineStr">
        <is>
          <t>SPE7L3-19-P-4975</t>
        </is>
      </c>
      <c r="D965" t="inlineStr">
        <is>
          <t>3010012850767</t>
        </is>
      </c>
      <c r="E965" t="n">
        <v>4</v>
      </c>
      <c r="F965" t="inlineStr">
        <is>
          <t>Morpac</t>
        </is>
      </c>
      <c r="G965" t="inlineStr">
        <is>
          <t>4/4/2019</t>
        </is>
      </c>
      <c r="H965" t="inlineStr">
        <is>
          <t>2019 SEP 11</t>
        </is>
      </c>
      <c r="K965" t="inlineStr">
        <is>
          <t>$9,529.88</t>
        </is>
      </c>
    </row>
    <row r="966">
      <c r="A966" t="n">
        <v>54</v>
      </c>
      <c r="B966" t="inlineStr">
        <is>
          <t>SPE5E4-19-V-5395</t>
        </is>
      </c>
      <c r="D966" t="inlineStr">
        <is>
          <t>5306015128331</t>
        </is>
      </c>
      <c r="E966" t="n">
        <v>170</v>
      </c>
      <c r="F966" t="inlineStr">
        <is>
          <t>Avibank</t>
        </is>
      </c>
      <c r="G966" t="inlineStr">
        <is>
          <t>4/4/2019</t>
        </is>
      </c>
      <c r="H966" t="inlineStr">
        <is>
          <t>2019 OCT 11</t>
        </is>
      </c>
      <c r="K966" t="inlineStr">
        <is>
          <t>$22,310.80</t>
        </is>
      </c>
    </row>
    <row r="967">
      <c r="A967" t="n">
        <v>55</v>
      </c>
      <c r="B967" t="inlineStr">
        <is>
          <t>SPE7M1-19-V-5717</t>
        </is>
      </c>
      <c r="D967" t="inlineStr">
        <is>
          <t>5935013981807</t>
        </is>
      </c>
      <c r="E967" t="n">
        <v>14</v>
      </c>
      <c r="F967" t="inlineStr">
        <is>
          <t>Glenair</t>
        </is>
      </c>
      <c r="G967" t="inlineStr">
        <is>
          <t>4/4/2019</t>
        </is>
      </c>
      <c r="H967" t="inlineStr">
        <is>
          <t>2019 SEP 23</t>
        </is>
      </c>
      <c r="K967" t="inlineStr">
        <is>
          <t>$6,946.52</t>
        </is>
      </c>
    </row>
    <row r="968">
      <c r="A968" t="n">
        <v>56</v>
      </c>
      <c r="B968" t="inlineStr">
        <is>
          <t>SPE7M5-19-V-7389</t>
        </is>
      </c>
      <c r="D968" t="inlineStr">
        <is>
          <t>5935013288619</t>
        </is>
      </c>
      <c r="E968" t="n">
        <v>17</v>
      </c>
      <c r="F968" t="inlineStr">
        <is>
          <t>Glenair</t>
        </is>
      </c>
      <c r="G968" t="inlineStr">
        <is>
          <t>4/4/2019</t>
        </is>
      </c>
      <c r="H968" t="inlineStr">
        <is>
          <t>2019 SEP 16</t>
        </is>
      </c>
      <c r="K968" t="inlineStr">
        <is>
          <t>$2,955.79</t>
        </is>
      </c>
    </row>
    <row r="969">
      <c r="A969" t="n">
        <v>57</v>
      </c>
      <c r="B969" t="inlineStr">
        <is>
          <t>SPE7M5-19-V-7375</t>
        </is>
      </c>
      <c r="D969" t="inlineStr">
        <is>
          <t>5985016310130</t>
        </is>
      </c>
      <c r="E969" t="n">
        <v>1</v>
      </c>
      <c r="F969" t="inlineStr">
        <is>
          <t>Metropole</t>
        </is>
      </c>
      <c r="G969" t="inlineStr">
        <is>
          <t>4/4/2019</t>
        </is>
      </c>
      <c r="H969" t="inlineStr">
        <is>
          <t>2019 SEP 11</t>
        </is>
      </c>
      <c r="K969" t="inlineStr">
        <is>
          <t>$7,795.58</t>
        </is>
      </c>
    </row>
    <row r="970">
      <c r="A970" t="n">
        <v>58</v>
      </c>
      <c r="B970" t="inlineStr">
        <is>
          <t>SPE7M5-19-V-7379</t>
        </is>
      </c>
      <c r="D970" t="inlineStr">
        <is>
          <t>5935014468941</t>
        </is>
      </c>
      <c r="E970" t="n">
        <v>10</v>
      </c>
      <c r="F970" t="inlineStr">
        <is>
          <t>Glenair</t>
        </is>
      </c>
      <c r="G970" t="inlineStr">
        <is>
          <t>4/4/2019</t>
        </is>
      </c>
      <c r="H970" t="inlineStr">
        <is>
          <t>2019 SEP 11</t>
        </is>
      </c>
      <c r="K970" t="inlineStr">
        <is>
          <t>$88.90</t>
        </is>
      </c>
    </row>
    <row r="971">
      <c r="A971" t="n">
        <v>59</v>
      </c>
      <c r="B971" t="inlineStr">
        <is>
          <t>SPE7M1-19-V-5765</t>
        </is>
      </c>
      <c r="D971" t="inlineStr">
        <is>
          <t>5935016151707</t>
        </is>
      </c>
      <c r="E971" t="n">
        <v>33</v>
      </c>
      <c r="F971" t="inlineStr">
        <is>
          <t>Glenair</t>
        </is>
      </c>
      <c r="G971" t="inlineStr">
        <is>
          <t>4/4/2019</t>
        </is>
      </c>
      <c r="H971" t="inlineStr">
        <is>
          <t>2019 SEP 23</t>
        </is>
      </c>
      <c r="K971" t="inlineStr">
        <is>
          <t>$4,608.12</t>
        </is>
      </c>
    </row>
    <row r="972">
      <c r="A972" t="n">
        <v>60</v>
      </c>
      <c r="B972" t="inlineStr">
        <is>
          <t>SPE7M1-19-V-5763</t>
        </is>
      </c>
      <c r="D972" t="inlineStr">
        <is>
          <t>5935013944601</t>
        </is>
      </c>
      <c r="E972" t="n">
        <v>16</v>
      </c>
      <c r="F972" t="inlineStr">
        <is>
          <t>Glenair</t>
        </is>
      </c>
      <c r="G972" t="inlineStr">
        <is>
          <t>4/4/2019</t>
        </is>
      </c>
      <c r="H972" t="inlineStr">
        <is>
          <t>2019 SEP 11</t>
        </is>
      </c>
      <c r="K972" t="inlineStr">
        <is>
          <t>$1,769.76</t>
        </is>
      </c>
    </row>
    <row r="973">
      <c r="A973" t="n">
        <v>61</v>
      </c>
      <c r="B973" t="inlineStr">
        <is>
          <t>SPE7M5-19-V-7352</t>
        </is>
      </c>
      <c r="D973" t="inlineStr">
        <is>
          <t>5945008855840</t>
        </is>
      </c>
      <c r="E973" t="n">
        <v>65</v>
      </c>
      <c r="F973" t="inlineStr">
        <is>
          <t>World Magnetics</t>
        </is>
      </c>
      <c r="G973" t="inlineStr">
        <is>
          <t>4/4/2019</t>
        </is>
      </c>
      <c r="H973" t="inlineStr">
        <is>
          <t>2019 SEP 16</t>
        </is>
      </c>
      <c r="K973" t="inlineStr">
        <is>
          <t>$4,251.65</t>
        </is>
      </c>
    </row>
    <row r="974">
      <c r="A974" t="n">
        <v>62</v>
      </c>
      <c r="B974" t="inlineStr">
        <is>
          <t>SPE7M5-19-V-7425</t>
        </is>
      </c>
      <c r="D974" t="inlineStr">
        <is>
          <t>5935016151446</t>
        </is>
      </c>
      <c r="E974" t="n">
        <v>40</v>
      </c>
      <c r="F974" t="inlineStr">
        <is>
          <t>Glenair</t>
        </is>
      </c>
      <c r="G974" t="inlineStr">
        <is>
          <t>4/4/2019</t>
        </is>
      </c>
      <c r="H974" t="inlineStr">
        <is>
          <t>2019 SEP 16</t>
        </is>
      </c>
      <c r="K974" t="inlineStr">
        <is>
          <t>$3,457.20</t>
        </is>
      </c>
    </row>
    <row r="975">
      <c r="A975" t="n">
        <v>63</v>
      </c>
      <c r="B975" t="inlineStr">
        <is>
          <t>SPE7MC-19-V-6334</t>
        </is>
      </c>
      <c r="D975" t="inlineStr">
        <is>
          <t>5999016423693</t>
        </is>
      </c>
      <c r="E975" t="n">
        <v>3</v>
      </c>
      <c r="F975" t="inlineStr">
        <is>
          <t>Gems</t>
        </is>
      </c>
      <c r="G975" t="inlineStr">
        <is>
          <t>4/4/2019</t>
        </is>
      </c>
      <c r="H975" t="inlineStr">
        <is>
          <t>2019 SEP 11</t>
        </is>
      </c>
      <c r="K975" t="inlineStr">
        <is>
          <t>$2,546.31</t>
        </is>
      </c>
    </row>
  </sheetData>
  <pageMargins bottom="0.75" footer="0.3" header="0.3" left="0.7" right="0.7" top="0.75"/>
  <pageSetup orientation="landscape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864"/>
  <sheetViews>
    <sheetView tabSelected="1" topLeftCell="A818" workbookViewId="0">
      <selection activeCell="N850" sqref="N850"/>
    </sheetView>
  </sheetViews>
  <sheetFormatPr baseColWidth="8" defaultRowHeight="15" outlineLevelCol="0"/>
  <cols>
    <col customWidth="1" max="1" min="1" width="6.85546875"/>
    <col customWidth="1" max="2" min="2" width="30.5703125"/>
    <col bestFit="1" customWidth="1" max="3" min="3" width="19.42578125"/>
    <col customWidth="1" hidden="1" max="4" min="4" width="6.28515625"/>
    <col customWidth="1" max="5" min="5" width="6.7109375"/>
    <col customWidth="1" max="6" min="6" width="7"/>
    <col customWidth="1" max="7" min="7" width="14"/>
    <col customWidth="1" max="8" min="8" width="12.85546875"/>
    <col customWidth="1" max="9" min="9" width="10.28515625"/>
    <col customWidth="1" max="10" min="10" width="13.5703125"/>
    <col customWidth="1" max="11" min="11" width="34.5703125"/>
    <col bestFit="1" customWidth="1" max="12" min="12" width="10.5703125"/>
    <col bestFit="1" customWidth="1" max="13" min="13" width="11.5703125"/>
  </cols>
  <sheetData>
    <row r="1"/>
    <row r="2"/>
    <row customHeight="1" ht="30" r="3">
      <c r="B3" s="5" t="inlineStr">
        <is>
          <t>Contract</t>
        </is>
      </c>
      <c r="C3" s="5" t="inlineStr">
        <is>
          <t>Desc</t>
        </is>
      </c>
      <c r="D3" s="5" t="inlineStr">
        <is>
          <t>Rcd/Acpt</t>
        </is>
      </c>
      <c r="E3" s="5" t="inlineStr">
        <is>
          <t>QTY</t>
        </is>
      </c>
      <c r="F3" s="5" t="inlineStr">
        <is>
          <t>Invoice</t>
        </is>
      </c>
      <c r="G3" s="5" t="n"/>
      <c r="H3" s="5" t="inlineStr">
        <is>
          <t>Shipment Number</t>
        </is>
      </c>
      <c r="I3" s="5" t="inlineStr">
        <is>
          <t>Invoice</t>
        </is>
      </c>
      <c r="J3" s="5" t="inlineStr">
        <is>
          <t>Ship Date</t>
        </is>
      </c>
      <c r="K3" s="5" t="inlineStr">
        <is>
          <t>RFID</t>
        </is>
      </c>
      <c r="L3" s="21" t="inlineStr">
        <is>
          <t>Payment
Received</t>
        </is>
      </c>
      <c r="M3" s="21" t="inlineStr">
        <is>
          <t>Invoice
paid</t>
        </is>
      </c>
    </row>
    <row r="4">
      <c r="A4" t="n">
        <v>1</v>
      </c>
      <c r="B4" t="inlineStr">
        <is>
          <t>N6833516P0506</t>
        </is>
      </c>
      <c r="C4" t="inlineStr">
        <is>
          <t>IR-Valves</t>
        </is>
      </c>
      <c r="H4" t="inlineStr">
        <is>
          <t>WSI1002</t>
        </is>
      </c>
      <c r="I4" t="inlineStr">
        <is>
          <t>WSII1002</t>
        </is>
      </c>
      <c r="J4" s="4" t="n">
        <v>42634</v>
      </c>
      <c r="K4" t="inlineStr">
        <is>
          <t>n/a</t>
        </is>
      </c>
    </row>
    <row r="5">
      <c r="A5" t="n">
        <v>2</v>
      </c>
      <c r="B5" t="inlineStr">
        <is>
          <t>SPE7M5-16-M-A850</t>
        </is>
      </c>
      <c r="C5" t="inlineStr">
        <is>
          <t>TSE-ANTENA</t>
        </is>
      </c>
      <c r="H5" t="inlineStr">
        <is>
          <t>WSI1001</t>
        </is>
      </c>
      <c r="I5" t="inlineStr">
        <is>
          <t>WSII1001</t>
        </is>
      </c>
      <c r="J5" s="4" t="n">
        <v>42657</v>
      </c>
      <c r="K5" t="inlineStr">
        <is>
          <t>2F120374D523630000000001</t>
        </is>
      </c>
    </row>
    <row r="6">
      <c r="A6" t="n">
        <v>3</v>
      </c>
      <c r="B6" t="inlineStr">
        <is>
          <t>N4523A16P1017</t>
        </is>
      </c>
      <c r="C6" t="inlineStr">
        <is>
          <t>Semiens</t>
        </is>
      </c>
      <c r="H6" t="inlineStr">
        <is>
          <t>WSI1003</t>
        </is>
      </c>
      <c r="I6" t="inlineStr">
        <is>
          <t>WSII1003</t>
        </is>
      </c>
      <c r="J6" s="4" t="n">
        <v>42670</v>
      </c>
      <c r="K6" t="inlineStr">
        <is>
          <t>2F120374D523630000000002</t>
        </is>
      </c>
    </row>
    <row r="7">
      <c r="A7" t="n">
        <v>4</v>
      </c>
      <c r="B7" t="inlineStr">
        <is>
          <t>SPE7M517P0085</t>
        </is>
      </c>
      <c r="C7" t="inlineStr">
        <is>
          <t>TSE-ANTENA</t>
        </is>
      </c>
      <c r="H7" t="inlineStr">
        <is>
          <t>WSI1004</t>
        </is>
      </c>
      <c r="I7" t="inlineStr">
        <is>
          <t>WSII1004</t>
        </is>
      </c>
      <c r="J7" s="4" t="n">
        <v>42676</v>
      </c>
      <c r="K7" t="inlineStr">
        <is>
          <t>2F120374D523630000000003</t>
        </is>
      </c>
    </row>
    <row r="8">
      <c r="A8" t="n">
        <v>5</v>
      </c>
      <c r="B8" t="inlineStr">
        <is>
          <t>SPE7M8-17-P-0152</t>
        </is>
      </c>
      <c r="C8" t="inlineStr">
        <is>
          <t>Switches-CPI</t>
        </is>
      </c>
      <c r="H8" t="inlineStr">
        <is>
          <t>WSI1005</t>
        </is>
      </c>
      <c r="I8" t="inlineStr">
        <is>
          <t>WSII1005</t>
        </is>
      </c>
      <c r="J8" s="4" t="n">
        <v>42702</v>
      </c>
      <c r="K8" t="inlineStr">
        <is>
          <t>2F120374D523630000000004</t>
        </is>
      </c>
    </row>
    <row r="9">
      <c r="A9" t="n">
        <v>6</v>
      </c>
      <c r="B9" t="inlineStr">
        <is>
          <t>SPE7M5-17-P-1750</t>
        </is>
      </c>
      <c r="C9" t="inlineStr">
        <is>
          <t>KEYSIGHT</t>
        </is>
      </c>
      <c r="H9" t="inlineStr">
        <is>
          <t>WSI1006</t>
        </is>
      </c>
      <c r="I9" t="inlineStr">
        <is>
          <t>WSII1006</t>
        </is>
      </c>
      <c r="J9" s="4" t="n">
        <v>42707</v>
      </c>
      <c r="K9" t="inlineStr">
        <is>
          <t>2F120374D523630000000005</t>
        </is>
      </c>
    </row>
    <row r="10">
      <c r="A10" t="n">
        <v>7</v>
      </c>
      <c r="B10" t="inlineStr">
        <is>
          <t>SPE7M3-16-M-5328</t>
        </is>
      </c>
      <c r="C10" t="inlineStr">
        <is>
          <t>Thee Lee</t>
        </is>
      </c>
      <c r="H10" t="inlineStr">
        <is>
          <t>WSI1007</t>
        </is>
      </c>
      <c r="I10" t="inlineStr">
        <is>
          <t>WSII1007</t>
        </is>
      </c>
      <c r="J10" s="4" t="n">
        <v>42709</v>
      </c>
      <c r="K10" t="inlineStr">
        <is>
          <t>2F120374D523630000000006</t>
        </is>
      </c>
    </row>
    <row r="11">
      <c r="A11" t="n">
        <v>8</v>
      </c>
      <c r="B11" t="inlineStr">
        <is>
          <t>SPE7M5-17-P-0529</t>
        </is>
      </c>
      <c r="C11" t="inlineStr">
        <is>
          <t>DataDelay</t>
        </is>
      </c>
      <c r="H11" t="inlineStr">
        <is>
          <t>WSI1008</t>
        </is>
      </c>
      <c r="I11" t="inlineStr">
        <is>
          <t>WSII1008</t>
        </is>
      </c>
      <c r="J11" s="4" t="n">
        <v>42717</v>
      </c>
      <c r="K11" t="inlineStr">
        <is>
          <t>2F120374D523630000000007</t>
        </is>
      </c>
    </row>
    <row r="12">
      <c r="A12" t="n">
        <v>9</v>
      </c>
      <c r="B12" t="inlineStr">
        <is>
          <t>SPE7MC-17-V-2464</t>
        </is>
      </c>
      <c r="C12" t="inlineStr">
        <is>
          <t>DITMCO</t>
        </is>
      </c>
      <c r="H12" t="inlineStr">
        <is>
          <t>WSI1009</t>
        </is>
      </c>
      <c r="I12" t="inlineStr">
        <is>
          <t>WSII1009</t>
        </is>
      </c>
      <c r="J12" s="4" t="n">
        <v>42720</v>
      </c>
      <c r="K12" t="inlineStr">
        <is>
          <t>2F120374D523630000000008</t>
        </is>
      </c>
    </row>
    <row r="13">
      <c r="A13" t="n">
        <v>10</v>
      </c>
      <c r="B13" t="inlineStr">
        <is>
          <t>SPE5E8-17-P-0352</t>
        </is>
      </c>
      <c r="C13" t="inlineStr">
        <is>
          <t>Ahler</t>
        </is>
      </c>
      <c r="H13" t="inlineStr">
        <is>
          <t>WSI1010</t>
        </is>
      </c>
      <c r="I13" t="inlineStr">
        <is>
          <t>WSII1010</t>
        </is>
      </c>
      <c r="J13" s="4" t="n">
        <v>42727</v>
      </c>
      <c r="K13" t="inlineStr">
        <is>
          <t>2F120374D523630000000009</t>
        </is>
      </c>
    </row>
    <row r="14">
      <c r="J14" s="4" t="n"/>
    </row>
    <row r="15">
      <c r="A15" t="n">
        <v>11</v>
      </c>
      <c r="B15" t="inlineStr">
        <is>
          <t>SPE4A6-17-P-3512</t>
        </is>
      </c>
      <c r="C15" t="inlineStr">
        <is>
          <t>Lumitron</t>
        </is>
      </c>
      <c r="H15" t="inlineStr">
        <is>
          <t>WSIJ001</t>
        </is>
      </c>
      <c r="I15" t="inlineStr">
        <is>
          <t>WSIIJ001</t>
        </is>
      </c>
      <c r="J15" s="4" t="n">
        <v>42753</v>
      </c>
      <c r="K15" t="inlineStr">
        <is>
          <t>N RFID</t>
        </is>
      </c>
    </row>
    <row r="16">
      <c r="A16" t="n">
        <v>12</v>
      </c>
      <c r="B16" t="inlineStr">
        <is>
          <t>N00253-17-P-0062</t>
        </is>
      </c>
      <c r="C16" t="inlineStr">
        <is>
          <t>Valeport</t>
        </is>
      </c>
      <c r="H16" t="inlineStr">
        <is>
          <t>WSIJ002</t>
        </is>
      </c>
      <c r="I16" t="inlineStr">
        <is>
          <t>WSIIJ002</t>
        </is>
      </c>
      <c r="J16" s="4" t="n">
        <v>42761</v>
      </c>
      <c r="K16" t="inlineStr">
        <is>
          <t>Drop ship</t>
        </is>
      </c>
    </row>
    <row r="17">
      <c r="A17" t="n">
        <v>13</v>
      </c>
      <c r="C17" t="inlineStr">
        <is>
          <t>Leach</t>
        </is>
      </c>
      <c r="H17" t="inlineStr">
        <is>
          <t>WSIF001</t>
        </is>
      </c>
      <c r="I17" t="inlineStr">
        <is>
          <t>WSIIF001</t>
        </is>
      </c>
      <c r="J17" s="4" t="n">
        <v>42789</v>
      </c>
      <c r="K17" t="inlineStr">
        <is>
          <t>2F120374D52363000000000A</t>
        </is>
      </c>
    </row>
    <row r="18">
      <c r="A18" t="n">
        <v>14</v>
      </c>
      <c r="B18" t="inlineStr">
        <is>
          <t>SPE4A5-17-P-3242</t>
        </is>
      </c>
      <c r="C18" t="inlineStr">
        <is>
          <t>Gleanir</t>
        </is>
      </c>
      <c r="H18" t="inlineStr">
        <is>
          <t>WSIF002</t>
        </is>
      </c>
      <c r="I18" t="inlineStr">
        <is>
          <t>WSIIF002</t>
        </is>
      </c>
      <c r="J18" s="4" t="n">
        <v>42789</v>
      </c>
      <c r="K18" t="inlineStr">
        <is>
          <t>2F120374D52363000000000B</t>
        </is>
      </c>
      <c r="M18" s="4" t="n">
        <v>42835</v>
      </c>
    </row>
    <row r="19">
      <c r="A19" t="n">
        <v>15</v>
      </c>
      <c r="B19" t="inlineStr">
        <is>
          <t>SPE7M8-17-P-1105</t>
        </is>
      </c>
      <c r="C19" t="inlineStr">
        <is>
          <t>CTC</t>
        </is>
      </c>
      <c r="H19" t="inlineStr">
        <is>
          <t>WSIM001</t>
        </is>
      </c>
      <c r="I19" t="inlineStr">
        <is>
          <t>WSIIM001</t>
        </is>
      </c>
      <c r="J19" s="4" t="n">
        <v>42796</v>
      </c>
      <c r="K19" t="inlineStr">
        <is>
          <t>2F120374D52363000000000C</t>
        </is>
      </c>
    </row>
    <row r="20">
      <c r="A20" t="n">
        <v>16</v>
      </c>
      <c r="B20" t="inlineStr">
        <is>
          <t>SPE7L0-17-V-2029</t>
        </is>
      </c>
      <c r="C20" t="inlineStr">
        <is>
          <t>Dauto</t>
        </is>
      </c>
      <c r="H20" t="inlineStr">
        <is>
          <t>WSIM002</t>
        </is>
      </c>
      <c r="I20" t="inlineStr">
        <is>
          <t>WSIIM002</t>
        </is>
      </c>
      <c r="J20" s="4" t="n">
        <v>42797</v>
      </c>
      <c r="K20" t="inlineStr">
        <is>
          <t>2F120374D52363000000000D</t>
        </is>
      </c>
    </row>
    <row r="21">
      <c r="A21" t="n">
        <v>17</v>
      </c>
      <c r="B21" t="inlineStr">
        <is>
          <t>SPE7M8-17-V-0355</t>
        </is>
      </c>
      <c r="C21" t="inlineStr">
        <is>
          <t>GEMS</t>
        </is>
      </c>
      <c r="H21" t="inlineStr">
        <is>
          <t>WSIM003</t>
        </is>
      </c>
      <c r="I21" t="inlineStr">
        <is>
          <t>WSIIM003</t>
        </is>
      </c>
      <c r="J21" s="4" t="n">
        <v>42814</v>
      </c>
      <c r="K21" t="inlineStr">
        <is>
          <t>2F120374D52363000000000E</t>
        </is>
      </c>
      <c r="M21" s="4" t="n">
        <v>42843</v>
      </c>
    </row>
    <row r="22">
      <c r="A22" t="n">
        <v>18</v>
      </c>
      <c r="C22" t="inlineStr">
        <is>
          <t>HYSTST</t>
        </is>
      </c>
      <c r="H22" t="inlineStr">
        <is>
          <t>WSIM004</t>
        </is>
      </c>
      <c r="I22" t="inlineStr">
        <is>
          <t>WSIIM004</t>
        </is>
      </c>
      <c r="J22" s="4" t="n">
        <v>42822</v>
      </c>
      <c r="K22" t="inlineStr">
        <is>
          <t>2F120374D52363000000000F</t>
        </is>
      </c>
    </row>
    <row r="23">
      <c r="A23" t="n">
        <v>19</v>
      </c>
      <c r="C23" t="inlineStr">
        <is>
          <t>GEMS</t>
        </is>
      </c>
      <c r="H23" t="inlineStr">
        <is>
          <t>WSIM006</t>
        </is>
      </c>
      <c r="I23" t="inlineStr">
        <is>
          <t>WSIIM006</t>
        </is>
      </c>
      <c r="J23" s="4" t="n">
        <v>42823</v>
      </c>
      <c r="K23" t="inlineStr">
        <is>
          <t>2F120374D523630000000010</t>
        </is>
      </c>
      <c r="M23" s="4" t="n">
        <v>42843</v>
      </c>
    </row>
    <row r="24">
      <c r="A24" t="n">
        <v>20</v>
      </c>
      <c r="C24" t="inlineStr">
        <is>
          <t>GEMS</t>
        </is>
      </c>
      <c r="H24" t="inlineStr">
        <is>
          <t>WSIA001</t>
        </is>
      </c>
      <c r="I24" t="inlineStr">
        <is>
          <t>WSIIA001</t>
        </is>
      </c>
      <c r="J24" s="4" t="n">
        <v>42835</v>
      </c>
      <c r="K24" t="inlineStr">
        <is>
          <t>2F120374D523630000000011</t>
        </is>
      </c>
      <c r="L24" s="4" t="n">
        <v>42844</v>
      </c>
    </row>
    <row r="25">
      <c r="A25" t="n">
        <v>21</v>
      </c>
      <c r="C25" t="inlineStr">
        <is>
          <t>Dauto</t>
        </is>
      </c>
      <c r="H25" t="inlineStr">
        <is>
          <t>WSIA002</t>
        </is>
      </c>
      <c r="I25" t="inlineStr">
        <is>
          <t>WSIIA002</t>
        </is>
      </c>
      <c r="J25" s="4" t="n">
        <v>42853</v>
      </c>
      <c r="K25" t="inlineStr">
        <is>
          <t>2F120374D523630000000012</t>
        </is>
      </c>
    </row>
    <row r="26">
      <c r="A26" t="n">
        <v>22</v>
      </c>
      <c r="C26" t="inlineStr">
        <is>
          <t>EAST</t>
        </is>
      </c>
      <c r="H26" t="inlineStr">
        <is>
          <t>WSMY001</t>
        </is>
      </c>
      <c r="I26" t="inlineStr">
        <is>
          <t>WSMYI001</t>
        </is>
      </c>
      <c r="J26" s="4" t="n">
        <v>42867</v>
      </c>
      <c r="K26" t="inlineStr">
        <is>
          <t>2F120374D523630000000013</t>
        </is>
      </c>
    </row>
    <row r="27">
      <c r="A27" t="n">
        <v>23</v>
      </c>
      <c r="C27" s="20" t="inlineStr">
        <is>
          <t>MUNTER</t>
        </is>
      </c>
      <c r="D27" s="20" t="n"/>
      <c r="E27" s="20" t="n"/>
      <c r="F27" s="20" t="n"/>
      <c r="G27" s="20" t="n"/>
      <c r="H27" t="inlineStr">
        <is>
          <t>WSMY002</t>
        </is>
      </c>
      <c r="I27" t="inlineStr">
        <is>
          <t>WSMYI002</t>
        </is>
      </c>
      <c r="J27" s="4" t="n">
        <v>42871</v>
      </c>
      <c r="K27" t="inlineStr">
        <is>
          <t>2F120374D523630000000014</t>
        </is>
      </c>
    </row>
    <row r="28">
      <c r="A28" t="n">
        <v>24</v>
      </c>
      <c r="C28" s="20" t="inlineStr">
        <is>
          <t>GEMS</t>
        </is>
      </c>
      <c r="D28" s="20" t="n"/>
      <c r="E28" s="20" t="n"/>
      <c r="F28" s="20" t="n"/>
      <c r="G28" s="20" t="n"/>
      <c r="H28" t="inlineStr">
        <is>
          <t>WSMY003</t>
        </is>
      </c>
      <c r="I28" t="inlineStr">
        <is>
          <t>WSMYI003</t>
        </is>
      </c>
      <c r="J28" s="4" t="n">
        <v>42871</v>
      </c>
      <c r="K28" t="inlineStr">
        <is>
          <t>2F120374D523630000000015</t>
        </is>
      </c>
    </row>
    <row r="29">
      <c r="A29" t="n">
        <v>25</v>
      </c>
      <c r="C29" s="20" t="inlineStr">
        <is>
          <t>Thermtrol</t>
        </is>
      </c>
      <c r="D29" s="20" t="n"/>
      <c r="E29" s="20" t="n"/>
      <c r="F29" s="20" t="n"/>
      <c r="G29" s="20" t="n"/>
      <c r="H29" t="inlineStr">
        <is>
          <t>WSMY004</t>
        </is>
      </c>
      <c r="I29" t="inlineStr">
        <is>
          <t>WSMYI004</t>
        </is>
      </c>
      <c r="J29" s="4" t="n"/>
      <c r="K29" t="inlineStr">
        <is>
          <t>2F120374D523630000000016</t>
        </is>
      </c>
    </row>
    <row r="30">
      <c r="A30" t="n">
        <v>26</v>
      </c>
      <c r="C30" s="20" t="inlineStr">
        <is>
          <t>Dauto</t>
        </is>
      </c>
      <c r="D30" s="20" t="n"/>
      <c r="E30" s="20" t="n"/>
      <c r="F30" s="20" t="n"/>
      <c r="G30" s="20" t="n"/>
      <c r="H30" t="inlineStr">
        <is>
          <t>WSMY005</t>
        </is>
      </c>
      <c r="I30" t="inlineStr">
        <is>
          <t>WSMYI005</t>
        </is>
      </c>
      <c r="J30" s="4" t="n">
        <v>42879</v>
      </c>
      <c r="K30" t="inlineStr">
        <is>
          <t>2F120374D523630000000017</t>
        </is>
      </c>
    </row>
    <row r="31">
      <c r="A31" t="n">
        <v>27</v>
      </c>
      <c r="C31" s="20" t="inlineStr">
        <is>
          <t>ERA-Allen</t>
        </is>
      </c>
      <c r="D31" s="20" t="n"/>
      <c r="E31" s="20" t="n"/>
      <c r="F31" s="20" t="n"/>
      <c r="G31" s="20" t="n"/>
      <c r="H31" t="inlineStr">
        <is>
          <t>WSMY006</t>
        </is>
      </c>
      <c r="I31" t="inlineStr">
        <is>
          <t>WSMYI006</t>
        </is>
      </c>
      <c r="J31" s="4" t="n">
        <v>42880</v>
      </c>
      <c r="K31" t="inlineStr">
        <is>
          <t>2F120374D523630000000018</t>
        </is>
      </c>
    </row>
    <row r="32">
      <c r="A32" t="n">
        <v>28</v>
      </c>
      <c r="C32" s="20" t="inlineStr">
        <is>
          <t>PBM</t>
        </is>
      </c>
      <c r="D32" s="20" t="n"/>
      <c r="E32" s="20" t="n"/>
      <c r="F32" s="20" t="n"/>
      <c r="G32" s="20" t="n"/>
      <c r="H32" t="inlineStr">
        <is>
          <t>WSMY007</t>
        </is>
      </c>
      <c r="I32" t="inlineStr">
        <is>
          <t>WSMYI007</t>
        </is>
      </c>
      <c r="J32" s="4" t="n">
        <v>42891</v>
      </c>
      <c r="K32" t="inlineStr">
        <is>
          <t>NO RFID</t>
        </is>
      </c>
    </row>
    <row r="33">
      <c r="A33" t="n">
        <v>29</v>
      </c>
      <c r="C33" s="20" t="inlineStr">
        <is>
          <t>PBM</t>
        </is>
      </c>
      <c r="D33" s="20" t="n"/>
      <c r="E33" s="20" t="n"/>
      <c r="F33" s="20" t="n"/>
      <c r="G33" s="20" t="n"/>
      <c r="H33" t="inlineStr">
        <is>
          <t>WSJY001</t>
        </is>
      </c>
      <c r="I33" t="inlineStr">
        <is>
          <t>WSJYI001</t>
        </is>
      </c>
      <c r="J33" s="4" t="n">
        <v>42921</v>
      </c>
      <c r="K33" t="inlineStr">
        <is>
          <t>2F120374D523630000000019</t>
        </is>
      </c>
    </row>
    <row r="34">
      <c r="A34" t="n">
        <v>30</v>
      </c>
      <c r="C34" s="20" t="inlineStr">
        <is>
          <t>PBM</t>
        </is>
      </c>
      <c r="D34" s="20" t="n"/>
      <c r="E34" s="20" t="n"/>
      <c r="F34" s="20" t="n"/>
      <c r="G34" s="20" t="n"/>
      <c r="H34" t="inlineStr">
        <is>
          <t>WSJY002</t>
        </is>
      </c>
      <c r="I34" t="inlineStr">
        <is>
          <t>WSJYI002</t>
        </is>
      </c>
      <c r="J34" s="4" t="n">
        <v>42922</v>
      </c>
      <c r="K34" t="inlineStr">
        <is>
          <t>2F120374D52363000000001A</t>
        </is>
      </c>
    </row>
    <row r="35">
      <c r="A35" t="n">
        <v>31</v>
      </c>
      <c r="C35" s="20" t="inlineStr">
        <is>
          <t>CPI</t>
        </is>
      </c>
      <c r="D35" s="20" t="n"/>
      <c r="E35" s="20" t="n"/>
      <c r="F35" s="20" t="n"/>
      <c r="G35" s="20" t="n"/>
      <c r="H35" t="inlineStr">
        <is>
          <t>WSJY003</t>
        </is>
      </c>
      <c r="I35" t="inlineStr">
        <is>
          <t>WSJYI003</t>
        </is>
      </c>
      <c r="J35" s="4" t="n">
        <v>42930</v>
      </c>
      <c r="K35" t="inlineStr">
        <is>
          <t>2F120374D52363000000001B</t>
        </is>
      </c>
    </row>
    <row r="36">
      <c r="A36" t="n">
        <v>32</v>
      </c>
      <c r="C36" s="20" t="inlineStr">
        <is>
          <t>HYSTT</t>
        </is>
      </c>
      <c r="D36" s="20" t="n"/>
      <c r="E36" s="20" t="n"/>
      <c r="F36" s="20" t="n"/>
      <c r="G36" s="20" t="n"/>
      <c r="H36" t="inlineStr">
        <is>
          <t>WSJY004</t>
        </is>
      </c>
      <c r="I36" t="inlineStr">
        <is>
          <t>WSJYI004</t>
        </is>
      </c>
      <c r="J36" s="4" t="n">
        <v>42930</v>
      </c>
      <c r="K36" t="inlineStr">
        <is>
          <t>2F120374D52363000000001C</t>
        </is>
      </c>
    </row>
    <row r="37">
      <c r="A37" t="n">
        <v>33</v>
      </c>
      <c r="C37" s="20" t="inlineStr">
        <is>
          <t>GEMS</t>
        </is>
      </c>
      <c r="D37" s="20" t="n"/>
      <c r="E37" s="20" t="n"/>
      <c r="F37" s="20" t="n"/>
      <c r="G37" s="66" t="n"/>
      <c r="H37" t="inlineStr">
        <is>
          <t>WSJY005</t>
        </is>
      </c>
      <c r="I37" t="inlineStr">
        <is>
          <t>WSJYI005</t>
        </is>
      </c>
      <c r="J37" s="4" t="n">
        <v>42942</v>
      </c>
      <c r="K37" t="inlineStr">
        <is>
          <t>NO RFID</t>
        </is>
      </c>
    </row>
    <row r="38">
      <c r="A38" t="n">
        <v>34</v>
      </c>
      <c r="C38" s="20" t="inlineStr">
        <is>
          <t>EAST</t>
        </is>
      </c>
      <c r="D38" s="20" t="n"/>
      <c r="E38" s="20" t="n"/>
      <c r="F38" s="20" t="n"/>
      <c r="G38" s="20" t="n"/>
      <c r="H38" t="inlineStr">
        <is>
          <t>WSJY006</t>
        </is>
      </c>
      <c r="I38" t="inlineStr">
        <is>
          <t>WSJYI006</t>
        </is>
      </c>
      <c r="J38" s="4" t="n">
        <v>42933</v>
      </c>
      <c r="K38" t="inlineStr">
        <is>
          <t>2F120374D52363000000001E</t>
        </is>
      </c>
    </row>
    <row r="39">
      <c r="A39" t="n">
        <v>35</v>
      </c>
      <c r="C39" s="20" t="inlineStr">
        <is>
          <t>PASTER</t>
        </is>
      </c>
      <c r="D39" s="20" t="n"/>
      <c r="E39" s="20" t="n"/>
      <c r="F39" s="20" t="n"/>
      <c r="G39" s="66" t="n"/>
      <c r="H39" t="inlineStr">
        <is>
          <t>WSJY007</t>
        </is>
      </c>
      <c r="I39" t="inlineStr">
        <is>
          <t>WSJYI007</t>
        </is>
      </c>
      <c r="J39" s="4" t="n">
        <v>42933</v>
      </c>
      <c r="K39" t="inlineStr">
        <is>
          <t>2F120374D52363000000001F</t>
        </is>
      </c>
    </row>
    <row r="40">
      <c r="A40" t="n">
        <v>36</v>
      </c>
      <c r="C40" s="20" t="inlineStr">
        <is>
          <t>GEMS</t>
        </is>
      </c>
      <c r="D40" s="20" t="n"/>
      <c r="E40" s="20" t="n"/>
      <c r="F40" s="20" t="n"/>
      <c r="G40" s="20" t="n"/>
      <c r="H40" t="inlineStr">
        <is>
          <t>WSJY008</t>
        </is>
      </c>
      <c r="I40" t="inlineStr">
        <is>
          <t>WSJYI008</t>
        </is>
      </c>
      <c r="J40" s="4" t="n">
        <v>42940</v>
      </c>
      <c r="K40" t="inlineStr">
        <is>
          <t>2F120374D523630000000020</t>
        </is>
      </c>
    </row>
    <row r="41">
      <c r="A41" t="n">
        <v>37</v>
      </c>
      <c r="B41" t="inlineStr">
        <is>
          <t>SPE7M1-17-V-9239</t>
        </is>
      </c>
      <c r="C41" s="66" t="inlineStr">
        <is>
          <t>GEMS</t>
        </is>
      </c>
      <c r="D41" s="66" t="n"/>
      <c r="E41" s="66" t="n"/>
      <c r="F41" s="66" t="n"/>
      <c r="G41" s="51" t="inlineStr">
        <is>
          <t>Check</t>
        </is>
      </c>
      <c r="H41" s="22" t="inlineStr">
        <is>
          <t>WSJY009</t>
        </is>
      </c>
      <c r="I41" s="22" t="inlineStr">
        <is>
          <t>WSJYI009</t>
        </is>
      </c>
      <c r="J41" s="4" t="n">
        <v>42943</v>
      </c>
      <c r="K41" t="inlineStr">
        <is>
          <t>NO RFID</t>
        </is>
      </c>
    </row>
    <row r="42">
      <c r="A42" t="n">
        <v>38</v>
      </c>
      <c r="C42" s="20" t="inlineStr">
        <is>
          <t>Gleanir</t>
        </is>
      </c>
      <c r="D42" s="20" t="n"/>
      <c r="E42" s="20" t="n"/>
      <c r="F42" s="20" t="n"/>
      <c r="G42" s="20" t="n"/>
      <c r="H42" t="inlineStr">
        <is>
          <t>WSJY010</t>
        </is>
      </c>
      <c r="I42" t="inlineStr">
        <is>
          <t>WSJYI010</t>
        </is>
      </c>
      <c r="J42" s="4" t="n">
        <v>42943</v>
      </c>
      <c r="K42" t="inlineStr">
        <is>
          <t>2F120374D52363000000001D</t>
        </is>
      </c>
    </row>
    <row r="43">
      <c r="A43" t="n">
        <v>39</v>
      </c>
      <c r="C43" s="20" t="inlineStr">
        <is>
          <t>CPI</t>
        </is>
      </c>
      <c r="D43" s="20" t="n"/>
      <c r="E43" s="20" t="n"/>
      <c r="F43" s="20" t="n"/>
      <c r="G43" s="20" t="n"/>
      <c r="H43" t="inlineStr">
        <is>
          <t>WSJY011</t>
        </is>
      </c>
      <c r="I43" t="inlineStr">
        <is>
          <t>WSJYI011</t>
        </is>
      </c>
      <c r="J43" s="4" t="n">
        <v>42947</v>
      </c>
      <c r="K43" t="inlineStr">
        <is>
          <t>2F120374D523630000000021</t>
        </is>
      </c>
    </row>
    <row r="44">
      <c r="A44" t="n">
        <v>40</v>
      </c>
      <c r="C44" s="20" t="inlineStr">
        <is>
          <t>PBM</t>
        </is>
      </c>
      <c r="D44" s="20" t="n"/>
      <c r="E44" s="20" t="n"/>
      <c r="F44" s="20" t="n"/>
      <c r="H44" t="inlineStr">
        <is>
          <t>WSJY012</t>
        </is>
      </c>
      <c r="I44" t="inlineStr">
        <is>
          <t>WSJYI012</t>
        </is>
      </c>
      <c r="J44" s="4" t="n">
        <v>42947</v>
      </c>
      <c r="K44" t="inlineStr">
        <is>
          <t>2F120374D523630000000022</t>
        </is>
      </c>
    </row>
    <row r="45">
      <c r="A45" t="n">
        <v>41</v>
      </c>
      <c r="C45" s="20" t="inlineStr">
        <is>
          <t>DIGI</t>
        </is>
      </c>
      <c r="D45" s="20" t="n"/>
      <c r="E45" s="20" t="n"/>
      <c r="F45" s="20" t="n"/>
      <c r="G45" s="48" t="n"/>
      <c r="H45" t="inlineStr">
        <is>
          <t>WSAU001</t>
        </is>
      </c>
      <c r="I45" t="inlineStr">
        <is>
          <t>WSAUI001</t>
        </is>
      </c>
      <c r="J45" s="4" t="n">
        <v>42948</v>
      </c>
      <c r="K45" t="inlineStr">
        <is>
          <t>2F120374D523630000000023</t>
        </is>
      </c>
    </row>
    <row r="46">
      <c r="A46" t="n">
        <v>42</v>
      </c>
      <c r="C46" s="20" t="inlineStr">
        <is>
          <t>GEMS</t>
        </is>
      </c>
      <c r="D46" s="20" t="n"/>
      <c r="E46" s="20" t="n"/>
      <c r="F46" s="20" t="n"/>
      <c r="G46" s="20" t="n"/>
      <c r="H46" t="inlineStr">
        <is>
          <t>WSAU002</t>
        </is>
      </c>
      <c r="I46" t="inlineStr">
        <is>
          <t>WSAUI002</t>
        </is>
      </c>
      <c r="J46" s="4" t="n">
        <v>42949</v>
      </c>
      <c r="K46" t="inlineStr">
        <is>
          <t>2F120374D523630000000024</t>
        </is>
      </c>
    </row>
    <row r="47">
      <c r="A47" t="n">
        <v>43</v>
      </c>
      <c r="C47" s="20" t="inlineStr">
        <is>
          <t>Conn</t>
        </is>
      </c>
      <c r="D47" s="20" t="n"/>
      <c r="E47" s="20" t="n"/>
      <c r="F47" s="20" t="n"/>
      <c r="H47" t="inlineStr">
        <is>
          <t>WSAU003</t>
        </is>
      </c>
      <c r="I47" t="inlineStr">
        <is>
          <t>WSAUI003</t>
        </is>
      </c>
      <c r="J47" s="4" t="n">
        <v>42950</v>
      </c>
      <c r="K47" t="inlineStr">
        <is>
          <t>2F120374D523630000000025</t>
        </is>
      </c>
    </row>
    <row r="48">
      <c r="A48" t="n">
        <v>44</v>
      </c>
      <c r="C48" s="20" t="inlineStr">
        <is>
          <t>GEMS</t>
        </is>
      </c>
      <c r="D48" s="20" t="n"/>
      <c r="E48" s="20" t="n"/>
      <c r="F48" s="20" t="n"/>
      <c r="G48" s="20" t="n"/>
      <c r="H48" t="inlineStr">
        <is>
          <t>WSAU004</t>
        </is>
      </c>
      <c r="I48" t="inlineStr">
        <is>
          <t>WSAUI004</t>
        </is>
      </c>
      <c r="J48" s="4" t="n">
        <v>42950</v>
      </c>
      <c r="K48" t="inlineStr">
        <is>
          <t>2F120374D523630000000026</t>
        </is>
      </c>
    </row>
    <row r="49">
      <c r="A49" t="n">
        <v>45</v>
      </c>
      <c r="C49" s="20" t="inlineStr">
        <is>
          <t>MUNTER</t>
        </is>
      </c>
      <c r="D49" s="20" t="n"/>
      <c r="E49" s="20" t="n"/>
      <c r="F49" s="20" t="n"/>
      <c r="G49" t="inlineStr">
        <is>
          <t>WSJY18</t>
        </is>
      </c>
      <c r="H49" t="inlineStr">
        <is>
          <t>WSAU005</t>
        </is>
      </c>
      <c r="I49" t="inlineStr">
        <is>
          <t>WSAUI005</t>
        </is>
      </c>
      <c r="J49" s="4" t="n">
        <v>42955</v>
      </c>
      <c r="K49" t="inlineStr">
        <is>
          <t>2F120374D523630000000027</t>
        </is>
      </c>
    </row>
    <row r="50">
      <c r="A50" t="n">
        <v>46</v>
      </c>
      <c r="C50" s="20" t="inlineStr">
        <is>
          <t>ERA-Allen</t>
        </is>
      </c>
      <c r="D50" s="20" t="n"/>
      <c r="E50" s="20" t="n"/>
      <c r="F50" s="20" t="n"/>
      <c r="H50" t="inlineStr">
        <is>
          <t>WSAU006</t>
        </is>
      </c>
      <c r="I50" t="inlineStr">
        <is>
          <t>WSAUI006</t>
        </is>
      </c>
      <c r="J50" s="4" t="n">
        <v>42955</v>
      </c>
      <c r="K50" t="inlineStr">
        <is>
          <t>2F120374D523630000000028</t>
        </is>
      </c>
    </row>
    <row r="51">
      <c r="A51" t="n">
        <v>47</v>
      </c>
      <c r="C51" s="20" t="inlineStr">
        <is>
          <t>GEMS</t>
        </is>
      </c>
      <c r="D51" s="20" t="n"/>
      <c r="E51" s="20" t="n"/>
      <c r="F51" s="20" t="n"/>
      <c r="H51" t="inlineStr">
        <is>
          <t>WSAU007</t>
        </is>
      </c>
      <c r="I51" t="inlineStr">
        <is>
          <t>WSAUI007</t>
        </is>
      </c>
      <c r="J51" s="4" t="n">
        <v>42955</v>
      </c>
      <c r="K51" t="inlineStr">
        <is>
          <t>2F120374D523630000000029</t>
        </is>
      </c>
    </row>
    <row r="52">
      <c r="A52" t="n">
        <v>48</v>
      </c>
      <c r="C52" s="20" t="inlineStr">
        <is>
          <t>GEMS</t>
        </is>
      </c>
      <c r="D52" s="20" t="n"/>
      <c r="E52" s="20" t="n"/>
      <c r="F52" s="20" t="n"/>
      <c r="G52" t="inlineStr">
        <is>
          <t>WSJ001</t>
        </is>
      </c>
      <c r="H52" t="inlineStr">
        <is>
          <t>WSAU008</t>
        </is>
      </c>
      <c r="I52" s="58" t="inlineStr">
        <is>
          <t>WSAUI008</t>
        </is>
      </c>
      <c r="J52" s="4" t="n">
        <v>42956</v>
      </c>
      <c r="K52" t="inlineStr">
        <is>
          <t>2F120374D52363000000002A</t>
        </is>
      </c>
    </row>
    <row r="53">
      <c r="A53" t="n">
        <v>49</v>
      </c>
      <c r="C53" s="20" t="inlineStr">
        <is>
          <t>DataDelay</t>
        </is>
      </c>
      <c r="D53" s="20" t="n"/>
      <c r="E53" s="20" t="n"/>
      <c r="F53" s="20" t="n"/>
      <c r="G53" t="inlineStr">
        <is>
          <t>WSJY08</t>
        </is>
      </c>
      <c r="H53" t="inlineStr">
        <is>
          <t>WSAU009</t>
        </is>
      </c>
      <c r="I53" s="58" t="inlineStr">
        <is>
          <t>WSAUI009</t>
        </is>
      </c>
      <c r="J53" s="4" t="n">
        <v>42956</v>
      </c>
      <c r="K53" t="inlineStr">
        <is>
          <t>2F120374D52363000000002B</t>
        </is>
      </c>
    </row>
    <row r="54">
      <c r="A54" t="n">
        <v>50</v>
      </c>
      <c r="C54" s="20" t="inlineStr">
        <is>
          <t>C&amp;S ANTENNAS</t>
        </is>
      </c>
      <c r="D54" s="20" t="n"/>
      <c r="E54" s="20" t="n"/>
      <c r="F54" s="20" t="n"/>
      <c r="G54" t="inlineStr">
        <is>
          <t>WSJY04</t>
        </is>
      </c>
      <c r="H54" t="inlineStr">
        <is>
          <t>WSAU010</t>
        </is>
      </c>
      <c r="I54" s="58" t="inlineStr">
        <is>
          <t>WSAUI010</t>
        </is>
      </c>
      <c r="J54" s="4" t="n">
        <v>42958</v>
      </c>
      <c r="K54" t="inlineStr">
        <is>
          <t>2F120374D52363000000002C</t>
        </is>
      </c>
    </row>
    <row r="55">
      <c r="A55" t="n">
        <v>51</v>
      </c>
      <c r="C55" s="20" t="inlineStr">
        <is>
          <t>KERN</t>
        </is>
      </c>
      <c r="D55" s="20" t="n"/>
      <c r="E55" s="20" t="n"/>
      <c r="F55" s="20" t="n"/>
      <c r="G55" t="inlineStr">
        <is>
          <t>WSJ009</t>
        </is>
      </c>
      <c r="H55" t="inlineStr">
        <is>
          <t>WSAU011</t>
        </is>
      </c>
      <c r="I55" s="58" t="inlineStr">
        <is>
          <t>WSAUI011</t>
        </is>
      </c>
      <c r="J55" s="4" t="n">
        <v>42958</v>
      </c>
      <c r="K55" t="inlineStr">
        <is>
          <t>2F120374D52363000000002D</t>
        </is>
      </c>
    </row>
    <row r="56">
      <c r="A56" t="n">
        <v>52</v>
      </c>
      <c r="C56" s="72" t="inlineStr">
        <is>
          <t>ERA-Allen</t>
        </is>
      </c>
      <c r="D56" s="72" t="n"/>
      <c r="E56" s="72" t="n"/>
      <c r="F56" s="72" t="n"/>
      <c r="G56" t="inlineStr">
        <is>
          <t>WSJ011</t>
        </is>
      </c>
      <c r="H56" t="inlineStr">
        <is>
          <t>WSAU012</t>
        </is>
      </c>
      <c r="I56" s="58" t="inlineStr">
        <is>
          <t>WSAUI012</t>
        </is>
      </c>
      <c r="J56" s="4" t="n">
        <v>42958</v>
      </c>
      <c r="K56" t="inlineStr">
        <is>
          <t>2F120374D52363000000002E</t>
        </is>
      </c>
    </row>
    <row r="57">
      <c r="A57" t="n">
        <v>53</v>
      </c>
      <c r="C57" s="72" t="inlineStr">
        <is>
          <t>ERA-Allen</t>
        </is>
      </c>
      <c r="D57" s="72" t="n"/>
      <c r="E57" s="72" t="n"/>
      <c r="F57" s="72" t="n"/>
      <c r="H57" t="inlineStr">
        <is>
          <t>WSAU013</t>
        </is>
      </c>
      <c r="I57" s="58" t="inlineStr">
        <is>
          <t>WSAUI013</t>
        </is>
      </c>
      <c r="J57" s="4" t="n">
        <v>42965</v>
      </c>
      <c r="K57" t="inlineStr">
        <is>
          <t>2F120374D52363000000002F</t>
        </is>
      </c>
    </row>
    <row r="58">
      <c r="A58" t="n">
        <v>54</v>
      </c>
      <c r="C58" s="72" t="inlineStr">
        <is>
          <t>CPI</t>
        </is>
      </c>
      <c r="D58" s="72" t="n"/>
      <c r="E58" s="72" t="n"/>
      <c r="F58" s="72" t="n"/>
      <c r="H58" t="inlineStr">
        <is>
          <t>WSAU014</t>
        </is>
      </c>
      <c r="I58" s="58" t="inlineStr">
        <is>
          <t>WSAUI014</t>
        </is>
      </c>
      <c r="J58" s="4" t="n">
        <v>42965</v>
      </c>
      <c r="K58" t="inlineStr">
        <is>
          <t>2F120374D523630000000030</t>
        </is>
      </c>
    </row>
    <row r="59">
      <c r="A59" t="n">
        <v>55</v>
      </c>
      <c r="C59" s="72" t="inlineStr">
        <is>
          <t>Gleanir</t>
        </is>
      </c>
      <c r="D59" s="72" t="n"/>
      <c r="E59" s="72" t="n"/>
      <c r="F59" s="72" t="n"/>
      <c r="H59" t="inlineStr">
        <is>
          <t>WSAU015</t>
        </is>
      </c>
      <c r="I59" s="58" t="inlineStr">
        <is>
          <t>WSAUI015</t>
        </is>
      </c>
      <c r="J59" s="4" t="n">
        <v>42965</v>
      </c>
      <c r="K59" t="inlineStr">
        <is>
          <t>2F120374D523630000000031</t>
        </is>
      </c>
    </row>
    <row r="60">
      <c r="A60" t="n">
        <v>56</v>
      </c>
      <c r="C60" s="20" t="inlineStr">
        <is>
          <t>Gleanir</t>
        </is>
      </c>
      <c r="D60" s="20" t="n"/>
      <c r="E60" s="20" t="n"/>
      <c r="F60" s="20" t="n"/>
      <c r="H60" t="inlineStr">
        <is>
          <t>WSAU016</t>
        </is>
      </c>
      <c r="I60" s="58" t="inlineStr">
        <is>
          <t>WSAUI016</t>
        </is>
      </c>
      <c r="J60" s="4" t="n">
        <v>42965</v>
      </c>
      <c r="K60" t="inlineStr">
        <is>
          <t>2F120374D523630000000032</t>
        </is>
      </c>
    </row>
    <row r="61">
      <c r="A61" t="n">
        <v>57</v>
      </c>
      <c r="C61" s="20" t="inlineStr">
        <is>
          <t>DIGI</t>
        </is>
      </c>
      <c r="D61" s="20" t="n"/>
      <c r="E61" s="20" t="n"/>
      <c r="F61" s="20" t="n"/>
      <c r="G61" t="inlineStr">
        <is>
          <t>WSAU14</t>
        </is>
      </c>
      <c r="H61" t="inlineStr">
        <is>
          <t>WSAU017</t>
        </is>
      </c>
      <c r="I61" s="58" t="inlineStr">
        <is>
          <t>WSAUI017</t>
        </is>
      </c>
      <c r="J61" s="4" t="n">
        <v>42965</v>
      </c>
      <c r="K61" t="inlineStr">
        <is>
          <t>2F120374D523630000000033</t>
        </is>
      </c>
    </row>
    <row r="62">
      <c r="A62" t="n">
        <v>58</v>
      </c>
      <c r="C62" s="20" t="inlineStr">
        <is>
          <t>NEWPORT</t>
        </is>
      </c>
      <c r="D62" s="20" t="n"/>
      <c r="E62" s="20" t="n"/>
      <c r="F62" s="20" t="n"/>
      <c r="G62" t="inlineStr">
        <is>
          <t>WSJY10</t>
        </is>
      </c>
      <c r="H62" t="inlineStr">
        <is>
          <t>WSAU018</t>
        </is>
      </c>
      <c r="I62" s="58" t="inlineStr">
        <is>
          <t>WSAUI018</t>
        </is>
      </c>
      <c r="J62" s="4" t="n">
        <v>42969</v>
      </c>
      <c r="K62" t="inlineStr">
        <is>
          <t>2F120374D523630000000034</t>
        </is>
      </c>
    </row>
    <row r="63">
      <c r="A63" t="n">
        <v>59</v>
      </c>
      <c r="C63" s="20" t="inlineStr">
        <is>
          <t>EMPOWER</t>
        </is>
      </c>
      <c r="D63" s="20" t="n"/>
      <c r="E63" s="20" t="n"/>
      <c r="F63" s="20" t="n"/>
      <c r="G63" t="inlineStr">
        <is>
          <t>WSJY19</t>
        </is>
      </c>
      <c r="H63" t="inlineStr">
        <is>
          <t>WSAU019</t>
        </is>
      </c>
      <c r="I63" s="58" t="inlineStr">
        <is>
          <t>WSAUI019</t>
        </is>
      </c>
      <c r="J63" s="4" t="n">
        <v>42972</v>
      </c>
      <c r="K63" t="inlineStr">
        <is>
          <t>2F120374D523630000000035</t>
        </is>
      </c>
    </row>
    <row r="64">
      <c r="A64" t="n">
        <v>60</v>
      </c>
      <c r="C64" s="20" t="inlineStr">
        <is>
          <t>MORPAC</t>
        </is>
      </c>
      <c r="D64" s="20" t="n"/>
      <c r="E64" s="20" t="n"/>
      <c r="F64" s="20" t="n"/>
      <c r="H64" t="inlineStr">
        <is>
          <t>WSAU020</t>
        </is>
      </c>
      <c r="I64" s="58" t="inlineStr">
        <is>
          <t>WSAUI020</t>
        </is>
      </c>
      <c r="J64" s="4" t="n">
        <v>42975</v>
      </c>
      <c r="K64" t="inlineStr">
        <is>
          <t>2F120374D523630000000036</t>
        </is>
      </c>
    </row>
    <row r="65">
      <c r="A65" t="n">
        <v>61</v>
      </c>
      <c r="C65" s="20" t="inlineStr">
        <is>
          <t>PG</t>
        </is>
      </c>
      <c r="D65" s="20" t="n"/>
      <c r="E65" s="20" t="n"/>
      <c r="F65" s="20" t="n"/>
      <c r="H65" t="inlineStr">
        <is>
          <t>WSAU021</t>
        </is>
      </c>
      <c r="I65" s="58" t="inlineStr">
        <is>
          <t>WSAUI021</t>
        </is>
      </c>
      <c r="J65" s="4" t="n">
        <v>42975</v>
      </c>
      <c r="K65" t="inlineStr">
        <is>
          <t>2F120374D523630000000037</t>
        </is>
      </c>
    </row>
    <row r="66">
      <c r="A66" t="n">
        <v>62</v>
      </c>
      <c r="B66" s="132" t="n"/>
      <c r="C66" s="66" t="inlineStr">
        <is>
          <t>C&amp;S ANTENNAS</t>
        </is>
      </c>
      <c r="H66" t="inlineStr">
        <is>
          <t>WSAU022</t>
        </is>
      </c>
      <c r="I66" s="51" t="inlineStr">
        <is>
          <t>WSAUI022</t>
        </is>
      </c>
      <c r="J66" s="4" t="n">
        <v>42976</v>
      </c>
    </row>
    <row r="67">
      <c r="A67" t="n">
        <v>63</v>
      </c>
      <c r="C67" s="20" t="inlineStr">
        <is>
          <t>C&amp;S ANTENNAS</t>
        </is>
      </c>
      <c r="D67" s="20" t="n"/>
      <c r="E67" s="20" t="n"/>
      <c r="F67" s="20" t="n"/>
      <c r="H67" t="inlineStr">
        <is>
          <t>WSAU023</t>
        </is>
      </c>
      <c r="I67" t="inlineStr">
        <is>
          <t>WSAUI023</t>
        </is>
      </c>
      <c r="J67" s="4" t="n">
        <v>42977</v>
      </c>
      <c r="K67" t="inlineStr">
        <is>
          <t>2F120374D523630000000039</t>
        </is>
      </c>
    </row>
    <row r="68">
      <c r="A68" t="n">
        <v>64</v>
      </c>
      <c r="C68" s="20" t="inlineStr">
        <is>
          <t>PBM</t>
        </is>
      </c>
      <c r="D68" s="20" t="n"/>
      <c r="E68" s="20" t="n"/>
      <c r="F68" s="20" t="n"/>
      <c r="H68" t="inlineStr">
        <is>
          <t>WSAU024</t>
        </is>
      </c>
      <c r="I68" t="inlineStr">
        <is>
          <t>WSAUI024</t>
        </is>
      </c>
      <c r="J68" s="4" t="n">
        <v>42977</v>
      </c>
      <c r="K68" t="inlineStr">
        <is>
          <t>2F120374D52363000000003A</t>
        </is>
      </c>
    </row>
    <row r="69"/>
    <row r="70">
      <c r="A70" t="n">
        <v>1</v>
      </c>
      <c r="C70" s="20" t="inlineStr">
        <is>
          <t>Dauto</t>
        </is>
      </c>
      <c r="D70" s="20" t="n"/>
      <c r="E70" s="20" t="n"/>
      <c r="F70" s="20" t="n"/>
      <c r="G70" t="inlineStr">
        <is>
          <t>WSJ007</t>
        </is>
      </c>
      <c r="H70" t="inlineStr">
        <is>
          <t>WSSE001</t>
        </is>
      </c>
      <c r="I70" t="inlineStr">
        <is>
          <t>WSSEI001</t>
        </is>
      </c>
      <c r="J70" s="4" t="n">
        <v>42984</v>
      </c>
      <c r="K70" t="inlineStr">
        <is>
          <t>2F120374D52363000000003B</t>
        </is>
      </c>
    </row>
    <row r="71">
      <c r="A71" t="n">
        <v>2</v>
      </c>
      <c r="C71" s="20" t="inlineStr">
        <is>
          <t>Dauto</t>
        </is>
      </c>
      <c r="D71" s="20" t="n"/>
      <c r="E71" s="20" t="n"/>
      <c r="F71" s="20" t="n"/>
      <c r="G71" t="inlineStr">
        <is>
          <t>WSJ008</t>
        </is>
      </c>
      <c r="H71" t="inlineStr">
        <is>
          <t>WSSE002</t>
        </is>
      </c>
      <c r="I71" t="inlineStr">
        <is>
          <t>WSSEI002</t>
        </is>
      </c>
      <c r="J71" s="4" t="n">
        <v>42984</v>
      </c>
      <c r="K71" t="inlineStr">
        <is>
          <t>2F120374D52363000000003C</t>
        </is>
      </c>
    </row>
    <row r="72">
      <c r="A72" t="n">
        <v>3</v>
      </c>
      <c r="C72" s="20" t="inlineStr">
        <is>
          <t>MORPAC</t>
        </is>
      </c>
      <c r="D72" s="20" t="n"/>
      <c r="E72" s="20" t="n"/>
      <c r="F72" s="20" t="n"/>
      <c r="G72" t="inlineStr">
        <is>
          <t>WSAU10</t>
        </is>
      </c>
      <c r="H72" t="inlineStr">
        <is>
          <t>WSSE003</t>
        </is>
      </c>
      <c r="I72" t="inlineStr">
        <is>
          <t>WSSEI003</t>
        </is>
      </c>
      <c r="J72" s="4" t="n">
        <v>42984</v>
      </c>
      <c r="K72" t="inlineStr">
        <is>
          <t>2F120374D52363000000003D</t>
        </is>
      </c>
    </row>
    <row r="73">
      <c r="A73" t="n">
        <v>4</v>
      </c>
      <c r="C73" s="20" t="inlineStr">
        <is>
          <t>EAST</t>
        </is>
      </c>
      <c r="D73" s="20" t="n"/>
      <c r="E73" s="20" t="n"/>
      <c r="F73" s="20" t="n"/>
      <c r="G73" t="inlineStr">
        <is>
          <t>WSA002</t>
        </is>
      </c>
      <c r="H73" t="inlineStr">
        <is>
          <t>WSSE004</t>
        </is>
      </c>
      <c r="I73" t="inlineStr">
        <is>
          <t>WSSEI004</t>
        </is>
      </c>
      <c r="J73" s="4" t="n">
        <v>42984</v>
      </c>
      <c r="K73" t="inlineStr">
        <is>
          <t>2F120374D52363000000003E</t>
        </is>
      </c>
    </row>
    <row r="74">
      <c r="A74" t="n">
        <v>5</v>
      </c>
      <c r="C74" s="20" t="inlineStr">
        <is>
          <t>Glenair</t>
        </is>
      </c>
      <c r="D74" s="20" t="n"/>
      <c r="E74" s="20" t="n"/>
      <c r="F74" s="20" t="n"/>
      <c r="G74" t="inlineStr">
        <is>
          <t>WSA002</t>
        </is>
      </c>
      <c r="H74" t="inlineStr">
        <is>
          <t>WSSE005</t>
        </is>
      </c>
      <c r="I74" t="inlineStr">
        <is>
          <t>WSSEI005</t>
        </is>
      </c>
      <c r="J74" s="4" t="n">
        <v>42984</v>
      </c>
      <c r="K74" t="inlineStr">
        <is>
          <t>2F120374D52363000000003F</t>
        </is>
      </c>
    </row>
    <row r="75">
      <c r="A75" t="n">
        <v>6</v>
      </c>
      <c r="C75" s="20" t="inlineStr">
        <is>
          <t>CSAntena</t>
        </is>
      </c>
      <c r="D75" s="20" t="n"/>
      <c r="E75" s="20" t="n"/>
      <c r="F75" s="20" t="n"/>
      <c r="H75" t="inlineStr">
        <is>
          <t>WSSE006</t>
        </is>
      </c>
      <c r="I75" t="inlineStr">
        <is>
          <t>WSSEI006</t>
        </is>
      </c>
      <c r="J75" s="4" t="n">
        <v>42991</v>
      </c>
      <c r="K75" t="inlineStr">
        <is>
          <t>2F120374D523630000000040</t>
        </is>
      </c>
    </row>
    <row r="76">
      <c r="A76" t="n">
        <v>7</v>
      </c>
      <c r="C76" s="20" t="inlineStr">
        <is>
          <t>Kern</t>
        </is>
      </c>
      <c r="D76" s="20" t="n"/>
      <c r="E76" s="20" t="n"/>
      <c r="F76" s="20" t="n"/>
      <c r="H76" t="inlineStr">
        <is>
          <t>WSSE007</t>
        </is>
      </c>
      <c r="I76" t="inlineStr">
        <is>
          <t>WSSEI007</t>
        </is>
      </c>
      <c r="J76" s="4" t="n">
        <v>42996</v>
      </c>
      <c r="K76" t="inlineStr">
        <is>
          <t>2F120374D523630000000041</t>
        </is>
      </c>
    </row>
    <row r="77">
      <c r="A77" t="n">
        <v>8</v>
      </c>
      <c r="C77" s="20" t="inlineStr">
        <is>
          <t>Pasternack</t>
        </is>
      </c>
      <c r="D77" s="20" t="n"/>
      <c r="E77" s="20" t="n"/>
      <c r="F77" s="20" t="n"/>
      <c r="H77" t="inlineStr">
        <is>
          <t>WSSE008</t>
        </is>
      </c>
      <c r="I77" t="inlineStr">
        <is>
          <t>WSSEI008</t>
        </is>
      </c>
      <c r="J77" s="4" t="n">
        <v>42996</v>
      </c>
      <c r="K77" t="inlineStr">
        <is>
          <t>2F120374D523630000000042</t>
        </is>
      </c>
    </row>
    <row r="78">
      <c r="A78" t="n">
        <v>9</v>
      </c>
      <c r="C78" s="20" t="inlineStr">
        <is>
          <t>Grison</t>
        </is>
      </c>
      <c r="D78" s="20" t="n"/>
      <c r="E78" s="20" t="n"/>
      <c r="F78" s="20" t="n"/>
      <c r="H78" t="inlineStr">
        <is>
          <t>WSSE009</t>
        </is>
      </c>
      <c r="I78" t="inlineStr">
        <is>
          <t>WSSEI009</t>
        </is>
      </c>
      <c r="J78" s="4" t="n">
        <v>42996</v>
      </c>
      <c r="K78" t="inlineStr">
        <is>
          <t>2F120374D523630000000043</t>
        </is>
      </c>
    </row>
    <row r="79">
      <c r="A79" t="n">
        <v>10</v>
      </c>
      <c r="C79" s="20" t="inlineStr">
        <is>
          <t>MORPAC</t>
        </is>
      </c>
      <c r="D79" s="20" t="n"/>
      <c r="E79" s="20" t="n"/>
      <c r="F79" s="20" t="n"/>
      <c r="H79" t="inlineStr">
        <is>
          <t>WSSE010</t>
        </is>
      </c>
      <c r="I79" t="inlineStr">
        <is>
          <t>WSSEI010</t>
        </is>
      </c>
      <c r="J79" s="4" t="n">
        <v>42996</v>
      </c>
      <c r="K79" t="inlineStr">
        <is>
          <t>NO RFID</t>
        </is>
      </c>
    </row>
    <row r="80">
      <c r="A80" t="n">
        <v>11</v>
      </c>
      <c r="C80" s="20" t="inlineStr">
        <is>
          <t>Kern</t>
        </is>
      </c>
      <c r="D80" s="20" t="n"/>
      <c r="E80" s="20" t="n"/>
      <c r="F80" s="20" t="n"/>
      <c r="H80" t="inlineStr">
        <is>
          <t>WSSE011</t>
        </is>
      </c>
      <c r="I80" t="inlineStr">
        <is>
          <t>WSSEI011</t>
        </is>
      </c>
      <c r="J80" s="4" t="n">
        <v>42998</v>
      </c>
      <c r="K80" t="inlineStr">
        <is>
          <t>2F120374D523630000000044</t>
        </is>
      </c>
    </row>
    <row r="81">
      <c r="A81" t="n">
        <v>12</v>
      </c>
      <c r="C81" s="20" t="inlineStr">
        <is>
          <t>Kern</t>
        </is>
      </c>
      <c r="D81" s="20" t="n"/>
      <c r="E81" s="20" t="n"/>
      <c r="F81" s="20" t="n"/>
      <c r="H81" t="inlineStr">
        <is>
          <t>WSSE012</t>
        </is>
      </c>
      <c r="I81" t="inlineStr">
        <is>
          <t>WSSE012</t>
        </is>
      </c>
      <c r="J81" s="4" t="n">
        <v>42998</v>
      </c>
      <c r="K81" t="inlineStr">
        <is>
          <t>2F120374D523630000000045</t>
        </is>
      </c>
    </row>
    <row r="82">
      <c r="A82" t="n">
        <v>13</v>
      </c>
      <c r="C82" s="20" t="inlineStr">
        <is>
          <t>NI</t>
        </is>
      </c>
      <c r="D82" s="20" t="n"/>
      <c r="E82" s="20" t="n"/>
      <c r="F82" s="20" t="n"/>
      <c r="H82" t="inlineStr">
        <is>
          <t>WSSE013</t>
        </is>
      </c>
      <c r="I82" t="inlineStr">
        <is>
          <t>WSSE013</t>
        </is>
      </c>
      <c r="J82" s="4" t="n">
        <v>43003</v>
      </c>
      <c r="K82" t="inlineStr">
        <is>
          <t>2F120374D523630000000046</t>
        </is>
      </c>
    </row>
    <row r="83">
      <c r="A83" t="n">
        <v>14</v>
      </c>
      <c r="C83" s="20" t="inlineStr">
        <is>
          <t>Glenair</t>
        </is>
      </c>
      <c r="D83" s="20" t="n"/>
      <c r="E83" s="20" t="n"/>
      <c r="F83" s="20" t="n"/>
      <c r="G83" t="inlineStr">
        <is>
          <t>WSSE11</t>
        </is>
      </c>
      <c r="H83" t="inlineStr">
        <is>
          <t>WSSE014</t>
        </is>
      </c>
      <c r="I83" t="inlineStr">
        <is>
          <t>WSSE014</t>
        </is>
      </c>
      <c r="J83" s="4" t="n">
        <v>43003</v>
      </c>
      <c r="K83" t="inlineStr">
        <is>
          <t>2F120374D523630000000047</t>
        </is>
      </c>
    </row>
    <row r="84">
      <c r="A84" t="n">
        <v>15</v>
      </c>
      <c r="C84" s="20" t="inlineStr">
        <is>
          <t>Glenair</t>
        </is>
      </c>
      <c r="D84" s="20" t="n"/>
      <c r="E84" s="20" t="n"/>
      <c r="F84" s="20" t="n"/>
      <c r="H84" t="inlineStr">
        <is>
          <t>WSSE015</t>
        </is>
      </c>
      <c r="I84" t="inlineStr">
        <is>
          <t>WSSE016</t>
        </is>
      </c>
      <c r="J84" s="4" t="n">
        <v>43003</v>
      </c>
      <c r="K84" t="inlineStr">
        <is>
          <t>2F120374D523630000000048</t>
        </is>
      </c>
    </row>
    <row r="85">
      <c r="A85" t="n">
        <v>16</v>
      </c>
      <c r="C85" s="86" t="inlineStr">
        <is>
          <t>GEMS</t>
        </is>
      </c>
      <c r="D85" s="20" t="n"/>
      <c r="E85" s="20" t="n"/>
      <c r="F85" s="20" t="n"/>
      <c r="G85" t="inlineStr">
        <is>
          <t>WSJ010</t>
        </is>
      </c>
      <c r="H85" t="inlineStr">
        <is>
          <t>WSSE016</t>
        </is>
      </c>
      <c r="I85" t="inlineStr">
        <is>
          <t>WSSE017</t>
        </is>
      </c>
      <c r="J85" s="4" t="n">
        <v>43005</v>
      </c>
      <c r="K85" t="inlineStr">
        <is>
          <t>NO RFID</t>
        </is>
      </c>
    </row>
    <row r="86">
      <c r="A86" t="n">
        <v>17</v>
      </c>
      <c r="C86" s="87" t="inlineStr">
        <is>
          <t>CSAntena</t>
        </is>
      </c>
      <c r="D86" s="20" t="n"/>
      <c r="E86" s="20" t="n"/>
      <c r="F86" s="20" t="n"/>
      <c r="H86" t="inlineStr">
        <is>
          <t>WSSE017</t>
        </is>
      </c>
      <c r="I86" t="inlineStr">
        <is>
          <t>WSSEI018</t>
        </is>
      </c>
      <c r="J86" s="4" t="n">
        <v>43005</v>
      </c>
      <c r="K86" t="inlineStr">
        <is>
          <t>NO RFID</t>
        </is>
      </c>
    </row>
    <row r="87">
      <c r="A87" t="n">
        <v>18</v>
      </c>
      <c r="C87" s="87" t="inlineStr">
        <is>
          <t>Rohde Shwarz</t>
        </is>
      </c>
      <c r="D87" s="20" t="n"/>
      <c r="E87" s="49" t="n"/>
      <c r="F87" s="49" t="n"/>
      <c r="H87" t="inlineStr">
        <is>
          <t>WSSE018</t>
        </is>
      </c>
      <c r="I87" t="inlineStr">
        <is>
          <t>WSSE018</t>
        </is>
      </c>
      <c r="J87" s="4" t="n">
        <v>43007</v>
      </c>
      <c r="K87" t="inlineStr">
        <is>
          <t>2F120374D523630000000049</t>
        </is>
      </c>
    </row>
    <row r="88">
      <c r="A88" t="n">
        <v>19</v>
      </c>
      <c r="B88" t="inlineStr">
        <is>
          <t>SPE7M8-17-P-2980</t>
        </is>
      </c>
      <c r="C88" s="87" t="inlineStr">
        <is>
          <t>GEMS</t>
        </is>
      </c>
      <c r="D88" s="20" t="n"/>
      <c r="E88" s="49" t="n"/>
      <c r="F88" s="49" t="n"/>
      <c r="G88" t="inlineStr">
        <is>
          <t>WSJY11</t>
        </is>
      </c>
      <c r="H88" t="inlineStr">
        <is>
          <t>WSSE019</t>
        </is>
      </c>
      <c r="I88" t="inlineStr">
        <is>
          <t>WSSE019</t>
        </is>
      </c>
      <c r="J88" s="4" t="n">
        <v>43007</v>
      </c>
      <c r="K88" t="inlineStr">
        <is>
          <t>2F120374D52363000000004A</t>
        </is>
      </c>
    </row>
    <row r="89">
      <c r="A89" t="n">
        <v>20</v>
      </c>
      <c r="C89" s="87" t="inlineStr">
        <is>
          <t>GEMS</t>
        </is>
      </c>
      <c r="D89" s="20" t="n"/>
      <c r="E89" s="20" t="n"/>
      <c r="F89" s="20" t="n"/>
      <c r="H89" t="inlineStr">
        <is>
          <t>WSSE020</t>
        </is>
      </c>
      <c r="I89" t="inlineStr">
        <is>
          <t>WSSE020</t>
        </is>
      </c>
      <c r="J89" s="4" t="n">
        <v>43007</v>
      </c>
      <c r="K89" t="inlineStr">
        <is>
          <t>2F120374D52363000000004B</t>
        </is>
      </c>
    </row>
    <row r="90">
      <c r="A90" t="n">
        <v>21</v>
      </c>
      <c r="C90" s="87" t="inlineStr">
        <is>
          <t>Glenair</t>
        </is>
      </c>
      <c r="D90" s="20" t="n"/>
      <c r="E90" s="49" t="n"/>
      <c r="F90" s="49" t="n"/>
      <c r="H90" t="inlineStr">
        <is>
          <t>WSSE021</t>
        </is>
      </c>
      <c r="I90" t="inlineStr">
        <is>
          <t>WSSE021</t>
        </is>
      </c>
      <c r="J90" s="4" t="n">
        <v>43007</v>
      </c>
      <c r="K90" t="inlineStr">
        <is>
          <t>2F120374D52363000000004C</t>
        </is>
      </c>
    </row>
    <row r="91">
      <c r="C91" s="79" t="n"/>
      <c r="D91" s="48" t="n"/>
      <c r="E91" s="48" t="n"/>
      <c r="F91" s="48" t="n"/>
      <c r="J91" s="4" t="n"/>
    </row>
    <row r="92">
      <c r="A92" t="n">
        <v>1</v>
      </c>
      <c r="C92" s="96" t="inlineStr">
        <is>
          <t>Dauto</t>
        </is>
      </c>
      <c r="D92" s="20" t="n"/>
      <c r="E92" s="49" t="n"/>
      <c r="F92" s="49" t="n"/>
      <c r="H92" t="inlineStr">
        <is>
          <t>WSOC001</t>
        </is>
      </c>
      <c r="I92" t="inlineStr">
        <is>
          <t>WSIOC001</t>
        </is>
      </c>
      <c r="J92" t="inlineStr">
        <is>
          <t>10/02/201</t>
        </is>
      </c>
      <c r="K92" t="inlineStr">
        <is>
          <t>2F120374D52363000000004D</t>
        </is>
      </c>
    </row>
    <row r="93">
      <c r="A93" t="n">
        <v>2</v>
      </c>
      <c r="C93" s="20" t="inlineStr">
        <is>
          <t>CSAntena</t>
        </is>
      </c>
      <c r="D93" s="20" t="n"/>
      <c r="E93" s="49" t="n"/>
      <c r="F93" s="49" t="n"/>
      <c r="H93" t="inlineStr">
        <is>
          <t>WSOC002</t>
        </is>
      </c>
      <c r="I93" t="inlineStr">
        <is>
          <t>WSIOC002</t>
        </is>
      </c>
      <c r="J93" t="inlineStr">
        <is>
          <t>10/04/202</t>
        </is>
      </c>
      <c r="K93" t="inlineStr">
        <is>
          <t>2F120374D52363000000004E</t>
        </is>
      </c>
    </row>
    <row r="94">
      <c r="A94" t="n">
        <v>3</v>
      </c>
      <c r="C94" s="20" t="inlineStr">
        <is>
          <t>GEMS</t>
        </is>
      </c>
      <c r="D94" s="20" t="n"/>
      <c r="E94" s="49" t="n"/>
      <c r="F94" s="49" t="n"/>
      <c r="H94" t="inlineStr">
        <is>
          <t>WSOC003</t>
        </is>
      </c>
      <c r="I94" t="inlineStr">
        <is>
          <t>WSIOC003</t>
        </is>
      </c>
      <c r="J94" t="inlineStr">
        <is>
          <t>10/04/203</t>
        </is>
      </c>
      <c r="K94" t="inlineStr">
        <is>
          <t>NO RFID</t>
        </is>
      </c>
    </row>
    <row r="95">
      <c r="A95" t="n">
        <v>4</v>
      </c>
      <c r="C95" s="20" t="inlineStr">
        <is>
          <t>PBM</t>
        </is>
      </c>
      <c r="D95" s="20" t="n"/>
      <c r="E95" s="49" t="n"/>
      <c r="F95" s="49" t="n"/>
      <c r="H95" t="inlineStr">
        <is>
          <t>WSOC004</t>
        </is>
      </c>
      <c r="I95" t="inlineStr">
        <is>
          <t>WSIOC004</t>
        </is>
      </c>
      <c r="J95" s="4" t="n">
        <v>43017</v>
      </c>
      <c r="K95" t="inlineStr">
        <is>
          <t>2F120374D52363000000004F</t>
        </is>
      </c>
    </row>
    <row r="96">
      <c r="A96" t="n">
        <v>5</v>
      </c>
      <c r="C96" s="20" t="inlineStr">
        <is>
          <t>Glenair</t>
        </is>
      </c>
      <c r="D96" s="20" t="n"/>
      <c r="E96" s="49" t="n"/>
      <c r="F96" s="49" t="n"/>
      <c r="H96" t="inlineStr">
        <is>
          <t>WSOC005</t>
        </is>
      </c>
      <c r="I96" t="inlineStr">
        <is>
          <t>WSIOC005</t>
        </is>
      </c>
      <c r="J96" s="4" t="n">
        <v>43017</v>
      </c>
      <c r="K96" t="inlineStr">
        <is>
          <t>2F120374D523630000000050</t>
        </is>
      </c>
    </row>
    <row r="97">
      <c r="A97" t="n">
        <v>6</v>
      </c>
      <c r="C97" s="20" t="inlineStr">
        <is>
          <t>EAST</t>
        </is>
      </c>
      <c r="D97" s="20" t="n"/>
      <c r="E97" s="90" t="n"/>
      <c r="F97" s="90" t="n"/>
      <c r="G97" t="inlineStr">
        <is>
          <t>p</t>
        </is>
      </c>
      <c r="H97" t="inlineStr">
        <is>
          <t>WSOC006</t>
        </is>
      </c>
      <c r="I97" t="inlineStr">
        <is>
          <t>WSIOC006</t>
        </is>
      </c>
      <c r="J97" s="4" t="n">
        <v>43017</v>
      </c>
      <c r="K97" t="inlineStr">
        <is>
          <t>2F120374D523630000000051</t>
        </is>
      </c>
    </row>
    <row r="98">
      <c r="A98" t="n">
        <v>7</v>
      </c>
      <c r="C98" s="20" t="inlineStr">
        <is>
          <t>Digi</t>
        </is>
      </c>
      <c r="D98" s="20" t="n"/>
      <c r="E98" s="49" t="n"/>
      <c r="F98" s="49" t="n"/>
      <c r="H98" t="inlineStr">
        <is>
          <t>WSOC007</t>
        </is>
      </c>
      <c r="I98" t="inlineStr">
        <is>
          <t>WSIOC007</t>
        </is>
      </c>
      <c r="J98" s="4" t="n">
        <v>43019</v>
      </c>
      <c r="K98" t="inlineStr">
        <is>
          <t>2F120374D523630000000052</t>
        </is>
      </c>
    </row>
    <row r="99">
      <c r="A99" t="n">
        <v>8</v>
      </c>
      <c r="C99" s="20" t="inlineStr">
        <is>
          <t>ERA-Alen</t>
        </is>
      </c>
      <c r="D99" s="20" t="n"/>
      <c r="E99" s="49" t="n"/>
      <c r="F99" s="49" t="n"/>
      <c r="H99" t="inlineStr">
        <is>
          <t>WSOC008</t>
        </is>
      </c>
      <c r="I99" t="inlineStr">
        <is>
          <t>WSIOC008</t>
        </is>
      </c>
      <c r="J99" s="4" t="n">
        <v>43019</v>
      </c>
      <c r="K99" t="inlineStr">
        <is>
          <t>2F120374D523630000000038</t>
        </is>
      </c>
    </row>
    <row r="100">
      <c r="A100" t="n">
        <v>9</v>
      </c>
      <c r="C100" s="20" t="inlineStr">
        <is>
          <t>Glenair</t>
        </is>
      </c>
      <c r="D100" s="20" t="n"/>
      <c r="E100" s="49" t="n"/>
      <c r="F100" s="49" t="n"/>
      <c r="H100" t="inlineStr">
        <is>
          <t>WSOC009</t>
        </is>
      </c>
      <c r="I100" t="inlineStr">
        <is>
          <t>WSIOC009</t>
        </is>
      </c>
      <c r="J100" s="4" t="n">
        <v>43024</v>
      </c>
      <c r="K100" t="inlineStr">
        <is>
          <t>2F120374D523630000000053</t>
        </is>
      </c>
    </row>
    <row r="101">
      <c r="A101" t="n">
        <v>10</v>
      </c>
      <c r="C101" s="20" t="inlineStr">
        <is>
          <t>ERA-Alen</t>
        </is>
      </c>
      <c r="D101" s="20" t="n"/>
      <c r="E101" s="49" t="n"/>
      <c r="F101" s="49" t="n"/>
      <c r="H101" t="inlineStr">
        <is>
          <t>WSOC010</t>
        </is>
      </c>
      <c r="I101" t="inlineStr">
        <is>
          <t>WSIOC010</t>
        </is>
      </c>
      <c r="J101" s="4" t="n">
        <v>43024</v>
      </c>
      <c r="K101" t="inlineStr">
        <is>
          <t>2F120374D523630000000054</t>
        </is>
      </c>
    </row>
    <row r="102">
      <c r="A102" t="n">
        <v>11</v>
      </c>
      <c r="C102" s="20" t="inlineStr">
        <is>
          <t>Chromlax</t>
        </is>
      </c>
      <c r="D102" s="20" t="n"/>
      <c r="E102" s="49" t="n"/>
      <c r="F102" s="49" t="n"/>
      <c r="H102" t="inlineStr">
        <is>
          <t>WSOC013</t>
        </is>
      </c>
      <c r="I102" t="inlineStr">
        <is>
          <t>WSIOC013</t>
        </is>
      </c>
      <c r="J102" s="4" t="n">
        <v>43028</v>
      </c>
      <c r="K102" t="inlineStr">
        <is>
          <t>NO RFID</t>
        </is>
      </c>
    </row>
    <row r="103">
      <c r="A103" t="n">
        <v>12</v>
      </c>
      <c r="C103" s="20" t="inlineStr">
        <is>
          <t>Glenair</t>
        </is>
      </c>
      <c r="D103" s="20" t="n"/>
      <c r="E103" s="49" t="n"/>
      <c r="F103" s="49" t="n"/>
      <c r="H103" t="inlineStr">
        <is>
          <t>WSOC012</t>
        </is>
      </c>
      <c r="I103" t="inlineStr">
        <is>
          <t>WSIOC012</t>
        </is>
      </c>
      <c r="K103" t="inlineStr">
        <is>
          <t>2F120374D523630000000055</t>
        </is>
      </c>
    </row>
    <row r="104">
      <c r="A104" t="n">
        <v>13</v>
      </c>
      <c r="C104" s="20" t="inlineStr">
        <is>
          <t>Dauto</t>
        </is>
      </c>
      <c r="D104" s="20" t="n"/>
      <c r="E104" s="49" t="n"/>
      <c r="F104" s="49" t="n"/>
      <c r="H104" t="inlineStr">
        <is>
          <t>WSOC013</t>
        </is>
      </c>
      <c r="I104" t="inlineStr">
        <is>
          <t>WSIOC013</t>
        </is>
      </c>
      <c r="K104" t="inlineStr">
        <is>
          <t>2F120374D523630000000056</t>
        </is>
      </c>
    </row>
    <row r="105">
      <c r="A105" t="n">
        <v>14</v>
      </c>
      <c r="C105" s="20" t="inlineStr">
        <is>
          <t>Chromlax</t>
        </is>
      </c>
      <c r="D105" s="20" t="n"/>
      <c r="E105" s="48" t="n"/>
      <c r="F105" s="48" t="n"/>
      <c r="H105" t="inlineStr">
        <is>
          <t>WSOC014</t>
        </is>
      </c>
      <c r="I105" t="inlineStr">
        <is>
          <t>WSIOC014</t>
        </is>
      </c>
      <c r="J105" s="4" t="n">
        <v>43033</v>
      </c>
      <c r="K105" t="inlineStr">
        <is>
          <t>NO RFID</t>
        </is>
      </c>
    </row>
    <row r="106">
      <c r="A106" t="n">
        <v>15</v>
      </c>
      <c r="C106" s="20" t="inlineStr">
        <is>
          <t>Glenair</t>
        </is>
      </c>
      <c r="D106" s="20" t="n"/>
      <c r="E106" s="49" t="n"/>
      <c r="F106" s="49" t="n"/>
      <c r="H106" t="inlineStr">
        <is>
          <t>WSOC015</t>
        </is>
      </c>
      <c r="I106" t="inlineStr">
        <is>
          <t>WSIOC015</t>
        </is>
      </c>
      <c r="J106" s="4" t="n">
        <v>43033</v>
      </c>
      <c r="K106" t="inlineStr">
        <is>
          <t>2F120374D523630000000057</t>
        </is>
      </c>
    </row>
    <row r="107">
      <c r="A107" t="n">
        <v>16</v>
      </c>
      <c r="C107" s="20" t="inlineStr">
        <is>
          <t>DRUC</t>
        </is>
      </c>
      <c r="D107" s="20" t="n"/>
      <c r="E107" s="20" t="n"/>
      <c r="F107" s="20" t="n"/>
      <c r="H107" t="inlineStr">
        <is>
          <t>WSOC016</t>
        </is>
      </c>
      <c r="I107" t="inlineStr">
        <is>
          <t>WSIOC016</t>
        </is>
      </c>
      <c r="J107" s="4" t="n">
        <v>43038</v>
      </c>
      <c r="K107" t="inlineStr">
        <is>
          <t>NO RFID</t>
        </is>
      </c>
    </row>
    <row r="108">
      <c r="A108" t="n">
        <v>17</v>
      </c>
      <c r="B108" t="inlineStr">
        <is>
          <t>SPE7M117P7567</t>
        </is>
      </c>
      <c r="C108" s="20" t="inlineStr">
        <is>
          <t>GEMS</t>
        </is>
      </c>
      <c r="D108" s="48" t="n"/>
      <c r="E108" s="48" t="n"/>
      <c r="F108" s="48" t="n"/>
      <c r="G108" s="20" t="n">
        <v>4672.54</v>
      </c>
      <c r="H108" t="inlineStr">
        <is>
          <t>WSOC017</t>
        </is>
      </c>
      <c r="I108" s="66" t="inlineStr">
        <is>
          <t>WSIOC017</t>
        </is>
      </c>
      <c r="J108" s="4" t="n">
        <v>43038</v>
      </c>
      <c r="K108" t="inlineStr">
        <is>
          <t>NO RFID</t>
        </is>
      </c>
    </row>
    <row r="109">
      <c r="C109" s="48" t="n"/>
      <c r="D109" s="48" t="n"/>
      <c r="E109" s="48" t="n"/>
      <c r="F109" s="48" t="n"/>
      <c r="I109" s="51" t="n"/>
      <c r="J109" s="4" t="n"/>
    </row>
    <row r="110">
      <c r="A110" t="n">
        <v>1</v>
      </c>
      <c r="C110" s="20" t="inlineStr">
        <is>
          <t>Leddy</t>
        </is>
      </c>
      <c r="D110" s="20" t="n"/>
      <c r="E110" s="20" t="n"/>
      <c r="F110" s="20" t="n"/>
      <c r="H110" t="inlineStr">
        <is>
          <t>WSOC018</t>
        </is>
      </c>
      <c r="I110" t="inlineStr">
        <is>
          <t>WSIOC018</t>
        </is>
      </c>
      <c r="J110" s="4" t="n">
        <v>43040</v>
      </c>
    </row>
    <row customHeight="1" ht="18.75" r="111">
      <c r="A111" t="n">
        <v>2</v>
      </c>
      <c r="B111" s="98" t="inlineStr">
        <is>
          <t>SPE7MC17VB556</t>
        </is>
      </c>
      <c r="C111" s="20" t="inlineStr">
        <is>
          <t>Grison</t>
        </is>
      </c>
      <c r="D111" s="48" t="n"/>
      <c r="E111" s="48" t="n"/>
      <c r="F111" s="48" t="n"/>
      <c r="G111" s="230" t="n">
        <v>78</v>
      </c>
      <c r="H111" t="inlineStr">
        <is>
          <t>WSOC019</t>
        </is>
      </c>
      <c r="I111" t="inlineStr">
        <is>
          <t>WSIOC019</t>
        </is>
      </c>
      <c r="J111" s="4" t="n">
        <v>43040</v>
      </c>
    </row>
    <row r="112">
      <c r="A112" t="n">
        <v>3</v>
      </c>
      <c r="C112" s="20" t="inlineStr">
        <is>
          <t>GEMS</t>
        </is>
      </c>
      <c r="D112" s="20" t="n"/>
      <c r="E112" s="49" t="n"/>
      <c r="F112" s="49" t="n"/>
      <c r="H112" t="inlineStr">
        <is>
          <t>WSNV001</t>
        </is>
      </c>
      <c r="I112" t="inlineStr">
        <is>
          <t>WSNVI001</t>
        </is>
      </c>
      <c r="J112" s="4" t="n">
        <v>43045</v>
      </c>
      <c r="K112" t="inlineStr">
        <is>
          <t>2F120374D523630000000058</t>
        </is>
      </c>
    </row>
    <row r="113">
      <c r="A113" t="n">
        <v>4</v>
      </c>
      <c r="C113" s="20" t="inlineStr">
        <is>
          <t>National Ins</t>
        </is>
      </c>
      <c r="D113" s="20" t="n"/>
      <c r="E113" s="49" t="n"/>
      <c r="F113" s="49" t="n"/>
      <c r="H113" t="inlineStr">
        <is>
          <t>WSNV002</t>
        </is>
      </c>
      <c r="I113" t="inlineStr">
        <is>
          <t>WSNVI002</t>
        </is>
      </c>
      <c r="J113" s="4" t="n">
        <v>43045</v>
      </c>
      <c r="K113" t="inlineStr">
        <is>
          <t>2F120374D523630000000059</t>
        </is>
      </c>
    </row>
    <row r="114">
      <c r="A114" t="n">
        <v>5</v>
      </c>
      <c r="C114" s="20" t="inlineStr">
        <is>
          <t>CSANTENNA</t>
        </is>
      </c>
      <c r="D114" s="20" t="n"/>
      <c r="E114" s="49" t="n"/>
      <c r="F114" s="49" t="n"/>
      <c r="H114" t="inlineStr">
        <is>
          <t>WSNV003</t>
        </is>
      </c>
      <c r="I114" t="inlineStr">
        <is>
          <t>WSNVI004</t>
        </is>
      </c>
      <c r="J114" s="4" t="n">
        <v>43045</v>
      </c>
      <c r="K114" t="inlineStr">
        <is>
          <t>2F120374D52363000000005A</t>
        </is>
      </c>
    </row>
    <row r="115">
      <c r="A115" t="n">
        <v>6</v>
      </c>
      <c r="C115" s="20" t="inlineStr">
        <is>
          <t>MIRADA</t>
        </is>
      </c>
      <c r="D115" s="20" t="n"/>
      <c r="H115" t="inlineStr">
        <is>
          <t>WSNV004</t>
        </is>
      </c>
      <c r="I115" t="inlineStr">
        <is>
          <t>WSNVI005</t>
        </is>
      </c>
      <c r="J115" s="4" t="n">
        <v>43045</v>
      </c>
      <c r="K115" t="inlineStr">
        <is>
          <t>2F120374D52363000000005B</t>
        </is>
      </c>
    </row>
    <row r="116">
      <c r="A116" t="n">
        <v>7</v>
      </c>
      <c r="B116" t="inlineStr">
        <is>
          <t>SPE4A4-18-V-0639</t>
        </is>
      </c>
      <c r="C116" s="20" t="inlineStr">
        <is>
          <t>USBGEAR</t>
        </is>
      </c>
      <c r="D116" s="49" t="n"/>
      <c r="G116" t="n">
        <v>91.78</v>
      </c>
      <c r="H116" t="inlineStr">
        <is>
          <t>WSNV006</t>
        </is>
      </c>
      <c r="I116" t="inlineStr">
        <is>
          <t>WSNVI006</t>
        </is>
      </c>
      <c r="J116" s="4" t="n">
        <v>43047</v>
      </c>
      <c r="K116" t="inlineStr">
        <is>
          <t>2F120374D52363000000005C</t>
        </is>
      </c>
    </row>
    <row r="117">
      <c r="A117" t="n">
        <v>8</v>
      </c>
      <c r="C117" s="20" t="inlineStr">
        <is>
          <t>SEASTROM</t>
        </is>
      </c>
      <c r="D117" s="20" t="n"/>
      <c r="H117" t="inlineStr">
        <is>
          <t>WSNV007</t>
        </is>
      </c>
      <c r="I117" t="inlineStr">
        <is>
          <t>WSNVI007</t>
        </is>
      </c>
      <c r="J117" s="4" t="n">
        <v>43052</v>
      </c>
      <c r="K117" t="inlineStr">
        <is>
          <t>2F120374D52363000000005D</t>
        </is>
      </c>
    </row>
    <row r="118">
      <c r="A118" t="n">
        <v>9</v>
      </c>
      <c r="B118" t="inlineStr">
        <is>
          <t>SPE7M8-18-P-0031</t>
        </is>
      </c>
      <c r="C118" s="20" t="inlineStr">
        <is>
          <t>CPI</t>
        </is>
      </c>
      <c r="D118" s="20" t="n"/>
      <c r="E118" t="n">
        <v>2</v>
      </c>
      <c r="F118" t="inlineStr">
        <is>
          <t>p</t>
        </is>
      </c>
      <c r="G118" t="n">
        <v>11658.99</v>
      </c>
      <c r="H118" t="inlineStr">
        <is>
          <t>WSNV008</t>
        </is>
      </c>
      <c r="I118" t="inlineStr">
        <is>
          <t>WSNVI008</t>
        </is>
      </c>
      <c r="J118" s="4" t="n">
        <v>43056</v>
      </c>
      <c r="K118" t="inlineStr">
        <is>
          <t>2F120374D52363000000005E</t>
        </is>
      </c>
    </row>
    <row r="119">
      <c r="A119" t="n">
        <v>10</v>
      </c>
      <c r="B119" t="inlineStr">
        <is>
          <t>SPE7M8-17-V-1568</t>
        </is>
      </c>
      <c r="C119" s="20" t="inlineStr">
        <is>
          <t>GEMS</t>
        </is>
      </c>
      <c r="E119" t="n">
        <v>1</v>
      </c>
      <c r="G119" t="n">
        <v>1107.68</v>
      </c>
      <c r="H119" t="inlineStr">
        <is>
          <t>WSNV009</t>
        </is>
      </c>
      <c r="I119" t="inlineStr">
        <is>
          <t>WSNVI009</t>
        </is>
      </c>
      <c r="K119" t="inlineStr">
        <is>
          <t>NO RFID</t>
        </is>
      </c>
    </row>
    <row r="120">
      <c r="A120" t="n">
        <v>11</v>
      </c>
      <c r="B120" t="inlineStr">
        <is>
          <t>SPE7M0-17-P-4771</t>
        </is>
      </c>
      <c r="C120" s="20" t="inlineStr">
        <is>
          <t>GEMS</t>
        </is>
      </c>
      <c r="E120" t="n">
        <v>2</v>
      </c>
      <c r="G120" t="n">
        <v>1513.88</v>
      </c>
      <c r="H120" t="inlineStr">
        <is>
          <t>WSNV010</t>
        </is>
      </c>
      <c r="I120" t="inlineStr">
        <is>
          <t>WSNVI010</t>
        </is>
      </c>
      <c r="K120" t="inlineStr">
        <is>
          <t>2F120374D52363000000005F</t>
        </is>
      </c>
    </row>
    <row r="121">
      <c r="A121" t="n">
        <v>12</v>
      </c>
      <c r="B121" t="inlineStr">
        <is>
          <t>SPE7M5-18-V-1091</t>
        </is>
      </c>
      <c r="C121" s="20" t="inlineStr">
        <is>
          <t>Glenair</t>
        </is>
      </c>
      <c r="E121" t="n">
        <v>7</v>
      </c>
      <c r="G121" t="n">
        <v>584.92</v>
      </c>
      <c r="H121" t="inlineStr">
        <is>
          <t>WSNV011</t>
        </is>
      </c>
      <c r="I121" t="inlineStr">
        <is>
          <t>WSNVI011</t>
        </is>
      </c>
      <c r="J121" s="4" t="n">
        <v>43059</v>
      </c>
      <c r="K121" t="inlineStr">
        <is>
          <t>2F120374D523630000000060</t>
        </is>
      </c>
    </row>
    <row r="122">
      <c r="A122" t="n">
        <v>13</v>
      </c>
      <c r="B122" t="inlineStr">
        <is>
          <t>SPE7M0-18-V-1142</t>
        </is>
      </c>
      <c r="C122" s="20" t="inlineStr">
        <is>
          <t>Glenair</t>
        </is>
      </c>
      <c r="E122" t="n">
        <v>2</v>
      </c>
      <c r="G122" t="n">
        <v>734.92</v>
      </c>
      <c r="H122" t="inlineStr">
        <is>
          <t>WSNV012</t>
        </is>
      </c>
      <c r="I122" t="inlineStr">
        <is>
          <t>WSNVI012</t>
        </is>
      </c>
      <c r="J122" s="4" t="n">
        <v>43059</v>
      </c>
      <c r="K122" t="inlineStr">
        <is>
          <t>NO RFID</t>
        </is>
      </c>
    </row>
    <row r="123">
      <c r="A123" t="n">
        <v>14</v>
      </c>
      <c r="B123" t="inlineStr">
        <is>
          <t>SPE4A6-18-V-1274</t>
        </is>
      </c>
      <c r="C123" s="20" t="inlineStr">
        <is>
          <t>Glenair</t>
        </is>
      </c>
      <c r="E123" t="n">
        <v>5</v>
      </c>
      <c r="G123" t="n">
        <v>2306</v>
      </c>
      <c r="H123" t="inlineStr">
        <is>
          <t>WSNV013</t>
        </is>
      </c>
      <c r="I123" t="inlineStr">
        <is>
          <t>WSNVI013</t>
        </is>
      </c>
      <c r="J123" s="4" t="n">
        <v>43060</v>
      </c>
      <c r="K123" t="inlineStr">
        <is>
          <t>2F120374D523630000000061</t>
        </is>
      </c>
    </row>
    <row r="124">
      <c r="A124" t="n">
        <v>15</v>
      </c>
      <c r="C124" s="20" t="inlineStr">
        <is>
          <t>Glenair</t>
        </is>
      </c>
      <c r="E124" t="n">
        <v>1</v>
      </c>
      <c r="G124" t="n">
        <v>542.48</v>
      </c>
      <c r="H124" t="inlineStr">
        <is>
          <t>WSNV014</t>
        </is>
      </c>
      <c r="I124" t="inlineStr">
        <is>
          <t>WSNVI014</t>
        </is>
      </c>
      <c r="J124" s="4" t="n">
        <v>43060</v>
      </c>
      <c r="K124" t="inlineStr">
        <is>
          <t>2F120374D523630000000062</t>
        </is>
      </c>
    </row>
    <row r="125">
      <c r="A125" t="n">
        <v>16</v>
      </c>
      <c r="B125" t="inlineStr">
        <is>
          <t>SPE7L0-18-V-1039</t>
        </is>
      </c>
      <c r="C125" s="20" t="inlineStr">
        <is>
          <t>Norman</t>
        </is>
      </c>
      <c r="E125" t="n">
        <v>1</v>
      </c>
      <c r="F125" t="inlineStr">
        <is>
          <t>P</t>
        </is>
      </c>
      <c r="G125" t="n">
        <v>89.73999999999999</v>
      </c>
      <c r="H125" t="inlineStr">
        <is>
          <t>WSNV015</t>
        </is>
      </c>
      <c r="I125" t="inlineStr">
        <is>
          <t>WSNVI015</t>
        </is>
      </c>
      <c r="J125" s="4" t="n">
        <v>43060</v>
      </c>
      <c r="K125" t="inlineStr">
        <is>
          <t>NO RFID</t>
        </is>
      </c>
    </row>
    <row r="126">
      <c r="A126" t="n">
        <v>17</v>
      </c>
      <c r="B126" t="inlineStr">
        <is>
          <t>SPE7M5-17-V-9574</t>
        </is>
      </c>
      <c r="C126" s="20" t="inlineStr">
        <is>
          <t>Glenair</t>
        </is>
      </c>
      <c r="D126" s="20" t="n"/>
      <c r="E126" t="n">
        <v>60</v>
      </c>
      <c r="G126" t="n">
        <v>4111.8</v>
      </c>
      <c r="H126" t="inlineStr">
        <is>
          <t>WSNV016</t>
        </is>
      </c>
      <c r="I126" t="inlineStr">
        <is>
          <t>WSNVI016</t>
        </is>
      </c>
      <c r="J126" s="4" t="n">
        <v>43060</v>
      </c>
      <c r="K126" t="inlineStr">
        <is>
          <t>2F120374D523630000000063</t>
        </is>
      </c>
    </row>
    <row r="127">
      <c r="A127" t="n">
        <v>18</v>
      </c>
      <c r="B127" t="inlineStr">
        <is>
          <t>SPE5EK-17-V-6956</t>
        </is>
      </c>
      <c r="C127" s="20" t="inlineStr">
        <is>
          <t>CAMERON</t>
        </is>
      </c>
      <c r="D127" s="49" t="n"/>
      <c r="E127" t="n">
        <v>10</v>
      </c>
      <c r="F127" t="inlineStr">
        <is>
          <t>p</t>
        </is>
      </c>
      <c r="G127" t="n">
        <v>358.2</v>
      </c>
      <c r="H127" t="inlineStr">
        <is>
          <t>WSNV017</t>
        </is>
      </c>
      <c r="I127" t="inlineStr">
        <is>
          <t>WSNVI017</t>
        </is>
      </c>
      <c r="J127" s="4" t="n">
        <v>43066</v>
      </c>
      <c r="K127" t="inlineStr">
        <is>
          <t>2F120374D523630000000064</t>
        </is>
      </c>
    </row>
    <row r="128">
      <c r="A128" t="n">
        <v>19</v>
      </c>
      <c r="B128" t="inlineStr">
        <is>
          <t>SPE7M2-17-P-2246</t>
        </is>
      </c>
      <c r="C128" s="20" t="inlineStr">
        <is>
          <t>Glenair</t>
        </is>
      </c>
      <c r="D128" s="49" t="n"/>
      <c r="E128" t="n">
        <v>29</v>
      </c>
      <c r="G128" t="n">
        <v>10145.36</v>
      </c>
      <c r="H128" t="inlineStr">
        <is>
          <t>WSNV018</t>
        </is>
      </c>
      <c r="I128" t="inlineStr">
        <is>
          <t>WSNVI018</t>
        </is>
      </c>
      <c r="J128" s="4" t="n">
        <v>43066</v>
      </c>
      <c r="K128" t="inlineStr">
        <is>
          <t>2F120374D523630000000065</t>
        </is>
      </c>
    </row>
    <row r="129">
      <c r="A129" t="n">
        <v>20</v>
      </c>
      <c r="B129" t="inlineStr">
        <is>
          <t>SPE7M5-18-P-0270</t>
        </is>
      </c>
      <c r="C129" s="20" t="inlineStr">
        <is>
          <t>Glenair</t>
        </is>
      </c>
      <c r="E129" t="n">
        <v>1</v>
      </c>
      <c r="G129" t="n">
        <v>486.34</v>
      </c>
      <c r="H129" t="inlineStr">
        <is>
          <t>WSNV019</t>
        </is>
      </c>
      <c r="I129" t="inlineStr">
        <is>
          <t>WSNVI019</t>
        </is>
      </c>
      <c r="K129" t="inlineStr">
        <is>
          <t>NO RFID</t>
        </is>
      </c>
    </row>
    <row r="130">
      <c r="A130" t="n">
        <v>21</v>
      </c>
      <c r="B130" t="inlineStr">
        <is>
          <t>SPE7M5-17-P-E874</t>
        </is>
      </c>
      <c r="C130" s="20" t="inlineStr">
        <is>
          <t>DataDelay</t>
        </is>
      </c>
      <c r="D130" s="49" t="n"/>
      <c r="E130" t="n">
        <v>60</v>
      </c>
      <c r="F130" t="inlineStr">
        <is>
          <t>P</t>
        </is>
      </c>
      <c r="G130" t="n">
        <v>12428.4</v>
      </c>
      <c r="H130" t="inlineStr">
        <is>
          <t>WSNV020</t>
        </is>
      </c>
      <c r="I130" t="inlineStr">
        <is>
          <t>WSNVI020</t>
        </is>
      </c>
      <c r="J130" s="4" t="n">
        <v>43068</v>
      </c>
      <c r="K130" t="inlineStr">
        <is>
          <t>2F120374D523630000000066</t>
        </is>
      </c>
    </row>
    <row r="131">
      <c r="A131" t="n">
        <v>22</v>
      </c>
      <c r="B131" t="inlineStr">
        <is>
          <t>SPE5EK-18-V-0583</t>
        </is>
      </c>
      <c r="C131" s="20" t="inlineStr">
        <is>
          <t>MORRIS MATERIAL</t>
        </is>
      </c>
      <c r="D131" s="49" t="n"/>
      <c r="E131" t="n">
        <v>36</v>
      </c>
      <c r="F131" t="inlineStr">
        <is>
          <t>P</t>
        </is>
      </c>
      <c r="G131" t="n">
        <v>2567.16</v>
      </c>
      <c r="H131" t="inlineStr">
        <is>
          <t>WSNV021</t>
        </is>
      </c>
      <c r="I131" t="inlineStr">
        <is>
          <t>WSNVI021</t>
        </is>
      </c>
      <c r="J131" s="4" t="n">
        <v>43068</v>
      </c>
      <c r="K131" t="inlineStr">
        <is>
          <t>2F120374D523630000000067</t>
        </is>
      </c>
    </row>
    <row r="132"/>
    <row r="133">
      <c r="A133" t="n">
        <v>1</v>
      </c>
      <c r="B133" t="inlineStr">
        <is>
          <t>SPE7M5-18-V-1321</t>
        </is>
      </c>
      <c r="C133" s="20" t="inlineStr">
        <is>
          <t>Glenair</t>
        </is>
      </c>
      <c r="E133" t="n">
        <v>1</v>
      </c>
      <c r="G133" s="232" t="n">
        <v>126.66</v>
      </c>
      <c r="H133" t="inlineStr">
        <is>
          <t>WSDE001</t>
        </is>
      </c>
      <c r="I133" t="inlineStr">
        <is>
          <t>WSDEI001</t>
        </is>
      </c>
      <c r="J133" s="4" t="n">
        <v>43074</v>
      </c>
      <c r="K133" t="inlineStr">
        <is>
          <t>2F120374D523630000000068</t>
        </is>
      </c>
    </row>
    <row r="134">
      <c r="A134" t="n">
        <v>2</v>
      </c>
      <c r="B134" t="inlineStr">
        <is>
          <t>SPE7M5-18-V-1182</t>
        </is>
      </c>
      <c r="C134" s="20" t="inlineStr">
        <is>
          <t>Glenair</t>
        </is>
      </c>
      <c r="D134" s="48" t="n"/>
      <c r="E134" t="n">
        <v>6</v>
      </c>
      <c r="G134" s="230" t="n">
        <v>2181.6</v>
      </c>
      <c r="H134" t="inlineStr">
        <is>
          <t>WSDE002</t>
        </is>
      </c>
      <c r="I134" t="inlineStr">
        <is>
          <t>WSDEI002</t>
        </is>
      </c>
      <c r="J134" s="4" t="n">
        <v>43074</v>
      </c>
      <c r="K134" t="inlineStr">
        <is>
          <t>2F120374D523630000000069</t>
        </is>
      </c>
    </row>
    <row r="135">
      <c r="A135" t="n">
        <v>3</v>
      </c>
      <c r="B135" t="inlineStr">
        <is>
          <t>SPE7M5-18-P-2604</t>
        </is>
      </c>
      <c r="C135" s="20" t="inlineStr">
        <is>
          <t>NEWARK</t>
        </is>
      </c>
      <c r="D135" s="49" t="n"/>
      <c r="E135" t="n">
        <v>63</v>
      </c>
      <c r="F135" t="inlineStr">
        <is>
          <t>p</t>
        </is>
      </c>
      <c r="G135" t="n">
        <v>849.87</v>
      </c>
      <c r="H135" t="inlineStr">
        <is>
          <t>WSDE003</t>
        </is>
      </c>
      <c r="I135" t="inlineStr">
        <is>
          <t>WSDEI003</t>
        </is>
      </c>
      <c r="J135" s="4" t="n">
        <v>43077</v>
      </c>
      <c r="K135" t="inlineStr">
        <is>
          <t>2F120374D52363000000006A</t>
        </is>
      </c>
    </row>
    <row r="136">
      <c r="A136" t="n">
        <v>4</v>
      </c>
      <c r="B136" t="inlineStr">
        <is>
          <t>SPE7L0-18-V-0375</t>
        </is>
      </c>
      <c r="C136" s="20" t="inlineStr">
        <is>
          <t>TimkePG</t>
        </is>
      </c>
      <c r="D136" s="48" t="n"/>
      <c r="E136" t="n">
        <v>1</v>
      </c>
      <c r="F136" t="inlineStr">
        <is>
          <t>P</t>
        </is>
      </c>
      <c r="G136" s="46" t="n">
        <v>3783.74</v>
      </c>
      <c r="H136" t="inlineStr">
        <is>
          <t>WSDE004</t>
        </is>
      </c>
      <c r="I136" t="inlineStr">
        <is>
          <t>WSDEI004</t>
        </is>
      </c>
      <c r="J136" s="4" t="n">
        <v>43077</v>
      </c>
    </row>
    <row r="137">
      <c r="A137" t="n">
        <v>5</v>
      </c>
      <c r="B137" t="inlineStr">
        <is>
          <t>SPE7L0-18-V-0955</t>
        </is>
      </c>
      <c r="C137" s="20" t="inlineStr">
        <is>
          <t>Griswold</t>
        </is>
      </c>
      <c r="E137" t="n">
        <v>40</v>
      </c>
      <c r="F137" t="inlineStr">
        <is>
          <t>p</t>
        </is>
      </c>
      <c r="G137" s="232" t="n">
        <v>3288</v>
      </c>
      <c r="H137" t="inlineStr">
        <is>
          <t>WSDE005</t>
        </is>
      </c>
      <c r="I137" t="inlineStr">
        <is>
          <t>WSDEI005</t>
        </is>
      </c>
      <c r="J137" s="4" t="n">
        <v>43077</v>
      </c>
      <c r="K137" t="inlineStr">
        <is>
          <t>2F120374D52363000000006D</t>
        </is>
      </c>
    </row>
    <row r="138">
      <c r="A138" t="n">
        <v>6</v>
      </c>
      <c r="B138" t="inlineStr">
        <is>
          <t>SPE4A6-18-V-1232</t>
        </is>
      </c>
      <c r="C138" s="20" t="inlineStr">
        <is>
          <t>Circuit</t>
        </is>
      </c>
      <c r="E138" t="n">
        <v>82</v>
      </c>
      <c r="G138" t="n">
        <v>661.74</v>
      </c>
      <c r="H138" t="inlineStr">
        <is>
          <t>WSDE006</t>
        </is>
      </c>
      <c r="I138" t="inlineStr">
        <is>
          <t>WSDEI006</t>
        </is>
      </c>
      <c r="J138" s="4" t="n">
        <v>43077</v>
      </c>
      <c r="K138" t="inlineStr">
        <is>
          <t>2F120374D52363000000006B</t>
        </is>
      </c>
    </row>
    <row r="139">
      <c r="A139" t="n">
        <v>7</v>
      </c>
      <c r="B139" t="inlineStr">
        <is>
          <t>SPE7M1-17-V-C378</t>
        </is>
      </c>
      <c r="C139" s="20" t="inlineStr">
        <is>
          <t>PBM</t>
        </is>
      </c>
      <c r="E139" t="n">
        <v>6</v>
      </c>
      <c r="G139" s="230" t="n">
        <v>4236</v>
      </c>
      <c r="H139" t="inlineStr">
        <is>
          <t>WSDE007</t>
        </is>
      </c>
      <c r="I139" t="inlineStr">
        <is>
          <t>WSDEI007</t>
        </is>
      </c>
      <c r="J139" s="4" t="n">
        <v>43077</v>
      </c>
      <c r="K139" t="inlineStr">
        <is>
          <t>2F120374D52363000000006C</t>
        </is>
      </c>
    </row>
    <row r="140">
      <c r="A140" t="n">
        <v>8</v>
      </c>
      <c r="B140" t="inlineStr">
        <is>
          <t>SPE7L3-18-V-1391</t>
        </is>
      </c>
      <c r="C140" s="20" t="inlineStr">
        <is>
          <t>HIAB</t>
        </is>
      </c>
      <c r="D140" t="inlineStr">
        <is>
          <t>A/11/8/AK</t>
        </is>
      </c>
      <c r="E140" t="n">
        <v>1</v>
      </c>
      <c r="F140" t="inlineStr">
        <is>
          <t>p</t>
        </is>
      </c>
      <c r="G140" s="230" t="n">
        <v>4728</v>
      </c>
      <c r="H140" t="inlineStr">
        <is>
          <t>WSDE008</t>
        </is>
      </c>
      <c r="I140" t="inlineStr">
        <is>
          <t>WSDEI008</t>
        </is>
      </c>
      <c r="J140" s="4" t="n"/>
      <c r="K140" t="inlineStr">
        <is>
          <t>2F120374D52363000000006E</t>
        </is>
      </c>
    </row>
    <row r="141">
      <c r="A141" t="n">
        <v>9</v>
      </c>
      <c r="B141" t="inlineStr">
        <is>
          <t>SPE7M2-17-P-2195</t>
        </is>
      </c>
      <c r="C141" s="20" t="inlineStr">
        <is>
          <t>Munter</t>
        </is>
      </c>
      <c r="D141" s="105" t="inlineStr">
        <is>
          <t>Partial/Ak</t>
        </is>
      </c>
      <c r="E141" t="n">
        <v>75</v>
      </c>
      <c r="G141" t="n">
        <v>8398.5</v>
      </c>
      <c r="H141" t="inlineStr">
        <is>
          <t>WSDE009</t>
        </is>
      </c>
      <c r="I141" t="inlineStr">
        <is>
          <t>WSDEI009</t>
        </is>
      </c>
      <c r="J141" s="4" t="n">
        <v>43080</v>
      </c>
      <c r="K141" t="inlineStr">
        <is>
          <t>2F120374D52363000000006F</t>
        </is>
      </c>
    </row>
    <row r="142">
      <c r="A142" t="n">
        <v>10</v>
      </c>
      <c r="B142" t="inlineStr">
        <is>
          <t>SPE4A6-17-P-N566</t>
        </is>
      </c>
      <c r="C142" s="20" t="inlineStr">
        <is>
          <t>Newport</t>
        </is>
      </c>
      <c r="D142" t="inlineStr">
        <is>
          <t>A/Ak</t>
        </is>
      </c>
      <c r="E142" t="n">
        <v>220</v>
      </c>
      <c r="G142" s="230" t="n">
        <v>33400.4</v>
      </c>
      <c r="H142" t="inlineStr">
        <is>
          <t>WSDE010</t>
        </is>
      </c>
      <c r="I142" t="inlineStr">
        <is>
          <t>WSDEI010</t>
        </is>
      </c>
      <c r="J142" s="4" t="n">
        <v>43088</v>
      </c>
      <c r="K142" t="inlineStr">
        <is>
          <t>2F120374D523630000000070</t>
        </is>
      </c>
    </row>
    <row r="143">
      <c r="A143" t="n">
        <v>11</v>
      </c>
      <c r="B143" t="inlineStr">
        <is>
          <t>SPE7MC-18-V-1627</t>
        </is>
      </c>
      <c r="C143" s="20" t="inlineStr">
        <is>
          <t>National</t>
        </is>
      </c>
      <c r="D143" t="inlineStr">
        <is>
          <t>A/Ak</t>
        </is>
      </c>
      <c r="E143" t="n">
        <v>3</v>
      </c>
      <c r="G143" s="230" t="n">
        <v>847.6799999999999</v>
      </c>
      <c r="H143" t="inlineStr">
        <is>
          <t>WSDE011</t>
        </is>
      </c>
      <c r="I143" t="inlineStr">
        <is>
          <t>WSDEI011</t>
        </is>
      </c>
      <c r="J143" s="4" t="n">
        <v>43083</v>
      </c>
      <c r="K143" t="inlineStr">
        <is>
          <t>2F120374D523630000000071</t>
        </is>
      </c>
    </row>
    <row r="144">
      <c r="A144" t="n">
        <v>12</v>
      </c>
      <c r="B144" t="inlineStr">
        <is>
          <t>SPE7M0-18-V-1129</t>
        </is>
      </c>
      <c r="C144" s="20" t="inlineStr">
        <is>
          <t>Glenair</t>
        </is>
      </c>
      <c r="D144" t="inlineStr">
        <is>
          <t>A/Ak</t>
        </is>
      </c>
      <c r="E144" t="n">
        <v>66</v>
      </c>
      <c r="G144" s="232" t="n">
        <v>2761.44</v>
      </c>
      <c r="H144" t="inlineStr">
        <is>
          <t>WSDE012</t>
        </is>
      </c>
      <c r="I144" t="inlineStr">
        <is>
          <t>WSDEI012</t>
        </is>
      </c>
      <c r="J144" s="4" t="n">
        <v>43083</v>
      </c>
      <c r="K144" t="inlineStr">
        <is>
          <t>2F120374D523630000000072</t>
        </is>
      </c>
    </row>
    <row r="145">
      <c r="A145" t="n">
        <v>13</v>
      </c>
      <c r="B145" t="inlineStr">
        <is>
          <t>SPE7M5-18-V-0894</t>
        </is>
      </c>
      <c r="C145" s="20" t="inlineStr">
        <is>
          <t>Glenair</t>
        </is>
      </c>
      <c r="D145" t="inlineStr">
        <is>
          <t>A/Ak</t>
        </is>
      </c>
      <c r="E145" t="n">
        <v>71</v>
      </c>
      <c r="G145" s="246" t="n">
        <v>3665.73</v>
      </c>
      <c r="H145" t="inlineStr">
        <is>
          <t>WSDE013</t>
        </is>
      </c>
      <c r="I145" t="inlineStr">
        <is>
          <t>WSDEI013</t>
        </is>
      </c>
      <c r="J145" s="4" t="n">
        <v>43083</v>
      </c>
      <c r="K145" t="inlineStr">
        <is>
          <t>2F120374D523630000000073</t>
        </is>
      </c>
    </row>
    <row r="146">
      <c r="A146" t="n">
        <v>14</v>
      </c>
      <c r="B146" t="inlineStr">
        <is>
          <t>SPE7M8-17-V-1669</t>
        </is>
      </c>
      <c r="C146" s="236" t="inlineStr">
        <is>
          <t>ERA-AL</t>
        </is>
      </c>
      <c r="D146" t="inlineStr">
        <is>
          <t>A/Ak</t>
        </is>
      </c>
      <c r="E146" t="n">
        <v>11</v>
      </c>
      <c r="F146" t="inlineStr">
        <is>
          <t>p</t>
        </is>
      </c>
      <c r="G146" s="230" t="n">
        <v>7806.04</v>
      </c>
      <c r="H146" t="inlineStr">
        <is>
          <t>WSDE014</t>
        </is>
      </c>
      <c r="I146" t="inlineStr">
        <is>
          <t>WSDEI014</t>
        </is>
      </c>
      <c r="J146" s="4" t="n">
        <v>43083</v>
      </c>
      <c r="K146" t="inlineStr">
        <is>
          <t>2F120374D523630000000074</t>
        </is>
      </c>
    </row>
    <row r="147">
      <c r="A147" t="n">
        <v>15</v>
      </c>
      <c r="B147" t="inlineStr">
        <is>
          <t>SPE7M5-18-P-2248</t>
        </is>
      </c>
      <c r="C147" s="20" t="inlineStr">
        <is>
          <t>Glenair</t>
        </is>
      </c>
      <c r="D147" t="inlineStr">
        <is>
          <t>A/11/15/AK</t>
        </is>
      </c>
      <c r="E147" t="n">
        <v>6</v>
      </c>
      <c r="G147" s="230" t="n">
        <v>1491.18</v>
      </c>
      <c r="H147" t="inlineStr">
        <is>
          <t>WSDE015</t>
        </is>
      </c>
      <c r="I147" t="inlineStr">
        <is>
          <t>WSDEI015</t>
        </is>
      </c>
      <c r="J147" s="4" t="n">
        <v>43084</v>
      </c>
      <c r="K147" t="inlineStr">
        <is>
          <t>2F120374D523630000000075</t>
        </is>
      </c>
    </row>
    <row r="148">
      <c r="A148" t="n">
        <v>16</v>
      </c>
      <c r="B148" t="inlineStr">
        <is>
          <t>SPE7MC-18-V-0502</t>
        </is>
      </c>
      <c r="C148" s="20" t="inlineStr">
        <is>
          <t>ERA-AL</t>
        </is>
      </c>
      <c r="D148" t="inlineStr">
        <is>
          <t>A/11/15/AK</t>
        </is>
      </c>
      <c r="E148" t="n">
        <v>1</v>
      </c>
      <c r="F148" t="inlineStr">
        <is>
          <t>p</t>
        </is>
      </c>
      <c r="G148" s="261" t="n">
        <v>1842.66</v>
      </c>
      <c r="H148" t="inlineStr">
        <is>
          <t>WSDE016</t>
        </is>
      </c>
      <c r="I148" t="inlineStr">
        <is>
          <t>WSDEI016</t>
        </is>
      </c>
      <c r="J148" s="4" t="n">
        <v>43084</v>
      </c>
      <c r="K148" t="inlineStr">
        <is>
          <t>2F120374D523630000000076</t>
        </is>
      </c>
    </row>
    <row r="149">
      <c r="A149" t="n">
        <v>17</v>
      </c>
      <c r="B149" t="inlineStr">
        <is>
          <t>SPE7M1-18-V-1678</t>
        </is>
      </c>
      <c r="C149" s="20" t="inlineStr">
        <is>
          <t>Vetronix</t>
        </is>
      </c>
      <c r="D149" t="inlineStr">
        <is>
          <t>A/11/15/AK</t>
        </is>
      </c>
      <c r="E149" t="n">
        <v>5</v>
      </c>
      <c r="F149" t="inlineStr">
        <is>
          <t>p</t>
        </is>
      </c>
      <c r="G149" s="230" t="n">
        <v>4771.5</v>
      </c>
      <c r="H149" t="inlineStr">
        <is>
          <t>WSDE017</t>
        </is>
      </c>
      <c r="I149" t="inlineStr">
        <is>
          <t>WSDEI017</t>
        </is>
      </c>
      <c r="J149" s="4" t="n">
        <v>43084</v>
      </c>
      <c r="K149" t="inlineStr">
        <is>
          <t>2F120374D523630000000077</t>
        </is>
      </c>
    </row>
    <row r="150">
      <c r="A150" t="n">
        <v>18</v>
      </c>
      <c r="B150" t="inlineStr">
        <is>
          <t>SPE7M5-18-V-1106</t>
        </is>
      </c>
      <c r="C150" s="20" t="inlineStr">
        <is>
          <t>Glenair</t>
        </is>
      </c>
      <c r="D150" t="inlineStr">
        <is>
          <t>A/11/15/AK</t>
        </is>
      </c>
      <c r="E150" t="n">
        <v>22</v>
      </c>
      <c r="G150" s="232" t="n">
        <v>993.96</v>
      </c>
      <c r="H150" t="inlineStr">
        <is>
          <t>WSDE018</t>
        </is>
      </c>
      <c r="I150" t="inlineStr">
        <is>
          <t>WSDEI018</t>
        </is>
      </c>
      <c r="J150" s="4" t="n">
        <v>43084</v>
      </c>
      <c r="K150" t="inlineStr">
        <is>
          <t>2F120374D523630000000078</t>
        </is>
      </c>
    </row>
    <row r="151">
      <c r="A151" t="n">
        <v>19</v>
      </c>
      <c r="B151" t="inlineStr">
        <is>
          <t>SPE7M5-18-V-2223</t>
        </is>
      </c>
      <c r="C151" s="20" t="inlineStr">
        <is>
          <t>National</t>
        </is>
      </c>
      <c r="D151" t="inlineStr">
        <is>
          <t>A/11/15/AK</t>
        </is>
      </c>
      <c r="E151" t="n">
        <v>1</v>
      </c>
      <c r="G151" s="230" t="n">
        <v>1011.6</v>
      </c>
      <c r="H151" t="inlineStr">
        <is>
          <t>WSDE019</t>
        </is>
      </c>
      <c r="I151" t="inlineStr">
        <is>
          <t>WSDEI019</t>
        </is>
      </c>
      <c r="J151" s="4" t="n">
        <v>43084</v>
      </c>
      <c r="K151" t="inlineStr">
        <is>
          <t>2F120374D523630000000079</t>
        </is>
      </c>
    </row>
    <row r="152">
      <c r="A152" t="n">
        <v>20</v>
      </c>
      <c r="B152" t="inlineStr">
        <is>
          <t>SPE7M5-18-V-0992</t>
        </is>
      </c>
      <c r="C152" s="20" t="inlineStr">
        <is>
          <t>CONNECTIVE</t>
        </is>
      </c>
      <c r="D152" t="inlineStr">
        <is>
          <t>A/11/15/AK</t>
        </is>
      </c>
      <c r="E152" t="n">
        <v>17</v>
      </c>
      <c r="F152" t="inlineStr">
        <is>
          <t>p</t>
        </is>
      </c>
      <c r="G152" s="232" t="n">
        <v>1757.46</v>
      </c>
      <c r="H152" t="inlineStr">
        <is>
          <t>WSDE020</t>
        </is>
      </c>
      <c r="I152" t="inlineStr">
        <is>
          <t>WSDEI020</t>
        </is>
      </c>
      <c r="J152" s="4" t="n">
        <v>43084</v>
      </c>
      <c r="K152" t="inlineStr">
        <is>
          <t>2F120374D52363000000007A</t>
        </is>
      </c>
    </row>
    <row r="153">
      <c r="A153" t="n">
        <v>21</v>
      </c>
      <c r="B153" t="inlineStr">
        <is>
          <t>SPE7M0-18-V-2155</t>
        </is>
      </c>
      <c r="C153" s="20" t="inlineStr">
        <is>
          <t>AEROFIT</t>
        </is>
      </c>
      <c r="D153" t="inlineStr">
        <is>
          <t>A/11/15/AK</t>
        </is>
      </c>
      <c r="E153" t="n">
        <v>7</v>
      </c>
      <c r="F153" t="inlineStr">
        <is>
          <t>p</t>
        </is>
      </c>
      <c r="G153" s="230" t="n">
        <v>184.66</v>
      </c>
      <c r="H153" t="inlineStr">
        <is>
          <t>WSDE021</t>
        </is>
      </c>
      <c r="I153" t="inlineStr">
        <is>
          <t>WSDEI021</t>
        </is>
      </c>
      <c r="J153" s="4" t="n">
        <v>43085</v>
      </c>
      <c r="K153" t="inlineStr">
        <is>
          <t>NO RFID</t>
        </is>
      </c>
    </row>
    <row r="154">
      <c r="A154" t="n">
        <v>22</v>
      </c>
      <c r="B154" t="inlineStr">
        <is>
          <t>SPE7M0-18-V-1208</t>
        </is>
      </c>
      <c r="C154" s="20" t="inlineStr">
        <is>
          <t>Glenair</t>
        </is>
      </c>
      <c r="D154" t="inlineStr">
        <is>
          <t>A/11/19/AK</t>
        </is>
      </c>
      <c r="E154" t="n">
        <v>10</v>
      </c>
      <c r="G154" s="232" t="n">
        <v>2064.8</v>
      </c>
      <c r="H154" t="inlineStr">
        <is>
          <t>WSDE022</t>
        </is>
      </c>
      <c r="I154" t="inlineStr">
        <is>
          <t>WSDEI022</t>
        </is>
      </c>
      <c r="J154" s="4" t="n">
        <v>43085</v>
      </c>
      <c r="K154" t="inlineStr">
        <is>
          <t>NO RFID</t>
        </is>
      </c>
    </row>
    <row r="155">
      <c r="A155" t="n">
        <v>23</v>
      </c>
      <c r="B155" t="inlineStr">
        <is>
          <t>SPE4A5-18-V-0647</t>
        </is>
      </c>
      <c r="C155" s="20" t="inlineStr">
        <is>
          <t>Glenair</t>
        </is>
      </c>
      <c r="D155" t="inlineStr">
        <is>
          <t>A/11/19/AK</t>
        </is>
      </c>
      <c r="E155" t="n">
        <v>1</v>
      </c>
      <c r="G155" s="230" t="n">
        <v>420.6</v>
      </c>
      <c r="H155" t="inlineStr">
        <is>
          <t>WSDE023</t>
        </is>
      </c>
      <c r="I155" t="inlineStr">
        <is>
          <t>WSDEI022</t>
        </is>
      </c>
      <c r="J155" s="4" t="n">
        <v>43090</v>
      </c>
      <c r="K155" t="inlineStr">
        <is>
          <t>2F120374D52363000000007B</t>
        </is>
      </c>
    </row>
    <row r="156">
      <c r="A156" t="n">
        <v>24</v>
      </c>
      <c r="B156" t="inlineStr">
        <is>
          <t>SPE7L1-17-V-7185</t>
        </is>
      </c>
      <c r="C156" s="20" t="inlineStr">
        <is>
          <t>Morpac</t>
        </is>
      </c>
      <c r="D156" t="inlineStr">
        <is>
          <t>A/11/159AK</t>
        </is>
      </c>
      <c r="E156" t="n">
        <v>7</v>
      </c>
      <c r="F156" t="inlineStr">
        <is>
          <t>p</t>
        </is>
      </c>
      <c r="G156" s="230" t="n">
        <v>1496.11</v>
      </c>
      <c r="H156" t="inlineStr">
        <is>
          <t>WSDE024</t>
        </is>
      </c>
      <c r="I156" t="inlineStr">
        <is>
          <t>WSDEI024</t>
        </is>
      </c>
      <c r="J156" s="4" t="n">
        <v>43090</v>
      </c>
      <c r="K156" t="inlineStr">
        <is>
          <t>2F120374D52363000000007C</t>
        </is>
      </c>
    </row>
    <row r="157">
      <c r="A157" t="n">
        <v>25</v>
      </c>
      <c r="B157" t="inlineStr">
        <is>
          <t>SPE4A4-18-V-1805</t>
        </is>
      </c>
      <c r="C157" s="20" t="inlineStr">
        <is>
          <t>L-COM</t>
        </is>
      </c>
      <c r="D157" t="inlineStr">
        <is>
          <t>A/11/19/AK</t>
        </is>
      </c>
      <c r="E157" t="n">
        <v>11</v>
      </c>
      <c r="F157" t="inlineStr">
        <is>
          <t>P</t>
        </is>
      </c>
      <c r="G157" s="230" t="n">
        <v>378.84</v>
      </c>
      <c r="H157" t="inlineStr">
        <is>
          <t>WSDE025</t>
        </is>
      </c>
      <c r="I157" t="inlineStr">
        <is>
          <t>WSDEI025</t>
        </is>
      </c>
      <c r="J157" s="4" t="n">
        <v>43091</v>
      </c>
      <c r="K157" t="inlineStr">
        <is>
          <t>2F120374D52363000000007D</t>
        </is>
      </c>
    </row>
    <row r="158">
      <c r="A158" t="n">
        <v>26</v>
      </c>
      <c r="B158" t="inlineStr">
        <is>
          <t>SPE7MC-18-V-1647</t>
        </is>
      </c>
      <c r="C158" s="20" t="inlineStr">
        <is>
          <t>Glenair</t>
        </is>
      </c>
      <c r="D158" t="inlineStr">
        <is>
          <t>A/11/19/AK</t>
        </is>
      </c>
      <c r="E158" t="n">
        <v>26</v>
      </c>
      <c r="G158" s="230" t="n">
        <v>4035.2</v>
      </c>
      <c r="H158" t="inlineStr">
        <is>
          <t>WSDE026</t>
        </is>
      </c>
      <c r="I158" t="inlineStr">
        <is>
          <t>WSDEI026</t>
        </is>
      </c>
      <c r="J158" s="4" t="n">
        <v>43091</v>
      </c>
      <c r="K158" t="inlineStr">
        <is>
          <t>2F120374D52363000000007E</t>
        </is>
      </c>
    </row>
    <row r="159">
      <c r="A159" t="n">
        <v>27</v>
      </c>
      <c r="B159" t="inlineStr">
        <is>
          <t>SPE4A6-18-V-4761</t>
        </is>
      </c>
      <c r="C159" s="20" t="inlineStr">
        <is>
          <t>National</t>
        </is>
      </c>
      <c r="D159" t="inlineStr">
        <is>
          <t>A/11/27/AK</t>
        </is>
      </c>
      <c r="E159" t="n">
        <v>4</v>
      </c>
      <c r="G159" s="230" t="n">
        <v>634.04</v>
      </c>
      <c r="H159" t="inlineStr">
        <is>
          <t>WSDE027</t>
        </is>
      </c>
      <c r="I159" t="inlineStr">
        <is>
          <t>WSDEI027</t>
        </is>
      </c>
      <c r="J159" s="4" t="n">
        <v>43092</v>
      </c>
      <c r="K159" t="inlineStr">
        <is>
          <t>2F120374D52363000000007F</t>
        </is>
      </c>
    </row>
    <row r="160">
      <c r="A160" t="n">
        <v>28</v>
      </c>
      <c r="B160" t="inlineStr">
        <is>
          <t>SPE7M5-18-V-1162</t>
        </is>
      </c>
      <c r="C160" s="20" t="inlineStr">
        <is>
          <t>Glenair</t>
        </is>
      </c>
      <c r="D160" t="inlineStr">
        <is>
          <t>A/11/27/AK</t>
        </is>
      </c>
      <c r="E160" t="n">
        <v>40</v>
      </c>
      <c r="G160" s="230" t="n">
        <v>4319.2</v>
      </c>
      <c r="H160" t="inlineStr">
        <is>
          <t>WSDE028</t>
        </is>
      </c>
      <c r="I160" t="inlineStr">
        <is>
          <t>WSDEI028</t>
        </is>
      </c>
      <c r="J160" s="4" t="n">
        <v>43093</v>
      </c>
      <c r="K160" t="inlineStr">
        <is>
          <t>2F120374D523630000000080</t>
        </is>
      </c>
    </row>
    <row r="161">
      <c r="A161" t="n">
        <v>29</v>
      </c>
      <c r="B161" t="inlineStr">
        <is>
          <t>SPE7M8-17-P-3684</t>
        </is>
      </c>
      <c r="C161" s="20" t="inlineStr">
        <is>
          <t>GEMS</t>
        </is>
      </c>
      <c r="D161" t="inlineStr">
        <is>
          <t>A/11/29/AK</t>
        </is>
      </c>
      <c r="E161" t="n">
        <v>16</v>
      </c>
      <c r="G161" s="230" t="n">
        <v>14637.12</v>
      </c>
      <c r="H161" t="inlineStr">
        <is>
          <t>WSDE029</t>
        </is>
      </c>
      <c r="I161" t="inlineStr">
        <is>
          <t>WSDEI029</t>
        </is>
      </c>
      <c r="J161" s="4" t="n">
        <v>43098</v>
      </c>
      <c r="K161" t="inlineStr">
        <is>
          <t>2F120374D523630000000081</t>
        </is>
      </c>
    </row>
    <row r="162">
      <c r="A162" t="n">
        <v>30</v>
      </c>
      <c r="B162" t="inlineStr">
        <is>
          <t>SPE7M5-18-V-1322</t>
        </is>
      </c>
      <c r="C162" s="20" t="inlineStr">
        <is>
          <t>National</t>
        </is>
      </c>
      <c r="D162" t="inlineStr">
        <is>
          <t>A/11/29/AK</t>
        </is>
      </c>
      <c r="E162" t="n">
        <v>14</v>
      </c>
      <c r="G162" s="232" t="n">
        <v>582.96</v>
      </c>
      <c r="H162" t="inlineStr">
        <is>
          <t>WSDE030</t>
        </is>
      </c>
      <c r="I162" t="inlineStr">
        <is>
          <t>WSDEI030</t>
        </is>
      </c>
      <c r="J162" s="4" t="n">
        <v>43095</v>
      </c>
      <c r="K162" t="inlineStr">
        <is>
          <t>2F120374D523630000000082</t>
        </is>
      </c>
    </row>
    <row r="163">
      <c r="A163" t="n">
        <v>31</v>
      </c>
      <c r="B163" t="inlineStr">
        <is>
          <t>SPE7M5-18-V-0859</t>
        </is>
      </c>
      <c r="C163" s="20" t="inlineStr">
        <is>
          <t>Pheonix</t>
        </is>
      </c>
      <c r="D163" t="inlineStr">
        <is>
          <t>A/11/29/AK</t>
        </is>
      </c>
      <c r="E163" t="n">
        <v>10</v>
      </c>
      <c r="F163" t="inlineStr">
        <is>
          <t>p</t>
        </is>
      </c>
      <c r="G163" s="230" t="n">
        <v>1056.2</v>
      </c>
      <c r="H163" t="inlineStr">
        <is>
          <t>WSDE031</t>
        </is>
      </c>
      <c r="I163" t="inlineStr">
        <is>
          <t>WSDEI031</t>
        </is>
      </c>
      <c r="J163" s="4" t="n">
        <v>43096</v>
      </c>
      <c r="K163" t="inlineStr">
        <is>
          <t>2F120374D523630000000083</t>
        </is>
      </c>
    </row>
    <row r="164">
      <c r="A164" t="n">
        <v>32</v>
      </c>
      <c r="B164" t="inlineStr">
        <is>
          <t>SPE7MC-18-V-0322</t>
        </is>
      </c>
      <c r="C164" s="20" t="inlineStr">
        <is>
          <t>GEMS</t>
        </is>
      </c>
      <c r="E164" t="n">
        <v>6</v>
      </c>
      <c r="G164" s="230" t="n">
        <v>4894.38</v>
      </c>
      <c r="H164" t="inlineStr">
        <is>
          <t>WSDE032</t>
        </is>
      </c>
      <c r="I164" t="inlineStr">
        <is>
          <t>WSDEI032</t>
        </is>
      </c>
      <c r="J164" s="4" t="n">
        <v>43097</v>
      </c>
      <c r="K164" t="inlineStr">
        <is>
          <t>2F120374D523630000000084</t>
        </is>
      </c>
    </row>
    <row r="165">
      <c r="G165" s="232" t="n"/>
    </row>
    <row r="166">
      <c r="A166" t="n">
        <v>1</v>
      </c>
      <c r="B166" t="inlineStr">
        <is>
          <t>SPE7M0-18-V-0786</t>
        </is>
      </c>
      <c r="C166" s="20" t="inlineStr">
        <is>
          <t>PBM</t>
        </is>
      </c>
      <c r="D166" t="inlineStr">
        <is>
          <t>A/1/2/AK</t>
        </is>
      </c>
      <c r="E166" t="n">
        <v>6</v>
      </c>
      <c r="G166" s="230" t="n">
        <v>5385.3</v>
      </c>
      <c r="H166" t="inlineStr">
        <is>
          <t>WSJA001</t>
        </is>
      </c>
      <c r="I166" t="inlineStr">
        <is>
          <t>WSJAI001</t>
        </is>
      </c>
      <c r="J166" s="4" t="n">
        <v>43102</v>
      </c>
      <c r="K166" t="inlineStr">
        <is>
          <t>2F120374D523630000000085</t>
        </is>
      </c>
    </row>
    <row r="167">
      <c r="A167" t="n">
        <v>2</v>
      </c>
      <c r="B167" t="inlineStr">
        <is>
          <t>SPE7M1-18-V-1940</t>
        </is>
      </c>
      <c r="C167" s="20" t="inlineStr">
        <is>
          <t>CLARUS</t>
        </is>
      </c>
      <c r="D167" t="inlineStr">
        <is>
          <t>A/1/2/AK</t>
        </is>
      </c>
      <c r="E167" t="n">
        <v>1</v>
      </c>
      <c r="F167" t="inlineStr">
        <is>
          <t>p</t>
        </is>
      </c>
      <c r="G167" s="230" t="n">
        <v>164</v>
      </c>
      <c r="H167" t="inlineStr">
        <is>
          <t>WSJA002</t>
        </is>
      </c>
      <c r="I167" t="inlineStr">
        <is>
          <t>WSJAI002</t>
        </is>
      </c>
      <c r="J167" s="4" t="n">
        <v>43102</v>
      </c>
      <c r="K167" t="inlineStr">
        <is>
          <t>No RFID</t>
        </is>
      </c>
    </row>
    <row r="168">
      <c r="A168" t="n">
        <v>3</v>
      </c>
      <c r="B168" t="inlineStr">
        <is>
          <t>SPE7L0-18-V-0775</t>
        </is>
      </c>
      <c r="C168" s="20" t="inlineStr">
        <is>
          <t>MORRIS MATERIAL</t>
        </is>
      </c>
      <c r="D168" t="inlineStr">
        <is>
          <t>A/1/2/AK</t>
        </is>
      </c>
      <c r="E168" t="n">
        <v>1</v>
      </c>
      <c r="G168" s="230" t="n">
        <v>2092.78</v>
      </c>
      <c r="H168" t="inlineStr">
        <is>
          <t>WSJA003</t>
        </is>
      </c>
      <c r="I168" t="inlineStr">
        <is>
          <t>WSJAI003</t>
        </is>
      </c>
      <c r="J168" s="4" t="n">
        <v>43103</v>
      </c>
      <c r="K168" t="inlineStr">
        <is>
          <t>2F120374D523630000000086</t>
        </is>
      </c>
    </row>
    <row r="169">
      <c r="A169" t="n">
        <v>4</v>
      </c>
      <c r="B169" t="inlineStr">
        <is>
          <t>SPE5E8-18-V-1993</t>
        </is>
      </c>
      <c r="C169" s="20" t="inlineStr">
        <is>
          <t>PBM</t>
        </is>
      </c>
      <c r="D169" t="inlineStr">
        <is>
          <t>A/1/2/AK</t>
        </is>
      </c>
      <c r="E169" t="n">
        <v>2</v>
      </c>
      <c r="G169" s="230" t="n">
        <v>142</v>
      </c>
      <c r="H169" t="inlineStr">
        <is>
          <t>WSJA004</t>
        </is>
      </c>
      <c r="I169" t="inlineStr">
        <is>
          <t>WSJAI004</t>
        </is>
      </c>
      <c r="J169" s="4" t="n">
        <v>43104</v>
      </c>
      <c r="K169" t="inlineStr">
        <is>
          <t>2F120374D523630000000087</t>
        </is>
      </c>
    </row>
    <row r="170">
      <c r="A170" t="n">
        <v>5</v>
      </c>
      <c r="B170" t="inlineStr">
        <is>
          <t>SPE7L3-18-V-1933</t>
        </is>
      </c>
      <c r="C170" s="20" t="inlineStr">
        <is>
          <t>MORPAC</t>
        </is>
      </c>
      <c r="E170" t="n">
        <v>1</v>
      </c>
      <c r="F170" t="inlineStr">
        <is>
          <t>P</t>
        </is>
      </c>
      <c r="G170" s="230" t="n">
        <v>898</v>
      </c>
      <c r="H170" t="inlineStr">
        <is>
          <t>WSJA005</t>
        </is>
      </c>
      <c r="I170" t="inlineStr">
        <is>
          <t>WSJAI005</t>
        </is>
      </c>
      <c r="J170" s="4" t="n">
        <v>43104</v>
      </c>
      <c r="K170" t="inlineStr">
        <is>
          <t>No RFID</t>
        </is>
      </c>
    </row>
    <row r="171">
      <c r="A171" t="n">
        <v>6</v>
      </c>
      <c r="B171" t="inlineStr">
        <is>
          <t>SPE7M5-18-P-2660</t>
        </is>
      </c>
      <c r="C171" s="20" t="inlineStr">
        <is>
          <t>GAI-TRONICS</t>
        </is>
      </c>
      <c r="E171" t="n">
        <v>16</v>
      </c>
      <c r="F171" t="inlineStr">
        <is>
          <t>p</t>
        </is>
      </c>
      <c r="G171" s="230" t="n">
        <v>6033.6</v>
      </c>
      <c r="H171" t="inlineStr">
        <is>
          <t>WSJA006</t>
        </is>
      </c>
      <c r="I171" t="inlineStr">
        <is>
          <t>WSJAI006</t>
        </is>
      </c>
      <c r="J171" s="4" t="n">
        <v>43104</v>
      </c>
      <c r="K171" t="inlineStr">
        <is>
          <t>2F120374D523630000000088</t>
        </is>
      </c>
    </row>
    <row r="172">
      <c r="A172" t="n">
        <v>7</v>
      </c>
      <c r="B172" t="inlineStr">
        <is>
          <t>SPE7L1-18-V-1293</t>
        </is>
      </c>
      <c r="C172" s="20" t="inlineStr">
        <is>
          <t>PG</t>
        </is>
      </c>
      <c r="E172" t="n">
        <v>19</v>
      </c>
      <c r="G172" s="230" t="n">
        <v>6339.16</v>
      </c>
      <c r="H172" t="inlineStr">
        <is>
          <t>WSJA007</t>
        </is>
      </c>
      <c r="I172" t="inlineStr">
        <is>
          <t>WSJAI007</t>
        </is>
      </c>
      <c r="J172" s="4" t="n">
        <v>43104</v>
      </c>
      <c r="K172" t="inlineStr">
        <is>
          <t>2F120374D523630000000089</t>
        </is>
      </c>
    </row>
    <row r="173">
      <c r="A173" t="n">
        <v>8</v>
      </c>
      <c r="B173" t="inlineStr">
        <is>
          <t>SPE7MC-18-V-1129</t>
        </is>
      </c>
      <c r="C173" s="20" t="inlineStr">
        <is>
          <t>Glenair</t>
        </is>
      </c>
      <c r="E173" t="n">
        <v>23</v>
      </c>
      <c r="G173" s="230" t="n">
        <v>1672.1</v>
      </c>
      <c r="H173" t="inlineStr">
        <is>
          <t>WSJA008Z</t>
        </is>
      </c>
      <c r="I173" t="inlineStr">
        <is>
          <t>WSJAI008</t>
        </is>
      </c>
      <c r="J173" s="4" t="n">
        <v>43104</v>
      </c>
      <c r="K173" t="inlineStr">
        <is>
          <t>2F120374D52363000000008A</t>
        </is>
      </c>
    </row>
    <row r="174">
      <c r="A174" t="n">
        <v>9</v>
      </c>
      <c r="B174" t="inlineStr">
        <is>
          <t>SPE7M8-17-V-1710</t>
        </is>
      </c>
      <c r="C174" s="20" t="inlineStr">
        <is>
          <t>GEMS</t>
        </is>
      </c>
      <c r="E174" t="n">
        <v>1</v>
      </c>
      <c r="G174" s="230" t="n">
        <v>2573.9</v>
      </c>
      <c r="H174" t="inlineStr">
        <is>
          <t>WSJA009Z</t>
        </is>
      </c>
      <c r="I174" t="inlineStr">
        <is>
          <t>WSJAI009</t>
        </is>
      </c>
      <c r="J174" s="4" t="n">
        <v>43105</v>
      </c>
      <c r="K174" t="inlineStr">
        <is>
          <t>No RFID</t>
        </is>
      </c>
      <c r="L174" s="51" t="inlineStr">
        <is>
          <t>Check Pay</t>
        </is>
      </c>
    </row>
    <row r="175">
      <c r="A175" t="n">
        <v>10</v>
      </c>
      <c r="B175" t="inlineStr">
        <is>
          <t>SPE7M0-18-V-2008</t>
        </is>
      </c>
      <c r="C175" s="20" t="inlineStr">
        <is>
          <t>Glenair</t>
        </is>
      </c>
      <c r="E175" t="n">
        <v>12</v>
      </c>
      <c r="G175" s="230" t="n">
        <v>1597.92</v>
      </c>
      <c r="H175" t="inlineStr">
        <is>
          <t>WSJA010Z</t>
        </is>
      </c>
      <c r="I175" t="inlineStr">
        <is>
          <t>WSJAI010</t>
        </is>
      </c>
      <c r="J175" s="4" t="n">
        <v>43106</v>
      </c>
      <c r="K175" t="inlineStr">
        <is>
          <t>2F120374D52363000000008B</t>
        </is>
      </c>
    </row>
    <row r="176">
      <c r="A176" t="n">
        <v>11</v>
      </c>
      <c r="B176" t="inlineStr">
        <is>
          <t>SPE7M0-18-V-2335</t>
        </is>
      </c>
      <c r="C176" s="20" t="inlineStr">
        <is>
          <t>Glenair</t>
        </is>
      </c>
      <c r="E176" t="n">
        <v>2</v>
      </c>
      <c r="G176" s="230" t="n">
        <v>452.8</v>
      </c>
      <c r="H176" t="inlineStr">
        <is>
          <t>WSJA011Z</t>
        </is>
      </c>
      <c r="I176" t="inlineStr">
        <is>
          <t>WSJAI011</t>
        </is>
      </c>
      <c r="J176" s="4" t="n">
        <v>43106</v>
      </c>
      <c r="K176" t="inlineStr">
        <is>
          <t>2F120374D52363000000008C</t>
        </is>
      </c>
    </row>
    <row r="177">
      <c r="A177" t="n">
        <v>12</v>
      </c>
      <c r="B177" t="inlineStr">
        <is>
          <t>SPE7M0-18-V-2893</t>
        </is>
      </c>
      <c r="C177" s="20" t="inlineStr">
        <is>
          <t>Glenair</t>
        </is>
      </c>
      <c r="E177" t="n">
        <v>2</v>
      </c>
      <c r="G177" s="230" t="n">
        <v>412.78</v>
      </c>
      <c r="H177" t="inlineStr">
        <is>
          <t>WSJA012Z</t>
        </is>
      </c>
      <c r="I177" t="inlineStr">
        <is>
          <t>WSJAI012</t>
        </is>
      </c>
      <c r="J177" s="4" t="n">
        <v>43106</v>
      </c>
      <c r="K177" t="inlineStr">
        <is>
          <t>2F120374D52363000000008D</t>
        </is>
      </c>
    </row>
    <row r="178">
      <c r="A178" t="n">
        <v>13</v>
      </c>
      <c r="B178" t="inlineStr">
        <is>
          <t>SPE4A4-18-V-2779</t>
        </is>
      </c>
      <c r="C178" s="20" t="inlineStr">
        <is>
          <t>National</t>
        </is>
      </c>
      <c r="E178" t="n">
        <v>3</v>
      </c>
      <c r="F178" t="inlineStr">
        <is>
          <t>P</t>
        </is>
      </c>
      <c r="G178" s="46" t="n">
        <v>1813.14</v>
      </c>
      <c r="H178" t="inlineStr">
        <is>
          <t>WSJA013Z</t>
        </is>
      </c>
      <c r="I178" t="inlineStr">
        <is>
          <t>WSJAI013</t>
        </is>
      </c>
      <c r="J178" s="4" t="n">
        <v>43106</v>
      </c>
      <c r="K178" t="inlineStr">
        <is>
          <t>2F120374D52363000000008E</t>
        </is>
      </c>
    </row>
    <row r="179">
      <c r="A179" t="n">
        <v>14</v>
      </c>
      <c r="B179" t="inlineStr">
        <is>
          <t>SPE7M5-18-V-1141</t>
        </is>
      </c>
      <c r="C179" s="20" t="inlineStr">
        <is>
          <t>Glenair</t>
        </is>
      </c>
      <c r="E179" t="n">
        <v>142</v>
      </c>
      <c r="G179" s="46" t="n">
        <v>3523.02</v>
      </c>
      <c r="H179" t="inlineStr">
        <is>
          <t>WSJA014Z</t>
        </is>
      </c>
      <c r="I179" t="inlineStr">
        <is>
          <t>WSJAI014</t>
        </is>
      </c>
      <c r="J179" s="4" t="n">
        <v>43106</v>
      </c>
      <c r="K179" t="inlineStr">
        <is>
          <t>2F120374D52363000000008F</t>
        </is>
      </c>
    </row>
    <row r="180">
      <c r="A180" t="n">
        <v>15</v>
      </c>
      <c r="B180" t="inlineStr">
        <is>
          <t>SPE7M0-17-P-4702</t>
        </is>
      </c>
      <c r="C180" s="20" t="inlineStr">
        <is>
          <t>CAMERON</t>
        </is>
      </c>
      <c r="E180" t="n">
        <v>1</v>
      </c>
      <c r="F180" t="inlineStr">
        <is>
          <t>P</t>
        </is>
      </c>
      <c r="G180" s="230" t="n">
        <v>5086.68</v>
      </c>
      <c r="H180" t="inlineStr">
        <is>
          <t>WSJA015Z</t>
        </is>
      </c>
      <c r="I180" t="inlineStr">
        <is>
          <t>WSJAI015</t>
        </is>
      </c>
      <c r="J180" s="4" t="n">
        <v>43108</v>
      </c>
      <c r="K180" t="inlineStr">
        <is>
          <t>2F120374D523630000000090</t>
        </is>
      </c>
    </row>
    <row r="181">
      <c r="A181" t="n">
        <v>16</v>
      </c>
      <c r="B181" t="inlineStr">
        <is>
          <t>SPE5E8-17-V-7702</t>
        </is>
      </c>
      <c r="C181" s="20" t="inlineStr">
        <is>
          <t>EAST</t>
        </is>
      </c>
      <c r="E181" t="n">
        <v>11</v>
      </c>
      <c r="F181" t="inlineStr">
        <is>
          <t>P</t>
        </is>
      </c>
      <c r="G181" t="n">
        <v>3804.57</v>
      </c>
      <c r="H181" t="inlineStr">
        <is>
          <t>WSJA016Z</t>
        </is>
      </c>
      <c r="I181" t="inlineStr">
        <is>
          <t>WSJAI016</t>
        </is>
      </c>
      <c r="J181" s="4" t="n">
        <v>43108</v>
      </c>
      <c r="K181" t="inlineStr">
        <is>
          <t>2F120374D523630000000091</t>
        </is>
      </c>
    </row>
    <row r="182">
      <c r="A182" t="n">
        <v>17</v>
      </c>
      <c r="B182" t="inlineStr">
        <is>
          <t>SPE7M1-18-V-0627</t>
        </is>
      </c>
      <c r="C182" s="20" t="inlineStr">
        <is>
          <t>ERA</t>
        </is>
      </c>
      <c r="E182" t="n">
        <v>2</v>
      </c>
      <c r="F182" t="inlineStr">
        <is>
          <t>P</t>
        </is>
      </c>
      <c r="G182" t="n">
        <v>1530.6</v>
      </c>
      <c r="H182" t="inlineStr">
        <is>
          <t>WSJA017Z</t>
        </is>
      </c>
      <c r="I182" t="inlineStr">
        <is>
          <t>WSJAI017</t>
        </is>
      </c>
      <c r="J182" s="4" t="n">
        <v>43109</v>
      </c>
      <c r="K182" t="inlineStr">
        <is>
          <t>2F120374D523630000000092</t>
        </is>
      </c>
    </row>
    <row r="183">
      <c r="A183" t="n">
        <v>18</v>
      </c>
      <c r="B183" t="inlineStr">
        <is>
          <t>SPE7M5-18-P-1531</t>
        </is>
      </c>
      <c r="C183" s="20" t="inlineStr">
        <is>
          <t>GEMS</t>
        </is>
      </c>
      <c r="E183" t="n">
        <v>1</v>
      </c>
      <c r="G183" s="232" t="n">
        <v>1308.58</v>
      </c>
      <c r="H183" t="inlineStr">
        <is>
          <t>WSJA018Z</t>
        </is>
      </c>
      <c r="I183" t="inlineStr">
        <is>
          <t>WSJAI018</t>
        </is>
      </c>
      <c r="J183" s="4" t="n">
        <v>43109</v>
      </c>
      <c r="K183" t="inlineStr">
        <is>
          <t>No RFID</t>
        </is>
      </c>
      <c r="L183" s="51" t="n"/>
    </row>
    <row r="184">
      <c r="A184" t="n">
        <v>19</v>
      </c>
      <c r="B184" t="inlineStr">
        <is>
          <t>SPE7M0-18-V-3225</t>
        </is>
      </c>
      <c r="C184" s="20" t="inlineStr">
        <is>
          <t>Griswold</t>
        </is>
      </c>
      <c r="E184" t="n">
        <v>1</v>
      </c>
      <c r="F184" t="inlineStr">
        <is>
          <t>P</t>
        </is>
      </c>
      <c r="G184" t="n">
        <v>98</v>
      </c>
      <c r="H184" t="inlineStr">
        <is>
          <t>WSJA019Z</t>
        </is>
      </c>
      <c r="I184" t="inlineStr">
        <is>
          <t>WSJAI019</t>
        </is>
      </c>
      <c r="J184" s="4" t="n">
        <v>43115</v>
      </c>
      <c r="K184" t="inlineStr">
        <is>
          <t>2F120374D523630000000093</t>
        </is>
      </c>
    </row>
    <row r="185">
      <c r="A185" t="n">
        <v>20</v>
      </c>
      <c r="B185" t="inlineStr">
        <is>
          <t>SPE7M0-18-V-2299</t>
        </is>
      </c>
      <c r="C185" s="20" t="inlineStr">
        <is>
          <t>Glenair</t>
        </is>
      </c>
      <c r="E185" t="n">
        <v>1</v>
      </c>
      <c r="G185" t="n">
        <v>249.64</v>
      </c>
      <c r="H185" t="inlineStr">
        <is>
          <t>WSJA020Z</t>
        </is>
      </c>
      <c r="I185" t="inlineStr">
        <is>
          <t>WSJAI020</t>
        </is>
      </c>
      <c r="J185" s="4" t="n">
        <v>43115</v>
      </c>
      <c r="K185" t="inlineStr">
        <is>
          <t>2F120374D523630000000094</t>
        </is>
      </c>
    </row>
    <row r="186">
      <c r="A186" t="n">
        <v>21</v>
      </c>
      <c r="B186" t="inlineStr">
        <is>
          <t>SPE7M5-18-P-3376</t>
        </is>
      </c>
      <c r="C186" s="20" t="inlineStr">
        <is>
          <t>Glenair</t>
        </is>
      </c>
      <c r="E186" t="n">
        <v>3</v>
      </c>
      <c r="G186" t="n">
        <v>593.16</v>
      </c>
      <c r="H186" t="inlineStr">
        <is>
          <t>WSJA021Z</t>
        </is>
      </c>
      <c r="I186" t="inlineStr">
        <is>
          <t>WSJAI021</t>
        </is>
      </c>
      <c r="J186" s="4" t="n">
        <v>43115</v>
      </c>
      <c r="K186" t="inlineStr">
        <is>
          <t>2F120374D523630000000095</t>
        </is>
      </c>
      <c r="L186" s="51" t="n"/>
    </row>
    <row r="187">
      <c r="A187" t="n">
        <v>22</v>
      </c>
      <c r="B187" t="inlineStr">
        <is>
          <t>SPE7M1-17-P-7230</t>
        </is>
      </c>
      <c r="C187" s="20" t="inlineStr">
        <is>
          <t>GEMS</t>
        </is>
      </c>
      <c r="E187" t="n">
        <v>1</v>
      </c>
      <c r="G187" s="232" t="n">
        <v>942</v>
      </c>
      <c r="H187" t="inlineStr">
        <is>
          <t>WSJA022Z</t>
        </is>
      </c>
      <c r="I187" t="inlineStr">
        <is>
          <t>WSJAI022</t>
        </is>
      </c>
      <c r="J187" s="4" t="n">
        <v>43115</v>
      </c>
      <c r="K187" t="inlineStr">
        <is>
          <t>No RFID</t>
        </is>
      </c>
    </row>
    <row r="188">
      <c r="A188" t="n">
        <v>23</v>
      </c>
      <c r="B188" t="inlineStr">
        <is>
          <t>SPE7M5-18-V-1440</t>
        </is>
      </c>
      <c r="C188" s="20" t="inlineStr">
        <is>
          <t>Glenair</t>
        </is>
      </c>
      <c r="E188" t="n">
        <v>63</v>
      </c>
      <c r="G188" s="230" t="n">
        <v>2368.17</v>
      </c>
      <c r="H188" t="inlineStr">
        <is>
          <t>WSJA023Z</t>
        </is>
      </c>
      <c r="I188" t="inlineStr">
        <is>
          <t>WSJAI023</t>
        </is>
      </c>
      <c r="J188" s="4" t="n">
        <v>43115</v>
      </c>
      <c r="K188" t="inlineStr">
        <is>
          <t>2F120374D523630000000096</t>
        </is>
      </c>
    </row>
    <row r="189">
      <c r="A189" t="n">
        <v>24</v>
      </c>
      <c r="B189" t="inlineStr">
        <is>
          <t>SPE7M5-18-P-1196</t>
        </is>
      </c>
      <c r="C189" s="20" t="inlineStr">
        <is>
          <t>Atrex Energy/Accu</t>
        </is>
      </c>
      <c r="E189" t="n">
        <v>24</v>
      </c>
      <c r="F189" t="inlineStr">
        <is>
          <t>p</t>
        </is>
      </c>
      <c r="G189" s="232" t="n">
        <v>4059.36</v>
      </c>
      <c r="H189" t="inlineStr">
        <is>
          <t>WSJA024Z</t>
        </is>
      </c>
      <c r="I189" t="inlineStr">
        <is>
          <t>WSJAI024</t>
        </is>
      </c>
      <c r="J189" s="4" t="n">
        <v>43117</v>
      </c>
      <c r="K189" t="inlineStr">
        <is>
          <t>2F120374D523630000000097</t>
        </is>
      </c>
    </row>
    <row r="190">
      <c r="A190" t="n">
        <v>25</v>
      </c>
      <c r="B190" t="inlineStr">
        <is>
          <t>SPE7M5-18-V-3499</t>
        </is>
      </c>
      <c r="C190" s="20" t="inlineStr">
        <is>
          <t>Smith-microlam</t>
        </is>
      </c>
      <c r="E190" t="n">
        <v>10</v>
      </c>
      <c r="G190" s="230" t="n">
        <v>198.7</v>
      </c>
      <c r="H190" t="inlineStr">
        <is>
          <t>WSJA025Z</t>
        </is>
      </c>
      <c r="I190" t="inlineStr">
        <is>
          <t>WSJAI025</t>
        </is>
      </c>
      <c r="J190" s="4" t="n">
        <v>43117</v>
      </c>
      <c r="K190" t="inlineStr">
        <is>
          <t>2F120374D523630000000098</t>
        </is>
      </c>
    </row>
    <row r="191">
      <c r="A191" t="n">
        <v>26</v>
      </c>
      <c r="B191" t="inlineStr">
        <is>
          <t>SPE7M5-18-V-3269</t>
        </is>
      </c>
      <c r="C191" s="20" t="inlineStr">
        <is>
          <t>L-Com</t>
        </is>
      </c>
      <c r="E191" t="n">
        <v>1</v>
      </c>
      <c r="F191" t="inlineStr">
        <is>
          <t>P</t>
        </is>
      </c>
      <c r="G191" t="n">
        <v>33.84</v>
      </c>
      <c r="H191" t="inlineStr">
        <is>
          <t>WSJA026Z</t>
        </is>
      </c>
      <c r="I191" t="inlineStr">
        <is>
          <t>WSJAI026</t>
        </is>
      </c>
      <c r="J191" s="4" t="n">
        <v>43117</v>
      </c>
      <c r="K191" t="inlineStr">
        <is>
          <t>2F120374D523630000000099</t>
        </is>
      </c>
    </row>
    <row r="192">
      <c r="A192" t="n">
        <v>27</v>
      </c>
      <c r="B192" t="inlineStr">
        <is>
          <t>SPE7MC-18-V-1456</t>
        </is>
      </c>
      <c r="C192" s="20" t="inlineStr">
        <is>
          <t>Glenair</t>
        </is>
      </c>
      <c r="E192" t="n">
        <v>71</v>
      </c>
      <c r="H192" t="inlineStr">
        <is>
          <t>WSJA027Z</t>
        </is>
      </c>
      <c r="I192" t="inlineStr">
        <is>
          <t>WSJAI027</t>
        </is>
      </c>
      <c r="J192" s="4" t="n">
        <v>43117</v>
      </c>
      <c r="K192" t="inlineStr">
        <is>
          <t>2F120374D52363000000009A</t>
        </is>
      </c>
    </row>
    <row r="193">
      <c r="A193" t="n">
        <v>28</v>
      </c>
      <c r="B193" t="inlineStr">
        <is>
          <t>SPE7L3-18-V-2200</t>
        </is>
      </c>
      <c r="C193" s="20" t="inlineStr">
        <is>
          <t>HIAB</t>
        </is>
      </c>
      <c r="E193" t="n">
        <v>1</v>
      </c>
      <c r="F193" t="inlineStr">
        <is>
          <t>P</t>
        </is>
      </c>
      <c r="G193" s="230" t="n">
        <v>6772</v>
      </c>
      <c r="H193" t="inlineStr">
        <is>
          <t>WSJA028Z</t>
        </is>
      </c>
      <c r="I193" t="inlineStr">
        <is>
          <t>WSJAI028</t>
        </is>
      </c>
      <c r="J193" s="4" t="n">
        <v>43118</v>
      </c>
      <c r="K193" t="inlineStr">
        <is>
          <t>2F120374D52363000000009B</t>
        </is>
      </c>
    </row>
    <row r="194">
      <c r="A194" t="n">
        <v>29</v>
      </c>
      <c r="B194" t="inlineStr">
        <is>
          <t>SPE7L3-18-V-2200</t>
        </is>
      </c>
      <c r="C194" s="20" t="inlineStr">
        <is>
          <t>HIAB</t>
        </is>
      </c>
      <c r="E194" t="n">
        <v>1</v>
      </c>
      <c r="F194" t="inlineStr">
        <is>
          <t>p</t>
        </is>
      </c>
      <c r="G194" t="inlineStr">
        <is>
          <t>2nd unit</t>
        </is>
      </c>
      <c r="H194" t="inlineStr">
        <is>
          <t>WSJA029Z</t>
        </is>
      </c>
      <c r="I194" t="inlineStr">
        <is>
          <t>WSJAI029</t>
        </is>
      </c>
      <c r="J194" s="4" t="n">
        <v>43118</v>
      </c>
      <c r="K194" t="inlineStr">
        <is>
          <t>2F120374D52363000000009C</t>
        </is>
      </c>
    </row>
    <row r="195">
      <c r="A195" t="n">
        <v>30</v>
      </c>
      <c r="B195" t="inlineStr">
        <is>
          <t>SPE7M5-18-V-2342</t>
        </is>
      </c>
      <c r="C195" s="20" t="inlineStr">
        <is>
          <t>Glenair</t>
        </is>
      </c>
      <c r="E195" t="n">
        <v>2</v>
      </c>
      <c r="G195" s="230" t="n">
        <v>946.8</v>
      </c>
      <c r="H195" t="inlineStr">
        <is>
          <t>WSJA030Z</t>
        </is>
      </c>
      <c r="I195" t="inlineStr">
        <is>
          <t>WSJAI030</t>
        </is>
      </c>
      <c r="J195" s="4" t="n">
        <v>43119</v>
      </c>
      <c r="K195" t="inlineStr">
        <is>
          <t>2F120374D52363000000009D</t>
        </is>
      </c>
    </row>
    <row r="196">
      <c r="A196" t="n">
        <v>31</v>
      </c>
      <c r="B196" t="inlineStr">
        <is>
          <t>SPE7L3-18-P-2641</t>
        </is>
      </c>
      <c r="C196" s="20" t="inlineStr">
        <is>
          <t>TIMKEN</t>
        </is>
      </c>
      <c r="E196" t="n">
        <v>5</v>
      </c>
      <c r="G196" s="230" t="n">
        <v>12183</v>
      </c>
      <c r="H196" t="inlineStr">
        <is>
          <t>WSJA031Z</t>
        </is>
      </c>
      <c r="I196" t="inlineStr">
        <is>
          <t>WSJAI031</t>
        </is>
      </c>
      <c r="J196" s="4" t="n">
        <v>43120</v>
      </c>
      <c r="K196" t="inlineStr">
        <is>
          <t>2F120374D52363000000009E</t>
        </is>
      </c>
    </row>
    <row r="197">
      <c r="A197" t="n">
        <v>32</v>
      </c>
      <c r="B197" t="inlineStr">
        <is>
          <t>SPE5E7-18-V-1361</t>
        </is>
      </c>
      <c r="C197" s="20" t="inlineStr">
        <is>
          <t>HIAB</t>
        </is>
      </c>
      <c r="E197" t="n">
        <v>7</v>
      </c>
      <c r="G197" s="232" t="n">
        <v>2265.48</v>
      </c>
      <c r="H197" t="inlineStr">
        <is>
          <t>WSJA032Z</t>
        </is>
      </c>
      <c r="I197" t="inlineStr">
        <is>
          <t>WSJAI032</t>
        </is>
      </c>
      <c r="J197" s="4" t="n">
        <v>43120</v>
      </c>
      <c r="K197" t="inlineStr">
        <is>
          <t>2F120374D52363000000009F</t>
        </is>
      </c>
    </row>
    <row r="198">
      <c r="A198" t="n">
        <v>33</v>
      </c>
      <c r="B198" t="inlineStr">
        <is>
          <t>SPE7MC-18-P-1624</t>
        </is>
      </c>
      <c r="C198" s="20" t="inlineStr">
        <is>
          <t>PBM</t>
        </is>
      </c>
      <c r="E198" t="n">
        <v>7</v>
      </c>
      <c r="G198" s="230" t="n">
        <v>4327.4</v>
      </c>
      <c r="H198" t="inlineStr">
        <is>
          <t>WSJA033Z</t>
        </is>
      </c>
      <c r="I198" t="inlineStr">
        <is>
          <t>WSJAI033</t>
        </is>
      </c>
      <c r="J198" s="4" t="n">
        <v>43120</v>
      </c>
      <c r="K198" t="inlineStr">
        <is>
          <t>2F120374D5236300000000A0</t>
        </is>
      </c>
    </row>
    <row r="199">
      <c r="A199" t="n">
        <v>34</v>
      </c>
      <c r="B199" t="inlineStr">
        <is>
          <t>SPE7M0-18-V-2329</t>
        </is>
      </c>
      <c r="C199" s="20" t="inlineStr">
        <is>
          <t>Glenair</t>
        </is>
      </c>
      <c r="E199" t="n">
        <v>2</v>
      </c>
      <c r="G199" s="230" t="n">
        <v>408.16</v>
      </c>
      <c r="H199" t="inlineStr">
        <is>
          <t>WSJA034Z</t>
        </is>
      </c>
      <c r="I199" t="inlineStr">
        <is>
          <t>WSJAI034</t>
        </is>
      </c>
      <c r="J199" s="4" t="n">
        <v>43120</v>
      </c>
      <c r="K199" t="inlineStr">
        <is>
          <t>2F120374D5236300000000A1</t>
        </is>
      </c>
    </row>
    <row r="200">
      <c r="A200" t="n">
        <v>35</v>
      </c>
      <c r="B200" t="inlineStr">
        <is>
          <t>SPE7M5-18-V-2728</t>
        </is>
      </c>
      <c r="C200" s="20" t="inlineStr">
        <is>
          <t>Glenair</t>
        </is>
      </c>
      <c r="E200" t="n">
        <v>1</v>
      </c>
      <c r="G200" s="230" t="n">
        <v>842.4400000000001</v>
      </c>
      <c r="H200" t="inlineStr">
        <is>
          <t>WSJA035Z</t>
        </is>
      </c>
      <c r="I200" t="inlineStr">
        <is>
          <t>WSJAI035</t>
        </is>
      </c>
      <c r="J200" s="4" t="n">
        <v>43120</v>
      </c>
      <c r="K200" t="inlineStr">
        <is>
          <t>2F120374D5236300000000A2</t>
        </is>
      </c>
    </row>
    <row r="201">
      <c r="A201" t="n">
        <v>36</v>
      </c>
      <c r="B201" t="inlineStr">
        <is>
          <t>SPE7M2-17-P-2195</t>
        </is>
      </c>
      <c r="C201" s="20" t="inlineStr">
        <is>
          <t>Munter</t>
        </is>
      </c>
      <c r="E201" t="n">
        <v>21</v>
      </c>
      <c r="G201" t="n">
        <v>2351.58</v>
      </c>
      <c r="H201" t="inlineStr">
        <is>
          <t>WSJA036Z</t>
        </is>
      </c>
      <c r="I201" t="inlineStr">
        <is>
          <t>WSJAI036</t>
        </is>
      </c>
      <c r="J201" s="4" t="n">
        <v>43124</v>
      </c>
      <c r="K201" t="inlineStr">
        <is>
          <t>2F120374D5236300000000A3</t>
        </is>
      </c>
    </row>
    <row r="202">
      <c r="A202" t="n">
        <v>37</v>
      </c>
      <c r="B202" t="inlineStr">
        <is>
          <t>SPE7L1-18-V-2041</t>
        </is>
      </c>
      <c r="C202" s="20" t="inlineStr">
        <is>
          <t>PG</t>
        </is>
      </c>
      <c r="E202" t="n">
        <v>19</v>
      </c>
      <c r="F202" t="inlineStr">
        <is>
          <t>p</t>
        </is>
      </c>
      <c r="G202" s="230" t="n">
        <v>6376.02</v>
      </c>
      <c r="H202" t="inlineStr">
        <is>
          <t>WSJA037Z</t>
        </is>
      </c>
      <c r="I202" t="inlineStr">
        <is>
          <t>WSJAI037</t>
        </is>
      </c>
      <c r="J202" s="4" t="n">
        <v>43124</v>
      </c>
      <c r="K202" t="inlineStr">
        <is>
          <t>2F120374D5236300000000A4</t>
        </is>
      </c>
    </row>
    <row r="203">
      <c r="A203" t="n">
        <v>38</v>
      </c>
      <c r="B203" t="inlineStr">
        <is>
          <t>SPE5E4-18-V-1851</t>
        </is>
      </c>
      <c r="C203" s="20" t="inlineStr">
        <is>
          <t>TIMKEN</t>
        </is>
      </c>
      <c r="E203" t="n">
        <v>17</v>
      </c>
      <c r="F203" t="inlineStr">
        <is>
          <t>p</t>
        </is>
      </c>
      <c r="G203" s="230" t="n">
        <v>4424.76</v>
      </c>
      <c r="H203" t="inlineStr">
        <is>
          <t>WSJA038Z</t>
        </is>
      </c>
      <c r="I203" t="inlineStr">
        <is>
          <t>WSJAI038</t>
        </is>
      </c>
      <c r="J203" s="4" t="n">
        <v>43124</v>
      </c>
      <c r="K203" t="inlineStr">
        <is>
          <t>2F120374D5236300000000A5</t>
        </is>
      </c>
    </row>
    <row r="204">
      <c r="A204" t="n">
        <v>39</v>
      </c>
      <c r="B204" t="inlineStr">
        <is>
          <t>SPE7MC-17-V-C703</t>
        </is>
      </c>
      <c r="C204" s="20" t="inlineStr">
        <is>
          <t>GEMS</t>
        </is>
      </c>
      <c r="E204" t="n">
        <v>3</v>
      </c>
      <c r="G204" s="230" t="n">
        <v>909</v>
      </c>
      <c r="H204" t="inlineStr">
        <is>
          <t>WSJA039Z</t>
        </is>
      </c>
      <c r="I204" t="inlineStr">
        <is>
          <t>WSJAI039</t>
        </is>
      </c>
      <c r="J204" s="4" t="n">
        <v>43125</v>
      </c>
      <c r="K204" t="inlineStr">
        <is>
          <t>2F120374D5236300000000A6</t>
        </is>
      </c>
      <c r="L204" s="51" t="inlineStr">
        <is>
          <t>not shipped</t>
        </is>
      </c>
    </row>
    <row r="205">
      <c r="A205" t="n">
        <v>40</v>
      </c>
      <c r="B205" t="inlineStr">
        <is>
          <t>SPE7MC-18-V-1468</t>
        </is>
      </c>
      <c r="C205" s="66" t="inlineStr">
        <is>
          <t>Glenair</t>
        </is>
      </c>
      <c r="E205" t="n">
        <v>106</v>
      </c>
      <c r="G205" s="230" t="n">
        <v>5376.32</v>
      </c>
      <c r="H205" t="inlineStr">
        <is>
          <t>WSJA040Z</t>
        </is>
      </c>
      <c r="I205" t="inlineStr">
        <is>
          <t>WSJAI040</t>
        </is>
      </c>
      <c r="J205" s="4" t="n">
        <v>43125</v>
      </c>
      <c r="K205" t="inlineStr">
        <is>
          <t>2F120374D5236300000000A7</t>
        </is>
      </c>
      <c r="L205" s="51" t="inlineStr">
        <is>
          <t>QTY issue</t>
        </is>
      </c>
    </row>
    <row r="206">
      <c r="A206" t="n">
        <v>41</v>
      </c>
      <c r="B206" t="inlineStr">
        <is>
          <t>SPE7M0-18-V-2953</t>
        </is>
      </c>
      <c r="C206" s="20" t="inlineStr">
        <is>
          <t>Aerfit</t>
        </is>
      </c>
      <c r="E206" t="n">
        <v>8</v>
      </c>
      <c r="F206" t="inlineStr">
        <is>
          <t>p</t>
        </is>
      </c>
      <c r="G206" s="230" t="n">
        <v>210.72</v>
      </c>
      <c r="H206" t="inlineStr">
        <is>
          <t>WSJA041Z</t>
        </is>
      </c>
      <c r="I206" t="inlineStr">
        <is>
          <t>WSJAI041</t>
        </is>
      </c>
      <c r="J206" s="4" t="n">
        <v>43125</v>
      </c>
      <c r="K206" t="inlineStr">
        <is>
          <t>No RFID</t>
        </is>
      </c>
    </row>
    <row r="207">
      <c r="A207" t="n">
        <v>42</v>
      </c>
      <c r="B207" t="inlineStr">
        <is>
          <t>SPE5E0-18-V-0016</t>
        </is>
      </c>
      <c r="C207" s="20" t="inlineStr">
        <is>
          <t>Avibank</t>
        </is>
      </c>
      <c r="E207" t="n">
        <v>18</v>
      </c>
      <c r="G207" s="230" t="n">
        <v>1283.22</v>
      </c>
      <c r="H207" t="inlineStr">
        <is>
          <t>WSJA042Z</t>
        </is>
      </c>
      <c r="I207" t="inlineStr">
        <is>
          <t>WSJAI042</t>
        </is>
      </c>
      <c r="J207" s="4" t="n">
        <v>43129</v>
      </c>
      <c r="K207" t="inlineStr">
        <is>
          <t>2F120374D5236300000000A8</t>
        </is>
      </c>
    </row>
    <row r="208">
      <c r="A208" t="n">
        <v>43</v>
      </c>
      <c r="B208" t="inlineStr">
        <is>
          <t>SPE7M818P0269</t>
        </is>
      </c>
      <c r="C208" s="20" t="inlineStr">
        <is>
          <t>Sted</t>
        </is>
      </c>
      <c r="E208" t="n">
        <v>1</v>
      </c>
      <c r="G208" s="230" t="n">
        <v>122.2</v>
      </c>
      <c r="H208" t="inlineStr">
        <is>
          <t>WSJA043Z</t>
        </is>
      </c>
      <c r="I208" t="inlineStr">
        <is>
          <t>WSJAI043</t>
        </is>
      </c>
      <c r="J208" s="4" t="n">
        <v>43129</v>
      </c>
      <c r="K208" t="inlineStr">
        <is>
          <t>2F120374D5236300000000A9</t>
        </is>
      </c>
      <c r="L208" s="51" t="n"/>
    </row>
    <row r="209"/>
    <row r="210">
      <c r="A210" t="n">
        <v>1</v>
      </c>
      <c r="B210" t="inlineStr">
        <is>
          <t>SPE7M5-18-V-0867</t>
        </is>
      </c>
      <c r="C210" s="20" t="inlineStr">
        <is>
          <t>Glenair</t>
        </is>
      </c>
      <c r="E210" t="n">
        <v>2</v>
      </c>
      <c r="F210" t="inlineStr">
        <is>
          <t>p</t>
        </is>
      </c>
      <c r="G210" s="230" t="n">
        <v>4239.2</v>
      </c>
      <c r="H210" t="inlineStr">
        <is>
          <t>WSFE001Z</t>
        </is>
      </c>
      <c r="I210" t="inlineStr">
        <is>
          <t>WSFEI001</t>
        </is>
      </c>
      <c r="J210" s="4" t="n">
        <v>43132</v>
      </c>
      <c r="K210" t="inlineStr">
        <is>
          <t>2F120374D5236300000000AA</t>
        </is>
      </c>
    </row>
    <row r="211">
      <c r="A211" t="n">
        <v>2</v>
      </c>
      <c r="B211" t="inlineStr">
        <is>
          <t>SPE4A1-17-P-1323</t>
        </is>
      </c>
      <c r="C211" s="20" t="inlineStr">
        <is>
          <t>ASTRO</t>
        </is>
      </c>
      <c r="E211" t="n">
        <v>24</v>
      </c>
      <c r="F211" t="inlineStr">
        <is>
          <t>p</t>
        </is>
      </c>
      <c r="G211" s="230" t="n">
        <v>2982.48</v>
      </c>
      <c r="H211" t="inlineStr">
        <is>
          <t>WSFE002</t>
        </is>
      </c>
      <c r="I211" t="inlineStr">
        <is>
          <t>WSFEI002</t>
        </is>
      </c>
      <c r="J211" s="4" t="n">
        <v>43133</v>
      </c>
      <c r="K211" t="inlineStr">
        <is>
          <t>2F120374D5236300000000AB</t>
        </is>
      </c>
    </row>
    <row r="212">
      <c r="A212" t="n">
        <v>3</v>
      </c>
      <c r="B212" t="inlineStr">
        <is>
          <t>SPE4A1-17-P-1323</t>
        </is>
      </c>
      <c r="C212" s="20" t="inlineStr">
        <is>
          <t>ASTRO</t>
        </is>
      </c>
      <c r="E212" t="n">
        <v>24</v>
      </c>
      <c r="F212" t="inlineStr">
        <is>
          <t>p</t>
        </is>
      </c>
      <c r="G212" s="230" t="n">
        <v>2982.48</v>
      </c>
      <c r="H212" t="inlineStr">
        <is>
          <t>WSFE003</t>
        </is>
      </c>
      <c r="I212" t="inlineStr">
        <is>
          <t>WSFEI003</t>
        </is>
      </c>
      <c r="J212" s="4" t="n">
        <v>43133</v>
      </c>
      <c r="K212" t="inlineStr">
        <is>
          <t>2F120374D5236300000000AC</t>
        </is>
      </c>
    </row>
    <row r="213">
      <c r="A213" t="n">
        <v>4</v>
      </c>
      <c r="B213" t="inlineStr">
        <is>
          <t>SPE4A1-17-P-1323</t>
        </is>
      </c>
      <c r="C213" s="20" t="inlineStr">
        <is>
          <t>ASTRO</t>
        </is>
      </c>
      <c r="E213" t="n">
        <v>17</v>
      </c>
      <c r="F213" t="inlineStr">
        <is>
          <t>p</t>
        </is>
      </c>
      <c r="G213" s="230" t="n">
        <v>2112.59</v>
      </c>
      <c r="H213" t="inlineStr">
        <is>
          <t>WSFE004Z</t>
        </is>
      </c>
      <c r="I213" t="inlineStr">
        <is>
          <t>WSFEI004</t>
        </is>
      </c>
      <c r="J213" s="4" t="n">
        <v>43133</v>
      </c>
      <c r="K213" t="inlineStr">
        <is>
          <t>2F120374D5236300000000AD</t>
        </is>
      </c>
    </row>
    <row r="214">
      <c r="A214" t="n">
        <v>5</v>
      </c>
      <c r="B214" t="inlineStr">
        <is>
          <t>SPE7M5-18-V-3828</t>
        </is>
      </c>
      <c r="C214" s="20" t="inlineStr">
        <is>
          <t>Munter</t>
        </is>
      </c>
      <c r="D214" s="51" t="n"/>
      <c r="E214" t="n">
        <v>66</v>
      </c>
      <c r="F214" t="inlineStr">
        <is>
          <t>p</t>
        </is>
      </c>
      <c r="G214" s="230" t="n">
        <v>981.42</v>
      </c>
      <c r="H214" t="inlineStr">
        <is>
          <t>WSFE005Z</t>
        </is>
      </c>
      <c r="I214" t="inlineStr">
        <is>
          <t>WSFEI005</t>
        </is>
      </c>
      <c r="J214" s="4" t="n">
        <v>43136</v>
      </c>
      <c r="K214" t="inlineStr">
        <is>
          <t>2F120374D5236300000000AE</t>
        </is>
      </c>
    </row>
    <row r="215">
      <c r="A215" t="n">
        <v>6</v>
      </c>
      <c r="B215" t="inlineStr">
        <is>
          <t>SPE7MC-18-V-2156</t>
        </is>
      </c>
      <c r="C215" s="20" t="inlineStr">
        <is>
          <t>Munter</t>
        </is>
      </c>
      <c r="D215" s="51" t="n"/>
      <c r="E215" t="n">
        <v>81</v>
      </c>
      <c r="F215" t="inlineStr">
        <is>
          <t>p</t>
        </is>
      </c>
      <c r="G215" s="230" t="n">
        <v>3237.57</v>
      </c>
      <c r="H215" t="inlineStr">
        <is>
          <t>WSFE006Z</t>
        </is>
      </c>
      <c r="I215" t="inlineStr">
        <is>
          <t>WSFEI006</t>
        </is>
      </c>
      <c r="J215" s="4" t="n">
        <v>43136</v>
      </c>
      <c r="K215" t="inlineStr">
        <is>
          <t>2F120374D5236300000000AF</t>
        </is>
      </c>
    </row>
    <row r="216">
      <c r="A216" t="n">
        <v>7</v>
      </c>
      <c r="B216" t="inlineStr">
        <is>
          <t>SPE4A6-18-V-6610</t>
        </is>
      </c>
      <c r="C216" s="20" t="inlineStr">
        <is>
          <t>TIMKEN</t>
        </is>
      </c>
      <c r="E216" t="n">
        <v>8</v>
      </c>
      <c r="F216" t="inlineStr">
        <is>
          <t>p</t>
        </is>
      </c>
      <c r="G216" s="232" t="n">
        <v>543.04</v>
      </c>
      <c r="H216" t="inlineStr">
        <is>
          <t>WSFE007Z</t>
        </is>
      </c>
      <c r="I216" t="inlineStr">
        <is>
          <t>WSFEI007</t>
        </is>
      </c>
      <c r="J216" s="4" t="n">
        <v>43136</v>
      </c>
      <c r="K216" t="inlineStr">
        <is>
          <t>2F120374D5236300000000B0</t>
        </is>
      </c>
    </row>
    <row r="217">
      <c r="A217" t="n">
        <v>8</v>
      </c>
      <c r="B217" t="inlineStr">
        <is>
          <t>SPE4A6-18-V-7128</t>
        </is>
      </c>
      <c r="C217" s="20" t="inlineStr">
        <is>
          <t>National</t>
        </is>
      </c>
      <c r="E217" t="n">
        <v>9</v>
      </c>
      <c r="F217" t="inlineStr">
        <is>
          <t>p</t>
        </is>
      </c>
      <c r="G217" s="230" t="n">
        <v>859.41</v>
      </c>
      <c r="H217" t="inlineStr">
        <is>
          <t>WSFE008Z</t>
        </is>
      </c>
      <c r="I217" t="inlineStr">
        <is>
          <t>WSFEI008</t>
        </is>
      </c>
      <c r="J217" s="4" t="n">
        <v>43136</v>
      </c>
      <c r="K217" t="inlineStr">
        <is>
          <t>2F120374D5236300000000B1</t>
        </is>
      </c>
    </row>
    <row r="218">
      <c r="A218" t="n">
        <v>9</v>
      </c>
      <c r="B218" t="inlineStr">
        <is>
          <t>SPE7M8-18-V-0315</t>
        </is>
      </c>
      <c r="C218" s="20" t="inlineStr">
        <is>
          <t>PBM</t>
        </is>
      </c>
      <c r="E218" t="n">
        <v>1</v>
      </c>
      <c r="F218" t="inlineStr">
        <is>
          <t>p</t>
        </is>
      </c>
      <c r="G218" s="230" t="n">
        <v>5983.26</v>
      </c>
      <c r="H218" t="inlineStr">
        <is>
          <t>WSFE009</t>
        </is>
      </c>
      <c r="I218" t="inlineStr">
        <is>
          <t>WSFEI009</t>
        </is>
      </c>
      <c r="J218" s="4" t="n">
        <v>43138</v>
      </c>
      <c r="K218" t="inlineStr">
        <is>
          <t>2F120374D5236300000000B2</t>
        </is>
      </c>
    </row>
    <row r="219">
      <c r="A219" t="n">
        <v>10</v>
      </c>
      <c r="B219" t="inlineStr">
        <is>
          <t>SPE7M8-18-V-0315</t>
        </is>
      </c>
      <c r="C219" s="20" t="inlineStr">
        <is>
          <t>PBM</t>
        </is>
      </c>
      <c r="E219" t="n">
        <v>1</v>
      </c>
      <c r="H219" t="inlineStr">
        <is>
          <t>WSFE010</t>
        </is>
      </c>
      <c r="I219" t="inlineStr">
        <is>
          <t>WSFEI010</t>
        </is>
      </c>
      <c r="J219" s="4" t="n">
        <v>43138</v>
      </c>
      <c r="K219" t="inlineStr">
        <is>
          <t>2F120374D5236300000000B3</t>
        </is>
      </c>
    </row>
    <row r="220">
      <c r="A220" t="n">
        <v>11</v>
      </c>
      <c r="B220" t="inlineStr">
        <is>
          <t>SPE7M8-18-V-0315</t>
        </is>
      </c>
      <c r="C220" s="20" t="inlineStr">
        <is>
          <t>PBM</t>
        </is>
      </c>
      <c r="E220" t="n">
        <v>1</v>
      </c>
      <c r="H220" t="inlineStr">
        <is>
          <t>WSFE011Z</t>
        </is>
      </c>
      <c r="I220" t="inlineStr">
        <is>
          <t>WSFEI011</t>
        </is>
      </c>
      <c r="J220" s="4" t="n">
        <v>43138</v>
      </c>
      <c r="K220" t="inlineStr">
        <is>
          <t>2F120374D5236300000000B4</t>
        </is>
      </c>
    </row>
    <row r="221">
      <c r="A221" t="n">
        <v>12</v>
      </c>
      <c r="B221" t="inlineStr">
        <is>
          <t>SPE7M1-18-P-0967</t>
        </is>
      </c>
      <c r="C221" s="20" t="inlineStr">
        <is>
          <t>GEMS</t>
        </is>
      </c>
      <c r="E221" t="n">
        <v>2</v>
      </c>
      <c r="G221" s="230" t="n">
        <v>4678.8</v>
      </c>
      <c r="H221" t="inlineStr">
        <is>
          <t>WSFE012Z</t>
        </is>
      </c>
      <c r="I221" t="inlineStr">
        <is>
          <t>WSFEI012</t>
        </is>
      </c>
      <c r="J221" s="4" t="n">
        <v>43139</v>
      </c>
      <c r="K221" t="inlineStr">
        <is>
          <t>NO RFID</t>
        </is>
      </c>
      <c r="L221" s="51" t="n"/>
    </row>
    <row r="222">
      <c r="A222" t="n">
        <v>13</v>
      </c>
      <c r="B222" t="inlineStr">
        <is>
          <t>SPE7M0-18-V-2320</t>
        </is>
      </c>
      <c r="C222" s="20" t="inlineStr">
        <is>
          <t>Glenair</t>
        </is>
      </c>
      <c r="E222" t="n">
        <v>4</v>
      </c>
      <c r="G222" t="n">
        <v>390.64</v>
      </c>
      <c r="H222" t="inlineStr">
        <is>
          <t>WSFE013Z</t>
        </is>
      </c>
      <c r="I222" t="inlineStr">
        <is>
          <t>WSFEI013</t>
        </is>
      </c>
      <c r="J222" s="4" t="n">
        <v>43140</v>
      </c>
      <c r="K222" t="inlineStr">
        <is>
          <t>2F120374D5236300000000B5</t>
        </is>
      </c>
    </row>
    <row r="223">
      <c r="A223" t="n">
        <v>14</v>
      </c>
      <c r="G223" s="232" t="n"/>
      <c r="H223" s="51" t="n"/>
      <c r="J223" s="4" t="n"/>
    </row>
    <row r="224">
      <c r="A224" t="n">
        <v>15</v>
      </c>
      <c r="B224" t="inlineStr">
        <is>
          <t>SPE7M5-18-V-2343</t>
        </is>
      </c>
      <c r="C224" s="20" t="inlineStr">
        <is>
          <t>Glenair</t>
        </is>
      </c>
      <c r="E224" t="n">
        <v>64</v>
      </c>
      <c r="G224" s="230" t="n">
        <v>3388.16</v>
      </c>
      <c r="H224" t="inlineStr">
        <is>
          <t>WSFE015Z</t>
        </is>
      </c>
      <c r="I224" t="inlineStr">
        <is>
          <t>WSFEI015</t>
        </is>
      </c>
      <c r="J224" s="4" t="n">
        <v>43140</v>
      </c>
      <c r="K224" t="inlineStr">
        <is>
          <t>2F120374D5236300000000B7</t>
        </is>
      </c>
    </row>
    <row r="225">
      <c r="A225" t="n">
        <v>16</v>
      </c>
      <c r="B225" t="inlineStr">
        <is>
          <t>SPE4A6-18-P-1820</t>
        </is>
      </c>
      <c r="C225" s="20" t="inlineStr">
        <is>
          <t>GEMS</t>
        </is>
      </c>
      <c r="E225" t="n">
        <v>3</v>
      </c>
      <c r="F225" t="inlineStr">
        <is>
          <t>p</t>
        </is>
      </c>
      <c r="G225" s="230" t="n">
        <v>19158</v>
      </c>
      <c r="H225" t="inlineStr">
        <is>
          <t>WSFE016Z</t>
        </is>
      </c>
      <c r="I225" t="inlineStr">
        <is>
          <t>WSFEI016</t>
        </is>
      </c>
      <c r="J225" s="4" t="n">
        <v>43140</v>
      </c>
      <c r="K225" t="inlineStr">
        <is>
          <t>NO RFID</t>
        </is>
      </c>
    </row>
    <row r="226">
      <c r="A226" t="n">
        <v>17</v>
      </c>
      <c r="B226" t="inlineStr">
        <is>
          <t>SPE7M1-18-V-1543</t>
        </is>
      </c>
      <c r="C226" s="20" t="inlineStr">
        <is>
          <t>ERA</t>
        </is>
      </c>
      <c r="E226" t="n">
        <v>5</v>
      </c>
      <c r="F226" t="inlineStr">
        <is>
          <t>p</t>
        </is>
      </c>
      <c r="G226" s="230" t="n">
        <v>11058.5</v>
      </c>
      <c r="H226" t="inlineStr">
        <is>
          <t>WSFE017Z</t>
        </is>
      </c>
      <c r="I226" t="inlineStr">
        <is>
          <t>WSFEI017</t>
        </is>
      </c>
      <c r="J226" s="4" t="n">
        <v>43143</v>
      </c>
      <c r="K226" t="inlineStr">
        <is>
          <t>2F120374D5236300000000B8</t>
        </is>
      </c>
    </row>
    <row r="227">
      <c r="A227" t="n">
        <v>18</v>
      </c>
      <c r="B227" t="inlineStr">
        <is>
          <t>SPE5E2-18-V-3442</t>
        </is>
      </c>
      <c r="C227" s="20" t="inlineStr">
        <is>
          <t>Cameron</t>
        </is>
      </c>
      <c r="E227" t="n">
        <v>13</v>
      </c>
      <c r="F227" t="inlineStr">
        <is>
          <t>p</t>
        </is>
      </c>
      <c r="G227" s="230" t="n">
        <v>619.97</v>
      </c>
      <c r="H227" t="inlineStr">
        <is>
          <t>WSFE018Z</t>
        </is>
      </c>
      <c r="I227" t="inlineStr">
        <is>
          <t>WSFEI018</t>
        </is>
      </c>
      <c r="J227" s="4" t="n">
        <v>43144</v>
      </c>
      <c r="K227" t="inlineStr">
        <is>
          <t>2F120374D5236300000000B9</t>
        </is>
      </c>
    </row>
    <row r="228">
      <c r="A228" t="n">
        <v>19</v>
      </c>
      <c r="B228" t="inlineStr">
        <is>
          <t>SPE7M4-18-V-2693</t>
        </is>
      </c>
      <c r="C228" s="20" t="inlineStr">
        <is>
          <t>AAEROFIT</t>
        </is>
      </c>
      <c r="E228" t="n">
        <v>1</v>
      </c>
      <c r="F228" t="inlineStr">
        <is>
          <t>p</t>
        </is>
      </c>
      <c r="G228" s="230" t="n">
        <v>298.47</v>
      </c>
      <c r="H228" t="inlineStr">
        <is>
          <t>WSFE019Z</t>
        </is>
      </c>
      <c r="I228" t="inlineStr">
        <is>
          <t>WSFEI019</t>
        </is>
      </c>
      <c r="J228" s="4" t="n">
        <v>43144</v>
      </c>
      <c r="K228" t="inlineStr">
        <is>
          <t>NO RFID</t>
        </is>
      </c>
    </row>
    <row r="229">
      <c r="A229" t="n">
        <v>20</v>
      </c>
      <c r="B229" t="inlineStr">
        <is>
          <t>SPE7M4-18-V-2783</t>
        </is>
      </c>
      <c r="C229" s="20" t="inlineStr">
        <is>
          <t>AAEROFIT</t>
        </is>
      </c>
      <c r="E229" t="n">
        <v>1</v>
      </c>
      <c r="F229" t="inlineStr">
        <is>
          <t>p</t>
        </is>
      </c>
      <c r="G229" s="230" t="n">
        <v>298.47</v>
      </c>
      <c r="H229" t="inlineStr">
        <is>
          <t>WSFE020Z</t>
        </is>
      </c>
      <c r="I229" t="inlineStr">
        <is>
          <t>WSFEI020</t>
        </is>
      </c>
      <c r="J229" s="4" t="n">
        <v>43144</v>
      </c>
      <c r="K229" t="inlineStr">
        <is>
          <t>NO RFID</t>
        </is>
      </c>
    </row>
    <row r="230">
      <c r="A230" t="n">
        <v>21</v>
      </c>
      <c r="B230" t="inlineStr">
        <is>
          <t>SPE4A6-18-P-8567</t>
        </is>
      </c>
      <c r="C230" s="20" t="inlineStr">
        <is>
          <t>DIGI</t>
        </is>
      </c>
      <c r="E230" t="n">
        <v>1</v>
      </c>
      <c r="G230" t="n">
        <v>116.48</v>
      </c>
      <c r="H230" t="inlineStr">
        <is>
          <t>WSFE021Z</t>
        </is>
      </c>
      <c r="I230" t="inlineStr">
        <is>
          <t>WSFEI021</t>
        </is>
      </c>
      <c r="J230" s="4" t="n">
        <v>43145</v>
      </c>
      <c r="K230" t="inlineStr">
        <is>
          <t>2F120374D5236300000000BA</t>
        </is>
      </c>
    </row>
    <row r="231">
      <c r="A231" t="n">
        <v>22</v>
      </c>
      <c r="B231" t="inlineStr">
        <is>
          <t>SPE5E4-18-V-2956</t>
        </is>
      </c>
      <c r="C231" s="20" t="inlineStr">
        <is>
          <t>MDI</t>
        </is>
      </c>
      <c r="E231" t="n">
        <v>20</v>
      </c>
      <c r="F231" t="inlineStr">
        <is>
          <t>p</t>
        </is>
      </c>
      <c r="G231" t="n">
        <v>918.4</v>
      </c>
      <c r="H231" t="inlineStr">
        <is>
          <t>WSFE022Z</t>
        </is>
      </c>
      <c r="I231" t="inlineStr">
        <is>
          <t>WSFEI022</t>
        </is>
      </c>
      <c r="J231" s="4" t="n">
        <v>43145</v>
      </c>
      <c r="K231" t="inlineStr">
        <is>
          <t>2F120374D5236300000000BB</t>
        </is>
      </c>
    </row>
    <row r="232">
      <c r="A232" t="n">
        <v>23</v>
      </c>
      <c r="B232" t="inlineStr">
        <is>
          <t>SPE5E4-18-V-2956</t>
        </is>
      </c>
      <c r="C232" s="20" t="inlineStr">
        <is>
          <t>MDI</t>
        </is>
      </c>
      <c r="E232" t="n">
        <v>20</v>
      </c>
      <c r="F232" t="inlineStr">
        <is>
          <t>p</t>
        </is>
      </c>
      <c r="G232" t="n">
        <v>918.4</v>
      </c>
      <c r="H232" t="inlineStr">
        <is>
          <t>WSFE023</t>
        </is>
      </c>
      <c r="I232" t="inlineStr">
        <is>
          <t>WSFEI023</t>
        </is>
      </c>
      <c r="J232" s="4" t="n">
        <v>43145</v>
      </c>
      <c r="K232" t="inlineStr">
        <is>
          <t>2F120374D5236300000000BC</t>
        </is>
      </c>
    </row>
    <row r="233">
      <c r="A233" t="n">
        <v>24</v>
      </c>
      <c r="B233" t="inlineStr">
        <is>
          <t>SPE7M5-18-P-4972</t>
        </is>
      </c>
      <c r="C233" s="20" t="inlineStr">
        <is>
          <t>KON</t>
        </is>
      </c>
      <c r="E233" t="n">
        <v>8</v>
      </c>
      <c r="G233" t="n">
        <v>185.12</v>
      </c>
      <c r="H233" t="inlineStr">
        <is>
          <t>WSFE024Z</t>
        </is>
      </c>
      <c r="I233" t="inlineStr">
        <is>
          <t>WSFEI024</t>
        </is>
      </c>
      <c r="J233" s="4" t="n">
        <v>43145</v>
      </c>
      <c r="M233" s="49" t="n"/>
    </row>
    <row r="234">
      <c r="A234" t="n">
        <v>25</v>
      </c>
      <c r="B234" t="inlineStr">
        <is>
          <t>SPE4A4-18-V-1406</t>
        </is>
      </c>
      <c r="C234" s="20" t="inlineStr">
        <is>
          <t>cameron</t>
        </is>
      </c>
      <c r="E234" t="n">
        <v>1</v>
      </c>
      <c r="F234" t="inlineStr">
        <is>
          <t>p</t>
        </is>
      </c>
      <c r="G234" t="n">
        <v>3788.34</v>
      </c>
      <c r="H234" t="inlineStr">
        <is>
          <t>WSFE025Z</t>
        </is>
      </c>
      <c r="I234" t="inlineStr">
        <is>
          <t>WSFEI025</t>
        </is>
      </c>
      <c r="J234" s="4" t="n">
        <v>43145</v>
      </c>
      <c r="K234" t="inlineStr">
        <is>
          <t>2F120374D5236300000000BD</t>
        </is>
      </c>
    </row>
    <row r="235">
      <c r="A235" t="n">
        <v>26</v>
      </c>
      <c r="B235" t="inlineStr">
        <is>
          <t>SPE7M5-18-V-4698</t>
        </is>
      </c>
      <c r="C235" s="20" t="inlineStr">
        <is>
          <t>National</t>
        </is>
      </c>
      <c r="E235" t="n">
        <v>2</v>
      </c>
      <c r="F235" t="inlineStr">
        <is>
          <t>p</t>
        </is>
      </c>
      <c r="G235" s="230" t="n">
        <v>6054.9</v>
      </c>
      <c r="H235" t="inlineStr">
        <is>
          <t>WSFE026Z</t>
        </is>
      </c>
      <c r="I235" t="inlineStr">
        <is>
          <t>WSFEI026</t>
        </is>
      </c>
      <c r="J235" s="4" t="n">
        <v>43152</v>
      </c>
      <c r="K235" t="inlineStr">
        <is>
          <t>2F120374D5236300000000BE</t>
        </is>
      </c>
    </row>
    <row r="236">
      <c r="A236" t="n">
        <v>27</v>
      </c>
      <c r="B236" t="inlineStr">
        <is>
          <t>SPE7M0-18-V-1144</t>
        </is>
      </c>
      <c r="C236" s="20" t="inlineStr">
        <is>
          <t>Glenair</t>
        </is>
      </c>
      <c r="E236" t="n">
        <v>26</v>
      </c>
      <c r="G236" s="230" t="n">
        <v>1393.44</v>
      </c>
      <c r="H236" t="inlineStr">
        <is>
          <t>WSFE027Z</t>
        </is>
      </c>
      <c r="I236" t="inlineStr">
        <is>
          <t>WSFEI027</t>
        </is>
      </c>
      <c r="J236" s="4" t="n">
        <v>43152</v>
      </c>
      <c r="K236" t="inlineStr">
        <is>
          <t>2F120374D5236300000000BF</t>
        </is>
      </c>
    </row>
    <row r="237">
      <c r="A237" t="n">
        <v>28</v>
      </c>
      <c r="B237" t="inlineStr">
        <is>
          <t>SPE7M5-18-P-2723</t>
        </is>
      </c>
      <c r="C237" s="20" t="inlineStr">
        <is>
          <t>Glenair</t>
        </is>
      </c>
      <c r="E237" t="n">
        <v>80</v>
      </c>
      <c r="G237" s="230" t="n">
        <v>10350.4</v>
      </c>
      <c r="H237" t="inlineStr">
        <is>
          <t>WSFE028Z</t>
        </is>
      </c>
      <c r="I237" t="inlineStr">
        <is>
          <t>WSFEI028</t>
        </is>
      </c>
      <c r="J237" s="4" t="n">
        <v>43153</v>
      </c>
      <c r="K237" t="inlineStr">
        <is>
          <t>2F120374D5236300000000C0</t>
        </is>
      </c>
    </row>
    <row r="238">
      <c r="A238" t="n">
        <v>29</v>
      </c>
      <c r="B238" t="inlineStr">
        <is>
          <t>SPE7M5-18-P-4253</t>
        </is>
      </c>
      <c r="C238" s="20" t="inlineStr">
        <is>
          <t>Glenair</t>
        </is>
      </c>
      <c r="E238" t="n">
        <v>63</v>
      </c>
      <c r="G238" s="230" t="n">
        <v>7299.18</v>
      </c>
      <c r="H238" t="inlineStr">
        <is>
          <t>WSFE029Z</t>
        </is>
      </c>
      <c r="I238" t="inlineStr">
        <is>
          <t>WSFEI029</t>
        </is>
      </c>
      <c r="J238" s="4" t="n">
        <v>43153</v>
      </c>
      <c r="K238" t="inlineStr">
        <is>
          <t>2F120374D5236300000000C1</t>
        </is>
      </c>
    </row>
    <row r="239">
      <c r="A239" t="n">
        <v>30</v>
      </c>
      <c r="B239" t="inlineStr">
        <is>
          <t>SPE5E2-18-V-2452</t>
        </is>
      </c>
      <c r="C239" s="20" t="inlineStr">
        <is>
          <t>AVIBANK</t>
        </is>
      </c>
      <c r="E239" t="n">
        <v>56</v>
      </c>
      <c r="F239" t="inlineStr">
        <is>
          <t>p</t>
        </is>
      </c>
      <c r="G239" s="230" t="n">
        <v>5275.76</v>
      </c>
      <c r="H239" t="inlineStr">
        <is>
          <t>WSFE030Z</t>
        </is>
      </c>
      <c r="I239" t="inlineStr">
        <is>
          <t>WSFEI030</t>
        </is>
      </c>
      <c r="J239" s="4" t="n">
        <v>43157</v>
      </c>
      <c r="K239" t="inlineStr">
        <is>
          <t>2F120374D5236300000000C2</t>
        </is>
      </c>
    </row>
    <row r="240">
      <c r="A240" t="n">
        <v>31</v>
      </c>
      <c r="B240" t="inlineStr">
        <is>
          <t>SPE7M5-18-P-4312</t>
        </is>
      </c>
      <c r="C240" s="20" t="inlineStr">
        <is>
          <t>Glenair</t>
        </is>
      </c>
      <c r="E240" t="n">
        <v>264</v>
      </c>
      <c r="G240" s="230" t="n">
        <v>12571.79</v>
      </c>
      <c r="H240" t="inlineStr">
        <is>
          <t>WSFE031Z</t>
        </is>
      </c>
      <c r="I240" t="inlineStr">
        <is>
          <t>WSFEI031</t>
        </is>
      </c>
      <c r="J240" s="4" t="n">
        <v>43157</v>
      </c>
      <c r="K240" t="inlineStr">
        <is>
          <t>2F120374D5236300000000C3</t>
        </is>
      </c>
    </row>
    <row r="241">
      <c r="A241" t="n">
        <v>32</v>
      </c>
      <c r="B241" t="inlineStr">
        <is>
          <t>SPE7M3-18-P-1496</t>
        </is>
      </c>
      <c r="C241" s="20" t="inlineStr">
        <is>
          <t>ERA</t>
        </is>
      </c>
      <c r="E241" t="n">
        <v>9</v>
      </c>
      <c r="F241" t="inlineStr">
        <is>
          <t>p</t>
        </is>
      </c>
      <c r="G241" s="230" t="n">
        <v>5730.66</v>
      </c>
      <c r="H241" t="inlineStr">
        <is>
          <t>WSFE032Z</t>
        </is>
      </c>
      <c r="I241" t="inlineStr">
        <is>
          <t>WSFEI032</t>
        </is>
      </c>
      <c r="J241" s="4" t="n">
        <v>43157</v>
      </c>
      <c r="K241" t="inlineStr">
        <is>
          <t>2F120374D5236300000000C4</t>
        </is>
      </c>
    </row>
    <row r="242">
      <c r="A242" t="n">
        <v>33</v>
      </c>
      <c r="B242" t="inlineStr">
        <is>
          <t>SPE7M1-18-P-1851</t>
        </is>
      </c>
      <c r="C242" s="20" t="inlineStr">
        <is>
          <t>Plog</t>
        </is>
      </c>
      <c r="E242" t="n">
        <v>500</v>
      </c>
      <c r="F242" t="inlineStr">
        <is>
          <t>p</t>
        </is>
      </c>
      <c r="G242" s="230" t="n">
        <v>6070.98</v>
      </c>
      <c r="H242" t="inlineStr">
        <is>
          <t>WSFE033</t>
        </is>
      </c>
      <c r="I242" t="inlineStr">
        <is>
          <t>WSFEI033</t>
        </is>
      </c>
      <c r="K242" t="inlineStr">
        <is>
          <t>2F120374D5236300000000C5</t>
        </is>
      </c>
    </row>
    <row r="243">
      <c r="A243" t="n">
        <v>34</v>
      </c>
      <c r="B243" t="inlineStr">
        <is>
          <t>SPE7M1-18-P-1851</t>
        </is>
      </c>
      <c r="C243" s="20" t="inlineStr">
        <is>
          <t>Plog</t>
        </is>
      </c>
      <c r="E243" t="n">
        <v>500</v>
      </c>
      <c r="F243" t="inlineStr">
        <is>
          <t>p</t>
        </is>
      </c>
      <c r="H243" t="inlineStr">
        <is>
          <t>WSFE034</t>
        </is>
      </c>
      <c r="I243" t="inlineStr">
        <is>
          <t>WSFEI034</t>
        </is>
      </c>
      <c r="K243" t="inlineStr">
        <is>
          <t>2F120374D5236300000000C6</t>
        </is>
      </c>
    </row>
    <row r="244">
      <c r="A244" t="n">
        <v>35</v>
      </c>
      <c r="B244" t="inlineStr">
        <is>
          <t>SPE7M1-18-P-1851</t>
        </is>
      </c>
      <c r="C244" s="20" t="inlineStr">
        <is>
          <t>Plog</t>
        </is>
      </c>
      <c r="E244" t="n">
        <v>500</v>
      </c>
      <c r="F244" t="inlineStr">
        <is>
          <t>p</t>
        </is>
      </c>
      <c r="H244" t="inlineStr">
        <is>
          <t>WSFE035</t>
        </is>
      </c>
      <c r="I244" t="inlineStr">
        <is>
          <t>WSFEI035</t>
        </is>
      </c>
      <c r="K244" t="inlineStr">
        <is>
          <t>2F120374D5236300000000C7</t>
        </is>
      </c>
    </row>
    <row r="245">
      <c r="A245" t="n">
        <v>36</v>
      </c>
      <c r="B245" t="inlineStr">
        <is>
          <t>SPE7M1-18-P-1851</t>
        </is>
      </c>
      <c r="C245" s="20" t="inlineStr">
        <is>
          <t>Plog</t>
        </is>
      </c>
      <c r="E245" t="n">
        <v>412</v>
      </c>
      <c r="F245" t="inlineStr">
        <is>
          <t>p</t>
        </is>
      </c>
      <c r="H245" t="inlineStr">
        <is>
          <t>WSFE036Z</t>
        </is>
      </c>
      <c r="I245" t="inlineStr">
        <is>
          <t>WSFEI036</t>
        </is>
      </c>
      <c r="K245" t="inlineStr">
        <is>
          <t>2F120374D5236300000000C8</t>
        </is>
      </c>
    </row>
    <row r="246">
      <c r="A246" t="n">
        <v>37</v>
      </c>
      <c r="B246" t="inlineStr">
        <is>
          <t>SPE7M0-17-V-C409</t>
        </is>
      </c>
      <c r="C246" s="20" t="inlineStr">
        <is>
          <t>PREECE</t>
        </is>
      </c>
      <c r="E246" t="n">
        <v>1</v>
      </c>
      <c r="F246" t="inlineStr">
        <is>
          <t>p</t>
        </is>
      </c>
      <c r="G246" s="232" t="n">
        <v>2324.54</v>
      </c>
      <c r="H246" t="inlineStr">
        <is>
          <t>WSFE037Z</t>
        </is>
      </c>
      <c r="I246" t="inlineStr">
        <is>
          <t>WSFEI037</t>
        </is>
      </c>
      <c r="K246" t="inlineStr">
        <is>
          <t>NO RFID</t>
        </is>
      </c>
    </row>
    <row r="247">
      <c r="A247" t="n">
        <v>38</v>
      </c>
      <c r="B247" t="inlineStr">
        <is>
          <t>SPE5E4-18-V-4162</t>
        </is>
      </c>
      <c r="C247" s="20" t="inlineStr">
        <is>
          <t>FLOW</t>
        </is>
      </c>
      <c r="E247" t="n">
        <v>1</v>
      </c>
      <c r="F247" t="inlineStr">
        <is>
          <t>p</t>
        </is>
      </c>
      <c r="G247" s="232" t="n">
        <v>937.8</v>
      </c>
      <c r="H247" t="inlineStr">
        <is>
          <t>WSFE038Z</t>
        </is>
      </c>
      <c r="I247" t="inlineStr">
        <is>
          <t>WSFEI038</t>
        </is>
      </c>
    </row>
    <row r="248"/>
    <row r="249">
      <c r="A249" t="n">
        <v>1</v>
      </c>
      <c r="B249" t="inlineStr">
        <is>
          <t>SPE7L3-17-V-A236</t>
        </is>
      </c>
      <c r="C249" s="20" t="inlineStr">
        <is>
          <t>WESCON</t>
        </is>
      </c>
      <c r="E249" t="n">
        <v>19</v>
      </c>
      <c r="F249" t="inlineStr">
        <is>
          <t>p</t>
        </is>
      </c>
      <c r="G249" t="n">
        <v>1626.59</v>
      </c>
      <c r="H249" t="inlineStr">
        <is>
          <t>WSMR038Z</t>
        </is>
      </c>
      <c r="I249" t="inlineStr">
        <is>
          <t>WSMRI038</t>
        </is>
      </c>
      <c r="J249" s="4" t="n">
        <v>43160</v>
      </c>
      <c r="K249" t="inlineStr">
        <is>
          <t>2F120374D5236300000000C9</t>
        </is>
      </c>
    </row>
    <row r="250">
      <c r="A250" t="n">
        <v>2</v>
      </c>
      <c r="B250" t="inlineStr">
        <is>
          <t>SPE5EM-18-V-2840</t>
        </is>
      </c>
      <c r="C250" s="20" t="inlineStr">
        <is>
          <t>HIAB</t>
        </is>
      </c>
      <c r="E250" t="n">
        <v>5</v>
      </c>
      <c r="G250" s="232" t="n">
        <v>8313.200000000001</v>
      </c>
      <c r="H250" t="inlineStr">
        <is>
          <t>WSMR039Z</t>
        </is>
      </c>
      <c r="I250" t="inlineStr">
        <is>
          <t>WSMRI039</t>
        </is>
      </c>
      <c r="J250" s="4" t="n">
        <v>43160</v>
      </c>
      <c r="K250" t="inlineStr">
        <is>
          <t>2F120374D5236300000000CA</t>
        </is>
      </c>
    </row>
    <row r="251">
      <c r="A251" t="n">
        <v>3</v>
      </c>
      <c r="B251" t="inlineStr">
        <is>
          <t>SPE4A6-18-V-5851</t>
        </is>
      </c>
      <c r="C251" s="20" t="inlineStr">
        <is>
          <t>OLYMPUS</t>
        </is>
      </c>
      <c r="E251" t="n">
        <v>3</v>
      </c>
      <c r="F251" t="inlineStr">
        <is>
          <t>p</t>
        </is>
      </c>
      <c r="G251" s="230" t="n">
        <v>850.29</v>
      </c>
      <c r="H251" t="inlineStr">
        <is>
          <t>WSMR003Z</t>
        </is>
      </c>
      <c r="I251" t="inlineStr">
        <is>
          <t>WSMRI003</t>
        </is>
      </c>
      <c r="J251" s="4" t="n">
        <v>43165</v>
      </c>
      <c r="K251" t="inlineStr">
        <is>
          <t>2F120374D5236300000000CB</t>
        </is>
      </c>
    </row>
    <row r="252">
      <c r="A252" t="n">
        <v>4</v>
      </c>
      <c r="B252" t="inlineStr">
        <is>
          <t>SPE7M5-18-V-4117</t>
        </is>
      </c>
      <c r="C252" s="20" t="inlineStr">
        <is>
          <t>L-COM</t>
        </is>
      </c>
      <c r="E252" t="n">
        <v>1</v>
      </c>
      <c r="F252" t="inlineStr">
        <is>
          <t>p</t>
        </is>
      </c>
      <c r="G252" t="n">
        <v>56.48</v>
      </c>
      <c r="H252" t="inlineStr">
        <is>
          <t>WSMR004Z</t>
        </is>
      </c>
      <c r="I252" t="inlineStr">
        <is>
          <t>WSMRI004</t>
        </is>
      </c>
      <c r="J252" s="4" t="n">
        <v>43165</v>
      </c>
    </row>
    <row r="253">
      <c r="A253" t="n">
        <v>5</v>
      </c>
      <c r="B253" t="inlineStr">
        <is>
          <t>SPE7M5-18-V-1410</t>
        </is>
      </c>
      <c r="C253" s="20" t="inlineStr">
        <is>
          <t>ITT</t>
        </is>
      </c>
      <c r="E253" t="n">
        <v>73</v>
      </c>
      <c r="F253" t="inlineStr">
        <is>
          <t>p</t>
        </is>
      </c>
      <c r="G253" s="230" t="n">
        <v>3060.16</v>
      </c>
      <c r="H253" t="inlineStr">
        <is>
          <t>WSMR005Z</t>
        </is>
      </c>
      <c r="I253" t="inlineStr">
        <is>
          <t>WSMRI005</t>
        </is>
      </c>
      <c r="J253" s="4" t="n">
        <v>43165</v>
      </c>
      <c r="K253" t="inlineStr">
        <is>
          <t>2F120374D5236300000000CC</t>
        </is>
      </c>
    </row>
    <row r="254">
      <c r="A254" t="n">
        <v>6</v>
      </c>
      <c r="B254" t="inlineStr">
        <is>
          <t>SPE4A6-18-V-8263</t>
        </is>
      </c>
      <c r="C254" s="20" t="inlineStr">
        <is>
          <t>L-COM</t>
        </is>
      </c>
      <c r="E254" t="n">
        <v>88</v>
      </c>
      <c r="F254" t="inlineStr">
        <is>
          <t>p</t>
        </is>
      </c>
      <c r="G254" s="230" t="n">
        <v>2850.32</v>
      </c>
      <c r="H254" t="inlineStr">
        <is>
          <t>WSMR006Z</t>
        </is>
      </c>
      <c r="I254" t="inlineStr">
        <is>
          <t>WSMRI006</t>
        </is>
      </c>
      <c r="J254" s="4" t="n">
        <v>43165</v>
      </c>
      <c r="K254" t="inlineStr">
        <is>
          <t>2F120374D5236300000000CD</t>
        </is>
      </c>
    </row>
    <row r="255">
      <c r="A255" t="n">
        <v>7</v>
      </c>
      <c r="B255" t="inlineStr">
        <is>
          <t>SPE4A5-18-V-1587</t>
        </is>
      </c>
      <c r="C255" s="20" t="inlineStr">
        <is>
          <t>Glenair</t>
        </is>
      </c>
      <c r="E255" t="n">
        <v>16</v>
      </c>
      <c r="G255" s="230" t="n">
        <v>2831.04</v>
      </c>
      <c r="H255" t="inlineStr">
        <is>
          <t>WSMR007Z</t>
        </is>
      </c>
      <c r="I255" t="inlineStr">
        <is>
          <t>WSMRI007</t>
        </is>
      </c>
      <c r="J255" s="4" t="n">
        <v>43165</v>
      </c>
      <c r="K255" t="inlineStr">
        <is>
          <t>2F120374D5236300000000CE</t>
        </is>
      </c>
    </row>
    <row r="256">
      <c r="A256" t="n">
        <v>8</v>
      </c>
      <c r="B256" t="inlineStr">
        <is>
          <t>SPE7M5-18-V-2278</t>
        </is>
      </c>
      <c r="C256" s="20" t="inlineStr">
        <is>
          <t>Glenair</t>
        </is>
      </c>
      <c r="E256" t="n">
        <v>18</v>
      </c>
      <c r="G256" s="230" t="n">
        <v>3841.2</v>
      </c>
      <c r="H256" t="inlineStr">
        <is>
          <t>WSMR008Z</t>
        </is>
      </c>
      <c r="I256" t="inlineStr">
        <is>
          <t>WSMRI008</t>
        </is>
      </c>
      <c r="J256" s="4" t="n">
        <v>43165</v>
      </c>
      <c r="K256" t="inlineStr">
        <is>
          <t>2F120374D5236300000000CF</t>
        </is>
      </c>
    </row>
    <row r="257">
      <c r="A257" t="n">
        <v>9</v>
      </c>
      <c r="B257" t="inlineStr">
        <is>
          <t>SPE7M5-18-V-1463</t>
        </is>
      </c>
      <c r="C257" s="20" t="inlineStr">
        <is>
          <t>Glenair</t>
        </is>
      </c>
      <c r="E257" t="n">
        <v>2</v>
      </c>
      <c r="G257" s="230" t="n">
        <v>395.2</v>
      </c>
      <c r="H257" t="inlineStr">
        <is>
          <t>WSMR009Z</t>
        </is>
      </c>
      <c r="I257" t="inlineStr">
        <is>
          <t>WSMRI009</t>
        </is>
      </c>
      <c r="J257" s="4" t="n">
        <v>43166</v>
      </c>
      <c r="K257" t="inlineStr">
        <is>
          <t>NO RFID</t>
        </is>
      </c>
    </row>
    <row r="258">
      <c r="A258" t="n">
        <v>10</v>
      </c>
      <c r="B258" t="inlineStr">
        <is>
          <t>SPE4A4-18-V-3641</t>
        </is>
      </c>
      <c r="C258" s="20" t="inlineStr">
        <is>
          <t>C&amp;S</t>
        </is>
      </c>
      <c r="G258" s="230" t="n">
        <v>4045.86</v>
      </c>
      <c r="H258" t="inlineStr">
        <is>
          <t>WSMR010Z</t>
        </is>
      </c>
      <c r="I258" t="inlineStr">
        <is>
          <t>WSMRI010</t>
        </is>
      </c>
      <c r="K258" t="inlineStr">
        <is>
          <t>NO RFID</t>
        </is>
      </c>
    </row>
    <row r="259">
      <c r="A259" t="n">
        <v>11</v>
      </c>
      <c r="B259" t="inlineStr">
        <is>
          <t>SPE7MC-18-V-1096</t>
        </is>
      </c>
      <c r="C259" s="20" t="inlineStr">
        <is>
          <t>Glenair</t>
        </is>
      </c>
      <c r="E259" t="n">
        <v>14</v>
      </c>
      <c r="G259" s="230" t="n">
        <v>891.38</v>
      </c>
      <c r="H259" t="inlineStr">
        <is>
          <t>WSMR011Z</t>
        </is>
      </c>
      <c r="I259" t="inlineStr">
        <is>
          <t>WSMRI011</t>
        </is>
      </c>
      <c r="K259" t="inlineStr">
        <is>
          <t>2F120374D5236300000000D1</t>
        </is>
      </c>
    </row>
    <row r="260">
      <c r="A260" t="n">
        <v>12</v>
      </c>
      <c r="B260" t="inlineStr">
        <is>
          <t>SPE7L3-18-V-4690</t>
        </is>
      </c>
      <c r="C260" s="20" t="inlineStr">
        <is>
          <t>HIAB</t>
        </is>
      </c>
      <c r="E260" t="n">
        <v>1</v>
      </c>
      <c r="G260" s="232" t="n">
        <v>1524.4</v>
      </c>
      <c r="H260" t="inlineStr">
        <is>
          <t>WSMR011Z</t>
        </is>
      </c>
      <c r="I260" t="inlineStr">
        <is>
          <t>WSMRI012</t>
        </is>
      </c>
      <c r="J260" s="4" t="n">
        <v>43168</v>
      </c>
      <c r="K260" t="inlineStr">
        <is>
          <t>NO RFID</t>
        </is>
      </c>
    </row>
    <row r="261">
      <c r="A261" t="n">
        <v>13</v>
      </c>
      <c r="B261" t="inlineStr">
        <is>
          <t>SPE4A4-18-V-0940</t>
        </is>
      </c>
      <c r="C261" s="20" t="inlineStr">
        <is>
          <t>ERA</t>
        </is>
      </c>
      <c r="E261" t="n">
        <v>19</v>
      </c>
      <c r="G261" s="232" t="n">
        <v>4024.39</v>
      </c>
      <c r="H261" t="inlineStr">
        <is>
          <t>WSMR013Z</t>
        </is>
      </c>
      <c r="I261" t="inlineStr">
        <is>
          <t>WSMRI013</t>
        </is>
      </c>
      <c r="J261" s="4" t="n">
        <v>43168</v>
      </c>
      <c r="K261" t="inlineStr">
        <is>
          <t>NO RFID</t>
        </is>
      </c>
    </row>
    <row r="262">
      <c r="A262" t="n">
        <v>14</v>
      </c>
      <c r="B262" t="inlineStr">
        <is>
          <t>SPE7M1-18-V-4653</t>
        </is>
      </c>
      <c r="C262" s="20" t="inlineStr">
        <is>
          <t>DRUCK</t>
        </is>
      </c>
      <c r="E262" t="n">
        <v>3</v>
      </c>
      <c r="G262" s="230" t="n">
        <v>3953.67</v>
      </c>
      <c r="H262" t="inlineStr">
        <is>
          <t>WSMR014Z</t>
        </is>
      </c>
      <c r="I262" t="inlineStr">
        <is>
          <t>WSMRI014</t>
        </is>
      </c>
      <c r="J262" s="4" t="n">
        <v>43168</v>
      </c>
      <c r="K262" t="inlineStr">
        <is>
          <t>2F120374D5236300000000D3</t>
        </is>
      </c>
    </row>
    <row r="263">
      <c r="A263" t="n">
        <v>15</v>
      </c>
      <c r="B263" t="inlineStr">
        <is>
          <t>SPE7MC-18-V-4165</t>
        </is>
      </c>
      <c r="C263" s="20" t="inlineStr">
        <is>
          <t>ITT</t>
        </is>
      </c>
      <c r="E263" t="n">
        <v>127</v>
      </c>
      <c r="F263" t="inlineStr">
        <is>
          <t>p</t>
        </is>
      </c>
      <c r="G263" s="230" t="n">
        <v>845.8200000000001</v>
      </c>
      <c r="H263" t="inlineStr">
        <is>
          <t>WSMR015Z</t>
        </is>
      </c>
      <c r="I263" t="inlineStr">
        <is>
          <t>WSMRI015</t>
        </is>
      </c>
      <c r="J263" s="4" t="n">
        <v>43168</v>
      </c>
      <c r="K263" t="inlineStr">
        <is>
          <t>2F120374D5236300000000D4</t>
        </is>
      </c>
    </row>
    <row r="264">
      <c r="A264" t="n">
        <v>16</v>
      </c>
      <c r="B264" t="inlineStr">
        <is>
          <t>SPE7M9-18-V-0449</t>
        </is>
      </c>
      <c r="C264" s="20" t="inlineStr">
        <is>
          <t>HIAB</t>
        </is>
      </c>
      <c r="E264" t="n">
        <v>1</v>
      </c>
      <c r="G264" s="230" t="n">
        <v>2376.7</v>
      </c>
      <c r="H264" t="inlineStr">
        <is>
          <t>WSMR015Z</t>
        </is>
      </c>
      <c r="I264" t="inlineStr">
        <is>
          <t>WSMRI016</t>
        </is>
      </c>
      <c r="J264" s="4" t="n"/>
      <c r="K264" t="inlineStr">
        <is>
          <t>2F120374D5236300000000D0</t>
        </is>
      </c>
    </row>
    <row r="265">
      <c r="A265" t="n">
        <v>17</v>
      </c>
      <c r="B265" t="inlineStr">
        <is>
          <t>SPE5EJ-18-V-2551</t>
        </is>
      </c>
      <c r="C265" s="20" t="inlineStr">
        <is>
          <t>DRUCK</t>
        </is>
      </c>
      <c r="E265" t="n">
        <v>17</v>
      </c>
      <c r="G265" s="232" t="n">
        <v>4322.08</v>
      </c>
      <c r="H265" t="inlineStr">
        <is>
          <t>WSMR016Z</t>
        </is>
      </c>
      <c r="I265" t="inlineStr">
        <is>
          <t>WSMRI017</t>
        </is>
      </c>
      <c r="J265" s="4" t="n">
        <v>43172</v>
      </c>
      <c r="K265" t="inlineStr">
        <is>
          <t>2F120374D5236300000000D5</t>
        </is>
      </c>
    </row>
    <row r="266">
      <c r="A266" t="n">
        <v>18</v>
      </c>
      <c r="B266" t="inlineStr">
        <is>
          <t>SPE5EJ-18-V-2551</t>
        </is>
      </c>
      <c r="C266" s="20" t="inlineStr">
        <is>
          <t>DRUCK</t>
        </is>
      </c>
      <c r="E266" t="n">
        <v>16</v>
      </c>
      <c r="G266" s="230" t="n">
        <v>4067.84</v>
      </c>
      <c r="H266" t="inlineStr">
        <is>
          <t>WSMR017</t>
        </is>
      </c>
      <c r="I266" t="inlineStr">
        <is>
          <t>WSMRI018</t>
        </is>
      </c>
      <c r="J266" s="4" t="n">
        <v>43172</v>
      </c>
      <c r="K266" t="inlineStr">
        <is>
          <t>2F120374D5236300000000D6</t>
        </is>
      </c>
    </row>
    <row r="267">
      <c r="A267" t="n">
        <v>19</v>
      </c>
      <c r="B267" t="inlineStr">
        <is>
          <t>SPE7M0-18-V-3089</t>
        </is>
      </c>
      <c r="C267" t="inlineStr">
        <is>
          <t>CTT</t>
        </is>
      </c>
      <c r="E267" t="n">
        <v>1</v>
      </c>
      <c r="F267" t="inlineStr">
        <is>
          <t>p</t>
        </is>
      </c>
      <c r="H267" t="inlineStr">
        <is>
          <t>WSMR018Z</t>
        </is>
      </c>
      <c r="I267" t="inlineStr">
        <is>
          <t>WSMRI019</t>
        </is>
      </c>
      <c r="K267" t="inlineStr">
        <is>
          <t>2F120374D5236300000000D7</t>
        </is>
      </c>
    </row>
    <row r="268">
      <c r="A268" t="n">
        <v>20</v>
      </c>
      <c r="B268" t="inlineStr">
        <is>
          <t>SPE7M0-18-V-3089</t>
        </is>
      </c>
      <c r="C268" t="inlineStr">
        <is>
          <t>CTT</t>
        </is>
      </c>
      <c r="E268" t="n">
        <v>1</v>
      </c>
      <c r="F268" t="inlineStr">
        <is>
          <t>p</t>
        </is>
      </c>
      <c r="G268" s="129" t="n">
        <v>-1187.97</v>
      </c>
      <c r="H268" t="inlineStr">
        <is>
          <t>WSMR019Z</t>
        </is>
      </c>
      <c r="I268" t="inlineStr">
        <is>
          <t>WSMRI020</t>
        </is>
      </c>
      <c r="K268" t="inlineStr">
        <is>
          <t>2F120374D5236300000000D8</t>
        </is>
      </c>
    </row>
    <row r="269">
      <c r="A269" t="n">
        <v>21</v>
      </c>
      <c r="B269" t="inlineStr">
        <is>
          <t>SPE7M0-18-V-5386</t>
        </is>
      </c>
      <c r="C269" s="66" t="inlineStr">
        <is>
          <t>KMPARTS</t>
        </is>
      </c>
      <c r="E269" t="n">
        <v>5</v>
      </c>
      <c r="F269" t="inlineStr">
        <is>
          <t>p</t>
        </is>
      </c>
      <c r="G269" s="230" t="n">
        <v>619.4</v>
      </c>
      <c r="H269" t="inlineStr">
        <is>
          <t>WSMR021Z</t>
        </is>
      </c>
      <c r="I269" t="inlineStr">
        <is>
          <t>WSMRI021</t>
        </is>
      </c>
    </row>
    <row r="270">
      <c r="A270" t="n">
        <v>22</v>
      </c>
      <c r="B270" t="inlineStr">
        <is>
          <t>SPE7M1-18-V-3578</t>
        </is>
      </c>
      <c r="C270" s="20" t="inlineStr">
        <is>
          <t>EMPOWER</t>
        </is>
      </c>
      <c r="E270" t="n">
        <v>1</v>
      </c>
      <c r="F270" t="inlineStr">
        <is>
          <t>p</t>
        </is>
      </c>
      <c r="G270" s="230" t="n">
        <v>4298.42</v>
      </c>
      <c r="H270" t="inlineStr">
        <is>
          <t>WSMR022Z</t>
        </is>
      </c>
      <c r="I270" t="inlineStr">
        <is>
          <t>WSMRI022</t>
        </is>
      </c>
      <c r="K270" t="inlineStr">
        <is>
          <t>2F120374D5236300000000D9</t>
        </is>
      </c>
    </row>
    <row r="271">
      <c r="A271" t="n">
        <v>23</v>
      </c>
      <c r="B271" t="inlineStr">
        <is>
          <t>SPE7M5-18-V-2741</t>
        </is>
      </c>
      <c r="C271" s="20" t="inlineStr">
        <is>
          <t>Glenair</t>
        </is>
      </c>
      <c r="E271" t="n">
        <v>69</v>
      </c>
      <c r="G271" s="230" t="n">
        <v>13493.64</v>
      </c>
      <c r="H271" t="inlineStr">
        <is>
          <t>WSMR023Z</t>
        </is>
      </c>
      <c r="I271" t="inlineStr">
        <is>
          <t>WSMRI023</t>
        </is>
      </c>
      <c r="J271" s="4" t="n">
        <v>43179</v>
      </c>
      <c r="K271" t="inlineStr">
        <is>
          <t>2F120374D5236300000000DA</t>
        </is>
      </c>
    </row>
    <row r="272">
      <c r="A272" t="n">
        <v>24</v>
      </c>
      <c r="B272" s="49" t="inlineStr">
        <is>
          <t>SPE7M5-18-V-3043</t>
        </is>
      </c>
      <c r="C272" s="20" t="inlineStr">
        <is>
          <t>ITT</t>
        </is>
      </c>
      <c r="E272" t="n">
        <v>12</v>
      </c>
      <c r="F272" t="inlineStr">
        <is>
          <t>p</t>
        </is>
      </c>
      <c r="G272" s="230" t="n">
        <v>958.2</v>
      </c>
      <c r="H272" t="inlineStr">
        <is>
          <t>WSMR024Z</t>
        </is>
      </c>
      <c r="I272" t="inlineStr">
        <is>
          <t>WSMRI024</t>
        </is>
      </c>
      <c r="J272" s="4" t="n">
        <v>43179</v>
      </c>
      <c r="K272" t="inlineStr">
        <is>
          <t>2F120374D5236300000000DB</t>
        </is>
      </c>
    </row>
    <row r="273">
      <c r="A273" t="n">
        <v>25</v>
      </c>
      <c r="B273" t="inlineStr">
        <is>
          <t>SPE7M518V3828</t>
        </is>
      </c>
      <c r="C273" t="inlineStr">
        <is>
          <t>Munter</t>
        </is>
      </c>
      <c r="E273" t="n">
        <v>64</v>
      </c>
      <c r="G273" s="230" t="n"/>
      <c r="H273" t="inlineStr">
        <is>
          <t>WSMR025Z</t>
        </is>
      </c>
      <c r="I273" t="inlineStr">
        <is>
          <t>WSMRI025</t>
        </is>
      </c>
      <c r="J273" s="4" t="n">
        <v>43179</v>
      </c>
      <c r="K273" t="inlineStr">
        <is>
          <t>2F120374D5236300000000DC</t>
        </is>
      </c>
    </row>
    <row r="274">
      <c r="A274" t="n">
        <v>26</v>
      </c>
      <c r="B274" s="49" t="inlineStr">
        <is>
          <t>SPE7M5-18-V-5621</t>
        </is>
      </c>
      <c r="C274" s="20" t="inlineStr">
        <is>
          <t>Glenair</t>
        </is>
      </c>
      <c r="E274" t="n">
        <v>97</v>
      </c>
      <c r="G274" s="232" t="n">
        <v>20317.62</v>
      </c>
      <c r="H274" t="inlineStr">
        <is>
          <t>WSMR026Z</t>
        </is>
      </c>
      <c r="I274" t="inlineStr">
        <is>
          <t>WSMRI026</t>
        </is>
      </c>
      <c r="J274" s="4" t="n">
        <v>43179</v>
      </c>
      <c r="K274" t="inlineStr">
        <is>
          <t>2F120374D5236300000000DD</t>
        </is>
      </c>
    </row>
    <row r="275">
      <c r="A275" t="n">
        <v>27</v>
      </c>
      <c r="B275" t="inlineStr">
        <is>
          <t>SPE7M5-18-V-5687</t>
        </is>
      </c>
      <c r="C275" s="20" t="inlineStr">
        <is>
          <t>DIGI</t>
        </is>
      </c>
      <c r="E275" t="n">
        <v>5</v>
      </c>
      <c r="F275" t="inlineStr">
        <is>
          <t>p</t>
        </is>
      </c>
      <c r="G275" s="232" t="n">
        <v>397.55</v>
      </c>
      <c r="H275" t="inlineStr">
        <is>
          <t>WSMR027Z</t>
        </is>
      </c>
      <c r="I275" t="inlineStr">
        <is>
          <t>WSMRI027</t>
        </is>
      </c>
      <c r="J275" s="4" t="n">
        <v>43180</v>
      </c>
      <c r="K275" t="inlineStr">
        <is>
          <t>2F120374D5236300000000DE</t>
        </is>
      </c>
    </row>
    <row r="276">
      <c r="A276" t="n">
        <v>28</v>
      </c>
      <c r="B276" t="inlineStr">
        <is>
          <t>SPE7MC-18-V-4549</t>
        </is>
      </c>
      <c r="C276" s="20" t="inlineStr">
        <is>
          <t>DMT</t>
        </is>
      </c>
      <c r="E276" t="n">
        <v>7</v>
      </c>
      <c r="F276" t="inlineStr">
        <is>
          <t>p</t>
        </is>
      </c>
      <c r="H276" t="inlineStr">
        <is>
          <t>WSMR028Z</t>
        </is>
      </c>
      <c r="I276" t="inlineStr">
        <is>
          <t>WSMRI028</t>
        </is>
      </c>
      <c r="J276" s="4" t="n">
        <v>43182</v>
      </c>
      <c r="K276" t="inlineStr">
        <is>
          <t>2F120374D5236300000000DF</t>
        </is>
      </c>
    </row>
    <row r="277">
      <c r="A277" t="n">
        <v>29</v>
      </c>
      <c r="B277" t="inlineStr">
        <is>
          <t>SPE7MC-18-V-4549</t>
        </is>
      </c>
      <c r="C277" s="20" t="inlineStr">
        <is>
          <t>DMT</t>
        </is>
      </c>
      <c r="E277" t="n">
        <v>49</v>
      </c>
      <c r="F277" t="inlineStr">
        <is>
          <t>p</t>
        </is>
      </c>
      <c r="G277" s="232" t="n">
        <v>6591.2</v>
      </c>
      <c r="H277" t="inlineStr">
        <is>
          <t>WSMR029Z</t>
        </is>
      </c>
      <c r="I277" t="inlineStr">
        <is>
          <t>WSMRI029</t>
        </is>
      </c>
      <c r="J277" s="4" t="n">
        <v>43182</v>
      </c>
      <c r="K277" t="inlineStr">
        <is>
          <t>2F120374D5236300000000E0</t>
        </is>
      </c>
    </row>
    <row r="278">
      <c r="A278" t="n">
        <v>30</v>
      </c>
      <c r="B278" t="inlineStr">
        <is>
          <t>SPE7M5-18-V-4815</t>
        </is>
      </c>
      <c r="C278" s="20" t="inlineStr">
        <is>
          <t>Glenair</t>
        </is>
      </c>
      <c r="E278" t="n">
        <v>73</v>
      </c>
      <c r="G278" s="230" t="n">
        <v>4060.99</v>
      </c>
      <c r="H278" t="inlineStr">
        <is>
          <t>WSMR030Z</t>
        </is>
      </c>
      <c r="I278" t="inlineStr">
        <is>
          <t>WSMRI030</t>
        </is>
      </c>
      <c r="J278" s="4" t="n">
        <v>43182</v>
      </c>
      <c r="K278" t="inlineStr">
        <is>
          <t>2F120374D5236300000000E1</t>
        </is>
      </c>
    </row>
    <row r="279">
      <c r="A279" t="n">
        <v>31</v>
      </c>
      <c r="B279" t="inlineStr">
        <is>
          <t>SPE7MC-18-V-4064</t>
        </is>
      </c>
      <c r="C279" s="66" t="inlineStr">
        <is>
          <t>Glenair</t>
        </is>
      </c>
      <c r="E279" t="n">
        <v>250</v>
      </c>
      <c r="G279" s="230" t="n">
        <v>3777.5</v>
      </c>
      <c r="H279" t="inlineStr">
        <is>
          <t>WSMR031Z</t>
        </is>
      </c>
      <c r="I279" t="inlineStr">
        <is>
          <t>WSMRI031</t>
        </is>
      </c>
      <c r="J279" s="4" t="n">
        <v>43182</v>
      </c>
      <c r="K279" t="inlineStr">
        <is>
          <t>2F120374D5236300000000E2</t>
        </is>
      </c>
    </row>
    <row r="280">
      <c r="A280" t="n">
        <v>32</v>
      </c>
      <c r="B280" t="inlineStr">
        <is>
          <t>SPE7M5-18-V-6036</t>
        </is>
      </c>
      <c r="C280" s="20" t="inlineStr">
        <is>
          <t>DIGI</t>
        </is>
      </c>
      <c r="E280" t="n">
        <v>386</v>
      </c>
      <c r="F280" t="inlineStr">
        <is>
          <t>p</t>
        </is>
      </c>
      <c r="G280" s="230" t="n">
        <v>3412.24</v>
      </c>
      <c r="H280" t="inlineStr">
        <is>
          <t>WSMR032Z</t>
        </is>
      </c>
      <c r="I280" t="inlineStr">
        <is>
          <t>WSMRI032</t>
        </is>
      </c>
      <c r="J280" s="4" t="n">
        <v>43187</v>
      </c>
      <c r="K280" t="inlineStr">
        <is>
          <t>2F120374D5236300000000E3</t>
        </is>
      </c>
    </row>
    <row r="281">
      <c r="A281" t="n">
        <v>33</v>
      </c>
      <c r="B281" t="inlineStr">
        <is>
          <t>SPE7L3-18-P-4493</t>
        </is>
      </c>
      <c r="C281" s="20" t="inlineStr">
        <is>
          <t>KTSDI</t>
        </is>
      </c>
      <c r="E281" t="n">
        <v>3</v>
      </c>
      <c r="F281" t="inlineStr">
        <is>
          <t>p</t>
        </is>
      </c>
      <c r="G281" s="230" t="n">
        <v>935.52</v>
      </c>
      <c r="H281" t="inlineStr">
        <is>
          <t>WSMR033Z</t>
        </is>
      </c>
      <c r="I281" t="inlineStr">
        <is>
          <t>WSMRI033</t>
        </is>
      </c>
      <c r="J281" s="4" t="n">
        <v>43185</v>
      </c>
      <c r="K281" t="inlineStr">
        <is>
          <t>2F120374D5236300000000E4</t>
        </is>
      </c>
    </row>
    <row r="282">
      <c r="A282" t="n">
        <v>34</v>
      </c>
      <c r="B282" t="inlineStr">
        <is>
          <t>SPE7M5-18-V-6029</t>
        </is>
      </c>
      <c r="C282" s="20" t="inlineStr">
        <is>
          <t>DIGI</t>
        </is>
      </c>
      <c r="E282" t="n">
        <v>8</v>
      </c>
      <c r="F282" t="inlineStr">
        <is>
          <t>p</t>
        </is>
      </c>
      <c r="G282" s="232" t="n">
        <v>99.92</v>
      </c>
      <c r="H282" t="inlineStr">
        <is>
          <t>WSMR034Z</t>
        </is>
      </c>
      <c r="I282" t="inlineStr">
        <is>
          <t>WSMRI034</t>
        </is>
      </c>
      <c r="K282" t="inlineStr">
        <is>
          <t>2F120374D5236300000000E5</t>
        </is>
      </c>
    </row>
    <row r="283">
      <c r="A283" t="n">
        <v>35</v>
      </c>
      <c r="B283" t="inlineStr">
        <is>
          <t>SPE7M5-18-V-6418</t>
        </is>
      </c>
      <c r="C283" s="20" t="inlineStr">
        <is>
          <t>DIGI</t>
        </is>
      </c>
      <c r="E283" t="n">
        <v>150</v>
      </c>
      <c r="F283" t="inlineStr">
        <is>
          <t>p</t>
        </is>
      </c>
      <c r="G283" s="230" t="n">
        <v>1768.5</v>
      </c>
      <c r="H283" t="inlineStr">
        <is>
          <t>WSMR035Z</t>
        </is>
      </c>
      <c r="I283" t="inlineStr">
        <is>
          <t>WSMRI035</t>
        </is>
      </c>
      <c r="J283" s="4" t="n">
        <v>43187</v>
      </c>
      <c r="K283" t="inlineStr">
        <is>
          <t>NO RFID</t>
        </is>
      </c>
    </row>
    <row r="284">
      <c r="A284" t="n">
        <v>36</v>
      </c>
      <c r="B284" t="inlineStr">
        <is>
          <t>SPE7MC-18-V-3627</t>
        </is>
      </c>
      <c r="C284" s="20" t="inlineStr">
        <is>
          <t>Munter</t>
        </is>
      </c>
      <c r="E284" t="n">
        <v>110</v>
      </c>
      <c r="G284" s="230" t="n">
        <v>1932.7</v>
      </c>
      <c r="H284" t="inlineStr">
        <is>
          <t>WSMR036Z</t>
        </is>
      </c>
      <c r="I284" t="inlineStr">
        <is>
          <t>WSMRI036</t>
        </is>
      </c>
      <c r="J284" s="4" t="n">
        <v>43188</v>
      </c>
      <c r="K284" t="inlineStr">
        <is>
          <t>2F120374D5236300000000E6</t>
        </is>
      </c>
    </row>
    <row r="285">
      <c r="A285" t="n">
        <v>37</v>
      </c>
      <c r="B285" t="inlineStr">
        <is>
          <t>SPE7M4-18-V-0677</t>
        </is>
      </c>
      <c r="C285" s="20" t="inlineStr">
        <is>
          <t>PREECE</t>
        </is>
      </c>
      <c r="E285" t="n">
        <v>6</v>
      </c>
      <c r="F285" t="inlineStr">
        <is>
          <t>p</t>
        </is>
      </c>
      <c r="G285" s="230" t="n">
        <v>7538.76</v>
      </c>
      <c r="H285" t="inlineStr">
        <is>
          <t>WSMR037Z</t>
        </is>
      </c>
      <c r="I285" t="inlineStr">
        <is>
          <t>WSMRI037</t>
        </is>
      </c>
      <c r="J285" s="4" t="n">
        <v>43188</v>
      </c>
      <c r="K285" t="inlineStr">
        <is>
          <t>2F120374D5236300000000E7</t>
        </is>
      </c>
    </row>
    <row r="286">
      <c r="A286" t="n">
        <v>38</v>
      </c>
      <c r="B286" t="inlineStr">
        <is>
          <t>SPE7M4-18-V-0179</t>
        </is>
      </c>
      <c r="C286" s="20" t="inlineStr">
        <is>
          <t>PREECE</t>
        </is>
      </c>
      <c r="E286" t="n">
        <v>3</v>
      </c>
      <c r="F286" t="inlineStr">
        <is>
          <t>p</t>
        </is>
      </c>
      <c r="G286" s="230" t="n">
        <v>3133.8</v>
      </c>
      <c r="H286" t="inlineStr">
        <is>
          <t>WSMR038Z</t>
        </is>
      </c>
      <c r="I286" t="inlineStr">
        <is>
          <t>WSMRI038</t>
        </is>
      </c>
      <c r="J286" s="4" t="n">
        <v>43188</v>
      </c>
      <c r="K286" t="inlineStr">
        <is>
          <t>2F120374D5236300000000E8</t>
        </is>
      </c>
    </row>
    <row r="287">
      <c r="A287" t="n">
        <v>39</v>
      </c>
      <c r="B287" t="inlineStr">
        <is>
          <t>SPE7MC-18-V-4600</t>
        </is>
      </c>
      <c r="C287" s="20" t="inlineStr">
        <is>
          <t>Glenair</t>
        </is>
      </c>
      <c r="E287" t="n">
        <v>8</v>
      </c>
      <c r="G287" s="233" t="n">
        <v>1741.92</v>
      </c>
      <c r="H287" t="inlineStr">
        <is>
          <t>WSMR039Z</t>
        </is>
      </c>
      <c r="I287" t="inlineStr">
        <is>
          <t>WSMRI039</t>
        </is>
      </c>
      <c r="J287" s="4" t="n">
        <v>43188</v>
      </c>
      <c r="K287" t="inlineStr">
        <is>
          <t>2F120374D5236300000000E9</t>
        </is>
      </c>
    </row>
    <row r="288"/>
    <row r="289"/>
    <row r="290">
      <c r="A290" t="n">
        <v>1</v>
      </c>
      <c r="B290" t="inlineStr">
        <is>
          <t>SPE4A6-18-V-024S</t>
        </is>
      </c>
      <c r="C290" s="20" t="inlineStr">
        <is>
          <t>National</t>
        </is>
      </c>
      <c r="E290" t="n">
        <v>17</v>
      </c>
      <c r="G290" s="230" t="n">
        <v>2683.28</v>
      </c>
      <c r="H290" t="inlineStr">
        <is>
          <t>WSAP001Z</t>
        </is>
      </c>
      <c r="I290" t="inlineStr">
        <is>
          <t>WSAPI001</t>
        </is>
      </c>
      <c r="J290" s="4" t="n">
        <v>43192</v>
      </c>
      <c r="K290" t="inlineStr">
        <is>
          <t>2F120374D5236300000000EA</t>
        </is>
      </c>
    </row>
    <row r="291">
      <c r="A291" t="n">
        <v>2</v>
      </c>
      <c r="B291" t="inlineStr">
        <is>
          <t>SPE7MC-18-V-4644</t>
        </is>
      </c>
      <c r="C291" s="20" t="inlineStr">
        <is>
          <t>DRUCK</t>
        </is>
      </c>
      <c r="E291" t="n">
        <v>3</v>
      </c>
      <c r="F291" t="inlineStr">
        <is>
          <t>p</t>
        </is>
      </c>
      <c r="G291" s="230" t="n">
        <v>1439.7</v>
      </c>
      <c r="H291" t="inlineStr">
        <is>
          <t>WSAP002Z</t>
        </is>
      </c>
      <c r="I291" t="inlineStr">
        <is>
          <t>WSAPI002</t>
        </is>
      </c>
      <c r="J291" s="4" t="n">
        <v>43192</v>
      </c>
      <c r="K291" t="inlineStr">
        <is>
          <t>2F120374D5236300000000EB</t>
        </is>
      </c>
    </row>
    <row r="292">
      <c r="A292" t="n">
        <v>3</v>
      </c>
      <c r="B292" t="inlineStr">
        <is>
          <t>SPE7M1-18-V-6107</t>
        </is>
      </c>
      <c r="C292" s="20" t="inlineStr">
        <is>
          <t>Morris Material</t>
        </is>
      </c>
      <c r="E292" t="n">
        <v>7</v>
      </c>
      <c r="F292" t="inlineStr">
        <is>
          <t>p</t>
        </is>
      </c>
      <c r="G292" s="232" t="n">
        <v>4456.06</v>
      </c>
      <c r="H292" t="inlineStr">
        <is>
          <t>WSAP003Z</t>
        </is>
      </c>
      <c r="I292" t="inlineStr">
        <is>
          <t>WSAPI003</t>
        </is>
      </c>
      <c r="J292" s="4" t="n">
        <v>43192</v>
      </c>
      <c r="K292" t="inlineStr">
        <is>
          <t>2F120374D5236300000000EC</t>
        </is>
      </c>
    </row>
    <row r="293">
      <c r="A293" t="n">
        <v>4</v>
      </c>
      <c r="B293" t="inlineStr">
        <is>
          <t>SPE4A4-18-V-2597</t>
        </is>
      </c>
      <c r="C293" s="20" t="inlineStr">
        <is>
          <t>AVIBANK</t>
        </is>
      </c>
      <c r="E293" t="n">
        <v>254</v>
      </c>
      <c r="G293" s="230" t="n">
        <v>5933.44</v>
      </c>
      <c r="H293" t="inlineStr">
        <is>
          <t>WSAP004Z</t>
        </is>
      </c>
      <c r="I293" t="inlineStr">
        <is>
          <t>WSAPI004</t>
        </is>
      </c>
      <c r="J293" s="4" t="n">
        <v>43193</v>
      </c>
      <c r="K293" t="inlineStr">
        <is>
          <t>2F120374D5236300000000ED</t>
        </is>
      </c>
    </row>
    <row r="294">
      <c r="A294" t="n">
        <v>5</v>
      </c>
      <c r="B294" t="inlineStr">
        <is>
          <t>SPE5EM-18-V-3314</t>
        </is>
      </c>
      <c r="C294" s="20" t="inlineStr">
        <is>
          <t>MOLD</t>
        </is>
      </c>
      <c r="E294" t="n">
        <v>20</v>
      </c>
      <c r="G294" s="230" t="n">
        <v>1471.8</v>
      </c>
      <c r="H294" t="inlineStr">
        <is>
          <t>WSAP005Z</t>
        </is>
      </c>
      <c r="I294" t="inlineStr">
        <is>
          <t>WSAPI005</t>
        </is>
      </c>
      <c r="J294" s="4" t="n">
        <v>43195</v>
      </c>
      <c r="K294" t="inlineStr">
        <is>
          <t>2F120374D5236300000000EE</t>
        </is>
      </c>
    </row>
    <row r="295">
      <c r="A295" t="n">
        <v>6</v>
      </c>
      <c r="B295" t="inlineStr">
        <is>
          <t>SPE5EM-18-V-3314</t>
        </is>
      </c>
      <c r="C295" s="20" t="inlineStr">
        <is>
          <t>MOLD</t>
        </is>
      </c>
      <c r="E295" t="n">
        <v>20</v>
      </c>
      <c r="G295" s="230" t="n">
        <v>1471.8</v>
      </c>
      <c r="H295" t="inlineStr">
        <is>
          <t>WSAP006Z</t>
        </is>
      </c>
      <c r="I295" t="inlineStr">
        <is>
          <t>WSAPI006</t>
        </is>
      </c>
      <c r="J295" s="4" t="n">
        <v>43195</v>
      </c>
      <c r="K295" t="inlineStr">
        <is>
          <t>2F120374D5236300000000EF</t>
        </is>
      </c>
    </row>
    <row r="296">
      <c r="A296" t="n">
        <v>7</v>
      </c>
      <c r="B296" t="inlineStr">
        <is>
          <t>SPE5EM-18-V-3314</t>
        </is>
      </c>
      <c r="C296" s="20" t="inlineStr">
        <is>
          <t>MOLD</t>
        </is>
      </c>
      <c r="E296" t="n">
        <v>20</v>
      </c>
      <c r="G296" s="230" t="n">
        <v>1471.8</v>
      </c>
      <c r="H296" t="inlineStr">
        <is>
          <t>WSAP007Z</t>
        </is>
      </c>
      <c r="I296" t="inlineStr">
        <is>
          <t>WSAPI007</t>
        </is>
      </c>
      <c r="J296" s="4" t="n">
        <v>43195</v>
      </c>
      <c r="K296" t="inlineStr">
        <is>
          <t>2F120374D5236300000000F0</t>
        </is>
      </c>
    </row>
    <row r="297">
      <c r="A297" t="n">
        <v>8</v>
      </c>
      <c r="B297" t="inlineStr">
        <is>
          <t>SPE5EM-18-V-3314</t>
        </is>
      </c>
      <c r="C297" s="20" t="inlineStr">
        <is>
          <t>MOLD</t>
        </is>
      </c>
      <c r="E297" t="n">
        <v>20</v>
      </c>
      <c r="G297" s="230" t="n">
        <v>1471.8</v>
      </c>
      <c r="H297" t="inlineStr">
        <is>
          <t>WSAP008Z</t>
        </is>
      </c>
      <c r="I297" t="inlineStr">
        <is>
          <t>WSAPI008</t>
        </is>
      </c>
      <c r="J297" s="4" t="n">
        <v>43195</v>
      </c>
      <c r="K297" t="inlineStr">
        <is>
          <t>2F120374D5236300000000F1</t>
        </is>
      </c>
    </row>
    <row r="298">
      <c r="A298" t="n">
        <v>9</v>
      </c>
      <c r="B298" t="inlineStr">
        <is>
          <t>SPE5EM-18-V-3314</t>
        </is>
      </c>
      <c r="C298" s="20" t="inlineStr">
        <is>
          <t>MOLD</t>
        </is>
      </c>
      <c r="E298" t="n">
        <v>20</v>
      </c>
      <c r="G298" s="230" t="n">
        <v>1471.8</v>
      </c>
      <c r="H298" t="inlineStr">
        <is>
          <t>WSAP009Z</t>
        </is>
      </c>
      <c r="I298" t="inlineStr">
        <is>
          <t>WSAPI009</t>
        </is>
      </c>
      <c r="J298" s="4" t="n">
        <v>43195</v>
      </c>
      <c r="K298" t="inlineStr">
        <is>
          <t>2F120374D5236300000000F2</t>
        </is>
      </c>
    </row>
    <row r="299">
      <c r="A299" t="n">
        <v>10</v>
      </c>
      <c r="B299" t="inlineStr">
        <is>
          <t>SPE5EM-18-V-3314</t>
        </is>
      </c>
      <c r="C299" s="20" t="inlineStr">
        <is>
          <t>MOLD</t>
        </is>
      </c>
      <c r="E299" t="n">
        <v>20</v>
      </c>
      <c r="G299" s="230" t="n">
        <v>1471.8</v>
      </c>
      <c r="H299" t="inlineStr">
        <is>
          <t>WSAP010Z</t>
        </is>
      </c>
      <c r="I299" t="inlineStr">
        <is>
          <t>WSAPI010</t>
        </is>
      </c>
      <c r="J299" s="4" t="n">
        <v>43195</v>
      </c>
      <c r="K299" t="inlineStr">
        <is>
          <t>2F120374D5236300000000F3</t>
        </is>
      </c>
    </row>
    <row r="300">
      <c r="A300" t="n">
        <v>11</v>
      </c>
      <c r="B300" t="inlineStr">
        <is>
          <t>SPE7M5-18-V-6063</t>
        </is>
      </c>
      <c r="C300" s="20" t="inlineStr">
        <is>
          <t>Glenair</t>
        </is>
      </c>
      <c r="E300" t="n">
        <v>1</v>
      </c>
      <c r="G300" s="230" t="n">
        <v>413.88</v>
      </c>
      <c r="H300" t="inlineStr">
        <is>
          <t>WSAP011Z</t>
        </is>
      </c>
      <c r="I300" t="inlineStr">
        <is>
          <t>WSAPI011</t>
        </is>
      </c>
      <c r="J300" s="4" t="n">
        <v>43196</v>
      </c>
      <c r="K300" t="inlineStr">
        <is>
          <t>2F120374D5236300000000F4</t>
        </is>
      </c>
    </row>
    <row r="301">
      <c r="A301" t="n">
        <v>12</v>
      </c>
      <c r="B301" t="inlineStr">
        <is>
          <t>SPE7M5-18-V-4600</t>
        </is>
      </c>
      <c r="C301" s="20" t="inlineStr">
        <is>
          <t>Glenair</t>
        </is>
      </c>
      <c r="E301" t="n">
        <v>5</v>
      </c>
      <c r="G301" s="230" t="n">
        <v>1532.1</v>
      </c>
      <c r="H301" t="inlineStr">
        <is>
          <t>WSAP012Z</t>
        </is>
      </c>
      <c r="I301" t="inlineStr">
        <is>
          <t>WSAPI012</t>
        </is>
      </c>
      <c r="J301" s="4" t="n">
        <v>43196</v>
      </c>
      <c r="K301" t="inlineStr">
        <is>
          <t>2F120374D5236300000000F5</t>
        </is>
      </c>
    </row>
    <row r="302">
      <c r="A302" t="n">
        <v>13</v>
      </c>
      <c r="B302" t="inlineStr">
        <is>
          <t>SPE7M5-18-V-4343</t>
        </is>
      </c>
      <c r="C302" s="20" t="inlineStr">
        <is>
          <t>Glenair</t>
        </is>
      </c>
      <c r="E302" t="n">
        <v>1</v>
      </c>
      <c r="G302" s="230" t="n">
        <v>2739.81</v>
      </c>
      <c r="H302" t="inlineStr">
        <is>
          <t>WSAP013Z</t>
        </is>
      </c>
      <c r="I302" t="inlineStr">
        <is>
          <t>WSAPI013</t>
        </is>
      </c>
      <c r="J302" s="4" t="n">
        <v>43196</v>
      </c>
      <c r="K302" t="inlineStr">
        <is>
          <t>2F120374D5236300000000F6</t>
        </is>
      </c>
    </row>
    <row r="303">
      <c r="A303" t="n">
        <v>14</v>
      </c>
      <c r="B303" t="inlineStr">
        <is>
          <t>SPE7MC-18-V-2782</t>
        </is>
      </c>
      <c r="C303" s="20" t="inlineStr">
        <is>
          <t>MORPAC</t>
        </is>
      </c>
      <c r="E303" t="n">
        <v>1</v>
      </c>
      <c r="G303" s="230" t="n">
        <v>4588</v>
      </c>
      <c r="H303" t="inlineStr">
        <is>
          <t>WSAP014Z</t>
        </is>
      </c>
      <c r="I303" t="inlineStr">
        <is>
          <t>WSAPI014</t>
        </is>
      </c>
      <c r="J303" s="4" t="n">
        <v>43201</v>
      </c>
      <c r="K303" t="inlineStr">
        <is>
          <t>2F120374D5236300000000F7</t>
        </is>
      </c>
    </row>
    <row r="304">
      <c r="A304" t="n">
        <v>15</v>
      </c>
      <c r="B304" t="inlineStr">
        <is>
          <t>SPE4A6-18-V-9791</t>
        </is>
      </c>
      <c r="C304" s="20" t="inlineStr">
        <is>
          <t>TotalTemp</t>
        </is>
      </c>
      <c r="E304" t="n">
        <v>4</v>
      </c>
      <c r="G304" s="230" t="n">
        <v>1139.76</v>
      </c>
      <c r="H304" t="inlineStr">
        <is>
          <t>WSAP015Z</t>
        </is>
      </c>
      <c r="I304" t="inlineStr">
        <is>
          <t>WSAPI015</t>
        </is>
      </c>
      <c r="J304" s="4" t="n">
        <v>43201</v>
      </c>
      <c r="K304" t="inlineStr">
        <is>
          <t>2F120374D5236300000000F8</t>
        </is>
      </c>
    </row>
    <row r="305">
      <c r="A305" t="n">
        <v>16</v>
      </c>
      <c r="B305" t="inlineStr">
        <is>
          <t>SPE7M0-18-V-4415</t>
        </is>
      </c>
      <c r="C305" s="20" t="inlineStr">
        <is>
          <t>GEMS</t>
        </is>
      </c>
      <c r="E305" t="n">
        <v>2</v>
      </c>
      <c r="G305" s="230" t="n">
        <v>3595.96</v>
      </c>
      <c r="H305" t="inlineStr">
        <is>
          <t>WSAP016Z</t>
        </is>
      </c>
      <c r="I305" t="inlineStr">
        <is>
          <t>WSAPI016</t>
        </is>
      </c>
      <c r="J305" s="4" t="n">
        <v>43201</v>
      </c>
      <c r="K305" t="inlineStr">
        <is>
          <t>2F120374D5236300000000F9</t>
        </is>
      </c>
    </row>
    <row r="306">
      <c r="A306" t="n">
        <v>17</v>
      </c>
      <c r="B306" t="inlineStr">
        <is>
          <t>SPE7MC-18-V-1096</t>
        </is>
      </c>
      <c r="C306" s="20" t="inlineStr">
        <is>
          <t>Glenair</t>
        </is>
      </c>
      <c r="E306" t="n">
        <v>52</v>
      </c>
      <c r="G306" s="230" t="n">
        <v>3310.84</v>
      </c>
      <c r="H306" t="inlineStr">
        <is>
          <t>WSAP017Z</t>
        </is>
      </c>
      <c r="I306" t="inlineStr">
        <is>
          <t>WSAPI017</t>
        </is>
      </c>
      <c r="J306" s="4" t="n">
        <v>43201</v>
      </c>
      <c r="K306" t="inlineStr">
        <is>
          <t>2F120374D5236300000000FA</t>
        </is>
      </c>
    </row>
    <row r="307">
      <c r="A307" t="n">
        <v>18</v>
      </c>
      <c r="B307" t="inlineStr">
        <is>
          <t>SPE7M5-18-V-4756</t>
        </is>
      </c>
      <c r="C307" s="20" t="inlineStr">
        <is>
          <t>EMS</t>
        </is>
      </c>
      <c r="E307" t="n">
        <v>1</v>
      </c>
      <c r="G307" s="230" t="n">
        <v>1252.89</v>
      </c>
      <c r="H307" t="inlineStr">
        <is>
          <t>WSAP018Z</t>
        </is>
      </c>
      <c r="I307" t="inlineStr">
        <is>
          <t>WSAPI018</t>
        </is>
      </c>
      <c r="J307" s="4" t="n">
        <v>43206</v>
      </c>
    </row>
    <row r="308">
      <c r="A308" t="n">
        <v>19</v>
      </c>
      <c r="B308" t="inlineStr">
        <is>
          <t>SPE7M5-18-V-6557</t>
        </is>
      </c>
      <c r="C308" s="66" t="inlineStr">
        <is>
          <t>Glenair Partial</t>
        </is>
      </c>
      <c r="E308" t="n">
        <v>14</v>
      </c>
      <c r="G308" s="230" t="n">
        <v>3009.16</v>
      </c>
      <c r="H308" t="inlineStr">
        <is>
          <t>WSAP019</t>
        </is>
      </c>
      <c r="I308" t="inlineStr">
        <is>
          <t>WSAPI019</t>
        </is>
      </c>
      <c r="J308" s="4" t="n">
        <v>43206</v>
      </c>
      <c r="K308" t="inlineStr">
        <is>
          <t>2F120374D5236300000000FB</t>
        </is>
      </c>
    </row>
    <row r="309">
      <c r="A309" t="n">
        <v>20</v>
      </c>
      <c r="B309" t="inlineStr">
        <is>
          <t>SPE7M2-17-P-2195</t>
        </is>
      </c>
      <c r="C309" s="20" t="inlineStr">
        <is>
          <t>Munter</t>
        </is>
      </c>
      <c r="E309" t="n">
        <v>76</v>
      </c>
      <c r="G309" s="230" t="n">
        <v>8510.48</v>
      </c>
      <c r="H309" t="inlineStr">
        <is>
          <t>WSAP020Z</t>
        </is>
      </c>
      <c r="I309" t="inlineStr">
        <is>
          <t>WSAPI020</t>
        </is>
      </c>
      <c r="J309" s="4" t="n">
        <v>43209</v>
      </c>
      <c r="K309" t="inlineStr">
        <is>
          <t>2F120374D5236300000000FC</t>
        </is>
      </c>
    </row>
    <row r="310">
      <c r="A310" t="n">
        <v>21</v>
      </c>
      <c r="B310" t="inlineStr">
        <is>
          <t>SPE5E2-18-V-2312</t>
        </is>
      </c>
      <c r="C310" s="20" t="inlineStr">
        <is>
          <t>AVIBANK</t>
        </is>
      </c>
      <c r="E310" t="n">
        <v>113</v>
      </c>
      <c r="G310" s="230" t="n">
        <v>9236.620000000001</v>
      </c>
      <c r="H310" t="inlineStr">
        <is>
          <t>WSAP021Z</t>
        </is>
      </c>
      <c r="I310" t="inlineStr">
        <is>
          <t>WSAPI021</t>
        </is>
      </c>
      <c r="J310" s="4" t="n">
        <v>43209</v>
      </c>
      <c r="K310" t="inlineStr">
        <is>
          <t>2F120374D5236300000000FD</t>
        </is>
      </c>
    </row>
    <row r="311">
      <c r="A311" t="n">
        <v>22</v>
      </c>
      <c r="B311" t="inlineStr">
        <is>
          <t>SPE5E4-18-V-5377</t>
        </is>
      </c>
      <c r="C311" s="20" t="inlineStr">
        <is>
          <t>FLOWLine</t>
        </is>
      </c>
      <c r="E311" t="n">
        <v>2</v>
      </c>
      <c r="G311" s="230" t="n">
        <v>1687.8</v>
      </c>
      <c r="H311" t="inlineStr">
        <is>
          <t>WSAP022Z</t>
        </is>
      </c>
      <c r="I311" t="inlineStr">
        <is>
          <t>WSAPI022</t>
        </is>
      </c>
      <c r="J311" s="4" t="n">
        <v>43209</v>
      </c>
    </row>
    <row r="312">
      <c r="A312" t="n">
        <v>24</v>
      </c>
      <c r="B312" t="inlineStr">
        <is>
          <t>SPE4A6-18-P-B275</t>
        </is>
      </c>
      <c r="C312" s="20" t="inlineStr">
        <is>
          <t>World Magnet</t>
        </is>
      </c>
      <c r="E312" t="n">
        <v>10</v>
      </c>
      <c r="G312" s="230" t="n">
        <v>2234.6</v>
      </c>
      <c r="H312" t="inlineStr">
        <is>
          <t>WSAP023</t>
        </is>
      </c>
      <c r="I312" t="inlineStr">
        <is>
          <t>WSAPI023</t>
        </is>
      </c>
      <c r="J312" s="4" t="n">
        <v>43213</v>
      </c>
      <c r="K312" t="inlineStr">
        <is>
          <t>2F120374D5236300000000FE</t>
        </is>
      </c>
    </row>
    <row r="313">
      <c r="A313" t="n">
        <v>25</v>
      </c>
      <c r="B313" t="inlineStr">
        <is>
          <t>SPE4A6-18-P-B275</t>
        </is>
      </c>
      <c r="C313" t="inlineStr">
        <is>
          <t>World Magnet</t>
        </is>
      </c>
      <c r="E313" t="n">
        <v>10</v>
      </c>
      <c r="G313" s="230" t="n"/>
      <c r="H313" t="inlineStr">
        <is>
          <t>WSAP024</t>
        </is>
      </c>
      <c r="I313" t="inlineStr">
        <is>
          <t>WSAPI024</t>
        </is>
      </c>
      <c r="J313" s="4" t="n">
        <v>43213</v>
      </c>
      <c r="K313" s="3" t="inlineStr">
        <is>
          <t>2F120374D5236300000000FF</t>
        </is>
      </c>
      <c r="L313" s="51" t="inlineStr">
        <is>
          <t>Void</t>
        </is>
      </c>
    </row>
    <row r="314">
      <c r="A314" t="n">
        <v>26</v>
      </c>
      <c r="B314" t="inlineStr">
        <is>
          <t>SPE4A6-18-P-B275</t>
        </is>
      </c>
      <c r="C314" s="20" t="inlineStr">
        <is>
          <t>World Magnet</t>
        </is>
      </c>
      <c r="E314" t="n">
        <v>10</v>
      </c>
      <c r="G314" s="230" t="n">
        <v>2234.6</v>
      </c>
      <c r="H314" t="inlineStr">
        <is>
          <t>WSAP025</t>
        </is>
      </c>
      <c r="I314" t="inlineStr">
        <is>
          <t>WSAPI025</t>
        </is>
      </c>
      <c r="J314" s="4" t="n">
        <v>43213</v>
      </c>
      <c r="K314" t="inlineStr">
        <is>
          <t>2F120374D523630000000100</t>
        </is>
      </c>
    </row>
    <row r="315">
      <c r="A315" t="n">
        <v>27</v>
      </c>
      <c r="B315" t="inlineStr">
        <is>
          <t>SPE4A6-18-P-B275</t>
        </is>
      </c>
      <c r="C315" s="20" t="inlineStr">
        <is>
          <t>World Magnet</t>
        </is>
      </c>
      <c r="E315" t="n">
        <v>5</v>
      </c>
      <c r="G315" s="230" t="n">
        <v>1117.3</v>
      </c>
      <c r="H315" t="inlineStr">
        <is>
          <t>WSAP026Z</t>
        </is>
      </c>
      <c r="I315" t="inlineStr">
        <is>
          <t>WSAPI026</t>
        </is>
      </c>
      <c r="J315" s="4" t="n">
        <v>43213</v>
      </c>
      <c r="K315" t="inlineStr">
        <is>
          <t>2F120374D523630000000101</t>
        </is>
      </c>
    </row>
    <row r="316">
      <c r="A316" t="n">
        <v>28</v>
      </c>
      <c r="B316" t="inlineStr">
        <is>
          <t>SPE4A6-18-P-B275</t>
        </is>
      </c>
      <c r="C316" s="20" t="inlineStr">
        <is>
          <t>World Magnet</t>
        </is>
      </c>
      <c r="E316" t="n">
        <v>10</v>
      </c>
      <c r="G316" s="230" t="n">
        <v>2234.6</v>
      </c>
      <c r="H316" t="inlineStr">
        <is>
          <t>WSAP027</t>
        </is>
      </c>
      <c r="I316" t="inlineStr">
        <is>
          <t>WSAPI027</t>
        </is>
      </c>
      <c r="J316" s="4" t="n">
        <v>43213</v>
      </c>
      <c r="K316" t="inlineStr">
        <is>
          <t>2F120374D5236300000000FF</t>
        </is>
      </c>
    </row>
    <row r="317">
      <c r="A317" t="n">
        <v>29</v>
      </c>
      <c r="B317" t="inlineStr">
        <is>
          <t>SPE7M5-18-V-3179</t>
        </is>
      </c>
      <c r="C317" s="20" t="inlineStr">
        <is>
          <t>Glenair</t>
        </is>
      </c>
      <c r="E317" t="n">
        <v>15</v>
      </c>
      <c r="G317" s="230" t="n">
        <v>13837.35</v>
      </c>
      <c r="H317" t="inlineStr">
        <is>
          <t>WSAP028Z</t>
        </is>
      </c>
      <c r="I317" t="inlineStr">
        <is>
          <t>WSAPI028</t>
        </is>
      </c>
      <c r="J317" s="4" t="n">
        <v>43213</v>
      </c>
      <c r="K317" t="inlineStr">
        <is>
          <t>2F120374D523630000000102</t>
        </is>
      </c>
    </row>
    <row r="318">
      <c r="A318" t="n">
        <v>30</v>
      </c>
      <c r="B318" t="inlineStr">
        <is>
          <t>SPE7M8-18-V-0730</t>
        </is>
      </c>
      <c r="C318" s="20" t="inlineStr">
        <is>
          <t>GEMS</t>
        </is>
      </c>
      <c r="E318" t="n">
        <v>1</v>
      </c>
      <c r="G318" s="230" t="n">
        <v>1025.48</v>
      </c>
      <c r="H318" t="inlineStr">
        <is>
          <t>WSAP029Z</t>
        </is>
      </c>
      <c r="I318" t="inlineStr">
        <is>
          <t>WSAPI029</t>
        </is>
      </c>
      <c r="J318" s="4" t="n">
        <v>43213</v>
      </c>
      <c r="K318" t="inlineStr">
        <is>
          <t>NO RFID</t>
        </is>
      </c>
    </row>
    <row r="319">
      <c r="A319" t="n">
        <v>31</v>
      </c>
      <c r="B319" t="inlineStr">
        <is>
          <t>SPE7L2-18-P-0414</t>
        </is>
      </c>
      <c r="C319" s="20" t="inlineStr">
        <is>
          <t>MORPAC</t>
        </is>
      </c>
      <c r="E319" t="n">
        <v>44</v>
      </c>
      <c r="G319" s="230" t="n">
        <v>762.52</v>
      </c>
      <c r="H319" t="inlineStr">
        <is>
          <t>WSAP030Z</t>
        </is>
      </c>
      <c r="I319" t="inlineStr">
        <is>
          <t>WSAPI030</t>
        </is>
      </c>
      <c r="J319" s="4" t="n">
        <v>43214</v>
      </c>
      <c r="K319" t="inlineStr">
        <is>
          <t>2F120374D523630000000103</t>
        </is>
      </c>
    </row>
    <row r="320">
      <c r="A320" t="n">
        <v>32</v>
      </c>
      <c r="B320" t="inlineStr">
        <is>
          <t>SPE7MC-18-V-5245</t>
        </is>
      </c>
      <c r="C320" s="20" t="inlineStr">
        <is>
          <t>DITMCO</t>
        </is>
      </c>
      <c r="E320" t="n">
        <v>20</v>
      </c>
      <c r="G320" s="230" t="n">
        <v>2239.2</v>
      </c>
      <c r="H320" t="inlineStr">
        <is>
          <t>WSAP031Z</t>
        </is>
      </c>
      <c r="I320" t="inlineStr">
        <is>
          <t>WSAPI031</t>
        </is>
      </c>
      <c r="J320" s="4" t="n">
        <v>43214</v>
      </c>
      <c r="K320" t="inlineStr">
        <is>
          <t>2F120374D523630000000104</t>
        </is>
      </c>
    </row>
    <row r="321">
      <c r="A321" t="n">
        <v>33</v>
      </c>
      <c r="B321" t="inlineStr">
        <is>
          <t>SPE7MC-18-V-5245</t>
        </is>
      </c>
      <c r="C321" s="20" t="inlineStr">
        <is>
          <t>DITMCO</t>
        </is>
      </c>
      <c r="E321" t="n">
        <v>50</v>
      </c>
      <c r="G321" s="230" t="n">
        <v>5598</v>
      </c>
      <c r="H321" t="inlineStr">
        <is>
          <t>WSAP032</t>
        </is>
      </c>
      <c r="I321" t="inlineStr">
        <is>
          <t>WSAPI032</t>
        </is>
      </c>
      <c r="J321" s="4" t="n">
        <v>43214</v>
      </c>
      <c r="K321" t="inlineStr">
        <is>
          <t>2F120374D523630000000105</t>
        </is>
      </c>
    </row>
    <row r="322">
      <c r="A322" t="n">
        <v>34</v>
      </c>
      <c r="B322" t="inlineStr">
        <is>
          <t>SPE7MC-18-V-5245</t>
        </is>
      </c>
      <c r="C322" s="20" t="inlineStr">
        <is>
          <t>DITMCO</t>
        </is>
      </c>
      <c r="E322" t="n">
        <v>50</v>
      </c>
      <c r="G322" s="230" t="n">
        <v>5598</v>
      </c>
      <c r="H322" t="inlineStr">
        <is>
          <t>WSAP033</t>
        </is>
      </c>
      <c r="I322" t="inlineStr">
        <is>
          <t>WSAPI033</t>
        </is>
      </c>
      <c r="J322" s="4" t="n">
        <v>43214</v>
      </c>
      <c r="K322" t="inlineStr">
        <is>
          <t>2F120374D523630000000106</t>
        </is>
      </c>
    </row>
    <row r="323">
      <c r="A323" t="n">
        <v>35</v>
      </c>
      <c r="B323" t="inlineStr">
        <is>
          <t>SPE7MC-18-V-5245</t>
        </is>
      </c>
      <c r="C323" s="20" t="inlineStr">
        <is>
          <t>DITMCO</t>
        </is>
      </c>
      <c r="E323" t="n">
        <v>15</v>
      </c>
      <c r="G323" s="230" t="n">
        <v>1679.4</v>
      </c>
      <c r="H323" t="inlineStr">
        <is>
          <t>WSAP034Z</t>
        </is>
      </c>
      <c r="I323" t="inlineStr">
        <is>
          <t>WSAPI034</t>
        </is>
      </c>
      <c r="J323" s="4" t="n">
        <v>43214</v>
      </c>
      <c r="K323" t="inlineStr">
        <is>
          <t>2F120374D523630000000107</t>
        </is>
      </c>
    </row>
    <row r="324">
      <c r="A324" t="n">
        <v>36</v>
      </c>
      <c r="B324" t="inlineStr">
        <is>
          <t>SPE7MC-18-V-4446</t>
        </is>
      </c>
      <c r="C324" s="20" t="inlineStr">
        <is>
          <t>WMNUGENT</t>
        </is>
      </c>
      <c r="E324" t="n">
        <v>15</v>
      </c>
      <c r="G324" s="230" t="n">
        <v>1929</v>
      </c>
      <c r="H324" t="inlineStr">
        <is>
          <t>WSAP035Z</t>
        </is>
      </c>
      <c r="I324" t="inlineStr">
        <is>
          <t>WSAPI035</t>
        </is>
      </c>
      <c r="J324" s="4" t="n">
        <v>43214</v>
      </c>
      <c r="K324" t="inlineStr">
        <is>
          <t>2F120374D523630000000108</t>
        </is>
      </c>
    </row>
    <row r="325">
      <c r="A325" t="n">
        <v>37</v>
      </c>
      <c r="B325" t="inlineStr">
        <is>
          <t>SPE7M5-18-V-6397</t>
        </is>
      </c>
      <c r="C325" s="20" t="inlineStr">
        <is>
          <t>C&amp;S</t>
        </is>
      </c>
      <c r="E325" t="n">
        <v>1</v>
      </c>
      <c r="G325" s="232" t="n">
        <v>3786.8</v>
      </c>
      <c r="H325" t="inlineStr">
        <is>
          <t>WSAP036Z</t>
        </is>
      </c>
      <c r="I325" t="inlineStr">
        <is>
          <t>WSAPI036</t>
        </is>
      </c>
      <c r="J325" s="4" t="n">
        <v>43216</v>
      </c>
      <c r="K325" t="inlineStr">
        <is>
          <t>2F120374D523630000000109</t>
        </is>
      </c>
    </row>
    <row r="326">
      <c r="A326" t="n">
        <v>38</v>
      </c>
      <c r="B326" t="inlineStr">
        <is>
          <t>SPE5E7-18-V-1295</t>
        </is>
      </c>
      <c r="C326" s="20" t="inlineStr">
        <is>
          <t>NAFCO</t>
        </is>
      </c>
      <c r="E326" t="n">
        <v>10</v>
      </c>
      <c r="G326" s="230" t="n">
        <v>6949.4</v>
      </c>
      <c r="H326" t="inlineStr">
        <is>
          <t>WSAP037Z</t>
        </is>
      </c>
      <c r="I326" t="inlineStr">
        <is>
          <t>WSAPI037</t>
        </is>
      </c>
      <c r="J326" s="4" t="n">
        <v>43217</v>
      </c>
      <c r="K326" t="inlineStr">
        <is>
          <t>2F120374D52363000000010A</t>
        </is>
      </c>
    </row>
    <row r="327">
      <c r="A327" t="n">
        <v>39</v>
      </c>
      <c r="B327" t="inlineStr">
        <is>
          <t>SPE7M0-18-V-6205</t>
        </is>
      </c>
      <c r="C327" s="20" t="inlineStr">
        <is>
          <t>MAFO</t>
        </is>
      </c>
      <c r="E327" t="n">
        <v>64</v>
      </c>
      <c r="G327" s="230" t="n">
        <v>10525.44</v>
      </c>
      <c r="H327" t="inlineStr">
        <is>
          <t>WSAP038Z</t>
        </is>
      </c>
      <c r="I327" t="inlineStr">
        <is>
          <t>WSAPI038</t>
        </is>
      </c>
      <c r="J327" s="4" t="n">
        <v>43217</v>
      </c>
      <c r="K327" t="inlineStr">
        <is>
          <t>2F120374D52363000000010B</t>
        </is>
      </c>
    </row>
    <row r="328">
      <c r="A328" t="n">
        <v>40</v>
      </c>
      <c r="C328" s="20" t="inlineStr">
        <is>
          <t>Sauer</t>
        </is>
      </c>
      <c r="E328" t="n">
        <v>7</v>
      </c>
      <c r="G328" s="230" t="n">
        <v>990.01</v>
      </c>
      <c r="H328" t="inlineStr">
        <is>
          <t>WSAP039Z</t>
        </is>
      </c>
      <c r="I328" t="inlineStr">
        <is>
          <t>WSAPI039</t>
        </is>
      </c>
      <c r="J328" s="4" t="n">
        <v>43217</v>
      </c>
      <c r="K328" t="inlineStr">
        <is>
          <t>2F120374D52363000000010C</t>
        </is>
      </c>
    </row>
    <row r="329">
      <c r="A329" t="n">
        <v>41</v>
      </c>
      <c r="B329" t="inlineStr">
        <is>
          <t>SPE7M5-18-P-4816</t>
        </is>
      </c>
      <c r="C329" s="20" t="inlineStr">
        <is>
          <t>ITT</t>
        </is>
      </c>
      <c r="E329" t="n">
        <v>2</v>
      </c>
      <c r="G329" s="230" t="n">
        <v>1186.06</v>
      </c>
      <c r="H329" t="inlineStr">
        <is>
          <t>WSAP040Z</t>
        </is>
      </c>
      <c r="I329" t="inlineStr">
        <is>
          <t>WSAPI040</t>
        </is>
      </c>
      <c r="J329" s="4" t="n">
        <v>43217</v>
      </c>
      <c r="K329" t="inlineStr">
        <is>
          <t>2F120374D52363000000010D</t>
        </is>
      </c>
    </row>
    <row r="330">
      <c r="A330" t="n">
        <v>42</v>
      </c>
      <c r="B330" t="inlineStr">
        <is>
          <t>SPE7M5-18-P-4816</t>
        </is>
      </c>
      <c r="C330" s="20" t="inlineStr">
        <is>
          <t>ITT</t>
        </is>
      </c>
      <c r="E330" t="n">
        <v>23</v>
      </c>
      <c r="G330" s="230" t="n">
        <v>13639.64</v>
      </c>
      <c r="H330" t="inlineStr">
        <is>
          <t>WSAP041Z</t>
        </is>
      </c>
      <c r="I330" t="inlineStr">
        <is>
          <t>WSAPI041</t>
        </is>
      </c>
      <c r="J330" s="4" t="n">
        <v>43217</v>
      </c>
      <c r="K330" t="inlineStr">
        <is>
          <t>2F120374D52363000000010E</t>
        </is>
      </c>
    </row>
    <row r="331">
      <c r="A331" t="n">
        <v>43</v>
      </c>
      <c r="B331" t="inlineStr">
        <is>
          <t>SPE7MC18V4064</t>
        </is>
      </c>
      <c r="C331" s="20" t="inlineStr">
        <is>
          <t>Glenair return</t>
        </is>
      </c>
      <c r="E331" t="n">
        <v>250</v>
      </c>
      <c r="G331" s="230" t="n">
        <v>3777.5</v>
      </c>
      <c r="H331" t="inlineStr">
        <is>
          <t>WSAP042Z</t>
        </is>
      </c>
      <c r="I331" t="inlineStr">
        <is>
          <t>WSAPI042</t>
        </is>
      </c>
      <c r="J331" s="4" t="n">
        <v>43217</v>
      </c>
      <c r="K331" t="inlineStr">
        <is>
          <t>2F120374D52363000000010F</t>
        </is>
      </c>
    </row>
    <row r="332">
      <c r="A332" t="n">
        <v>44</v>
      </c>
      <c r="B332" t="inlineStr">
        <is>
          <t>SPE7M5-18-V-4992</t>
        </is>
      </c>
      <c r="C332" s="20" t="inlineStr">
        <is>
          <t>Glenair</t>
        </is>
      </c>
      <c r="E332" t="n">
        <v>8</v>
      </c>
      <c r="G332" s="230" t="n">
        <v>2413.76</v>
      </c>
      <c r="H332" t="inlineStr">
        <is>
          <t>WSAP043Z</t>
        </is>
      </c>
      <c r="I332" t="inlineStr">
        <is>
          <t>WSAPI043</t>
        </is>
      </c>
      <c r="J332" s="4" t="n">
        <v>43217</v>
      </c>
      <c r="K332" t="inlineStr">
        <is>
          <t>2F120374D523630000000110</t>
        </is>
      </c>
    </row>
    <row r="333">
      <c r="G333" s="230" t="n"/>
      <c r="J333" s="4" t="n"/>
    </row>
    <row r="334">
      <c r="A334" t="n">
        <v>1</v>
      </c>
      <c r="B334" t="inlineStr">
        <is>
          <t>SPE7M0-18-P-2764</t>
        </is>
      </c>
      <c r="C334" s="20" t="inlineStr">
        <is>
          <t>Stedhim</t>
        </is>
      </c>
      <c r="E334" s="51" t="n">
        <v>1</v>
      </c>
      <c r="G334" s="230" t="n">
        <v>122.2</v>
      </c>
      <c r="H334" t="inlineStr">
        <is>
          <t>WSAP044Z</t>
        </is>
      </c>
      <c r="I334" t="inlineStr">
        <is>
          <t>WSAPI044</t>
        </is>
      </c>
      <c r="J334" s="4" t="n">
        <v>43221</v>
      </c>
      <c r="K334" t="inlineStr">
        <is>
          <t>NO RFID</t>
        </is>
      </c>
    </row>
    <row r="335">
      <c r="A335" t="n">
        <v>2</v>
      </c>
      <c r="B335" t="inlineStr">
        <is>
          <t>SPE5E8-18-V-1538</t>
        </is>
      </c>
      <c r="C335" s="20" t="inlineStr">
        <is>
          <t>AVIBANK</t>
        </is>
      </c>
      <c r="E335" t="n">
        <v>544</v>
      </c>
      <c r="F335" t="inlineStr">
        <is>
          <t>p</t>
        </is>
      </c>
      <c r="G335" s="230" t="n">
        <v>15906.56</v>
      </c>
      <c r="H335" t="inlineStr">
        <is>
          <t>WSAP045Z</t>
        </is>
      </c>
      <c r="I335" t="inlineStr">
        <is>
          <t>WSAPI045</t>
        </is>
      </c>
      <c r="J335" s="4" t="n">
        <v>43221</v>
      </c>
      <c r="K335" t="inlineStr">
        <is>
          <t>2F120374D523630000000111</t>
        </is>
      </c>
    </row>
    <row r="336">
      <c r="A336" t="n">
        <v>3</v>
      </c>
      <c r="B336" t="inlineStr">
        <is>
          <t>SPE7M5-18-V-5491</t>
        </is>
      </c>
      <c r="C336" s="20" t="inlineStr">
        <is>
          <t>Glenair</t>
        </is>
      </c>
      <c r="E336" t="n">
        <v>9</v>
      </c>
      <c r="G336" s="230" t="n">
        <v>2293.11</v>
      </c>
      <c r="H336" t="inlineStr">
        <is>
          <t>WSAP046Z</t>
        </is>
      </c>
      <c r="I336" t="inlineStr">
        <is>
          <t>WSAPI046</t>
        </is>
      </c>
      <c r="J336" s="4" t="n">
        <v>43221</v>
      </c>
      <c r="K336" t="inlineStr">
        <is>
          <t>2F120374D523630000000112</t>
        </is>
      </c>
    </row>
    <row r="337">
      <c r="A337" t="n">
        <v>4</v>
      </c>
      <c r="B337" t="inlineStr">
        <is>
          <t>SPE5E4-18-V-3731</t>
        </is>
      </c>
      <c r="C337" s="20" t="inlineStr">
        <is>
          <t>AVIBANK</t>
        </is>
      </c>
      <c r="E337" t="n">
        <v>18</v>
      </c>
      <c r="F337" t="inlineStr">
        <is>
          <t>p</t>
        </is>
      </c>
      <c r="G337" s="230" t="n">
        <v>2925</v>
      </c>
      <c r="H337" t="inlineStr">
        <is>
          <t>WSAP047Z</t>
        </is>
      </c>
      <c r="I337" t="inlineStr">
        <is>
          <t>WSAPI047</t>
        </is>
      </c>
      <c r="J337" s="4" t="n">
        <v>43221</v>
      </c>
      <c r="K337" t="inlineStr">
        <is>
          <t>2F120374D523630000000113</t>
        </is>
      </c>
    </row>
    <row r="338">
      <c r="A338" t="n">
        <v>5</v>
      </c>
      <c r="B338" t="inlineStr">
        <is>
          <t>SPE7L0-18-V-5135</t>
        </is>
      </c>
      <c r="C338" s="20" t="inlineStr">
        <is>
          <t>Munter</t>
        </is>
      </c>
      <c r="E338" t="n">
        <v>18</v>
      </c>
      <c r="F338" t="inlineStr">
        <is>
          <t>p</t>
        </is>
      </c>
      <c r="G338" s="230" t="n">
        <v>1311.66</v>
      </c>
      <c r="H338" t="inlineStr">
        <is>
          <t>WSAP048Z</t>
        </is>
      </c>
      <c r="I338" t="inlineStr">
        <is>
          <t>WSAPI048</t>
        </is>
      </c>
      <c r="J338" s="4" t="n">
        <v>43221</v>
      </c>
      <c r="K338" t="inlineStr">
        <is>
          <t>2F120374D523630000000114</t>
        </is>
      </c>
    </row>
    <row r="339">
      <c r="A339" t="n">
        <v>6</v>
      </c>
      <c r="B339" t="inlineStr">
        <is>
          <t>SPE7MC-18-V-1179</t>
        </is>
      </c>
      <c r="C339" s="20" t="inlineStr">
        <is>
          <t>PREESE</t>
        </is>
      </c>
      <c r="E339" t="n">
        <v>1</v>
      </c>
      <c r="F339" t="inlineStr">
        <is>
          <t>p</t>
        </is>
      </c>
      <c r="G339" s="230" t="n">
        <v>11940</v>
      </c>
      <c r="H339" t="inlineStr">
        <is>
          <t>WSAP049Z</t>
        </is>
      </c>
      <c r="I339" t="inlineStr">
        <is>
          <t>WSAPI049</t>
        </is>
      </c>
      <c r="J339" s="4" t="n">
        <v>43221</v>
      </c>
      <c r="K339" t="inlineStr">
        <is>
          <t>2F120374D523630000000115</t>
        </is>
      </c>
    </row>
    <row r="340">
      <c r="A340" t="n">
        <v>7</v>
      </c>
      <c r="B340" s="49" t="inlineStr">
        <is>
          <t>SPE5EJ-18-P-1062</t>
        </is>
      </c>
      <c r="C340" s="20" t="inlineStr">
        <is>
          <t>C&amp;S</t>
        </is>
      </c>
      <c r="E340" t="n">
        <v>5</v>
      </c>
      <c r="F340" t="inlineStr">
        <is>
          <t>p</t>
        </is>
      </c>
      <c r="G340" s="230" t="n">
        <v>1937</v>
      </c>
      <c r="H340" t="inlineStr">
        <is>
          <t>WSAP050Z</t>
        </is>
      </c>
      <c r="I340" t="inlineStr">
        <is>
          <t>WSAPI050</t>
        </is>
      </c>
      <c r="J340" s="4" t="n">
        <v>43222</v>
      </c>
      <c r="K340" t="inlineStr">
        <is>
          <t>2F120374D523630000000116</t>
        </is>
      </c>
    </row>
    <row r="341">
      <c r="A341" t="n">
        <v>8</v>
      </c>
      <c r="B341" t="inlineStr">
        <is>
          <t>SPE7MC-18-V-3417</t>
        </is>
      </c>
      <c r="C341" s="20" t="inlineStr">
        <is>
          <t>Glenair</t>
        </is>
      </c>
      <c r="E341" t="n">
        <v>3</v>
      </c>
      <c r="G341" s="230" t="n">
        <v>2434.92</v>
      </c>
      <c r="H341" t="inlineStr">
        <is>
          <t>WSAP051</t>
        </is>
      </c>
      <c r="I341" t="inlineStr">
        <is>
          <t>WSAPI051</t>
        </is>
      </c>
      <c r="J341" s="4" t="n">
        <v>43222</v>
      </c>
      <c r="K341" t="inlineStr">
        <is>
          <t>2F120374D523630000000117</t>
        </is>
      </c>
    </row>
    <row r="342">
      <c r="A342" t="n">
        <v>9</v>
      </c>
      <c r="B342" t="inlineStr">
        <is>
          <t>SPE7MC-18-V-2384</t>
        </is>
      </c>
      <c r="C342" s="20" t="inlineStr">
        <is>
          <t>Pheonix</t>
        </is>
      </c>
      <c r="E342" t="n">
        <v>226</v>
      </c>
      <c r="F342" t="inlineStr">
        <is>
          <t>p</t>
        </is>
      </c>
      <c r="G342" s="230" t="n">
        <v>13562.66</v>
      </c>
      <c r="H342" t="inlineStr">
        <is>
          <t>WSAP052Z</t>
        </is>
      </c>
      <c r="I342" t="inlineStr">
        <is>
          <t>WSAPI052</t>
        </is>
      </c>
      <c r="J342" s="4" t="n">
        <v>43222</v>
      </c>
      <c r="K342" t="inlineStr">
        <is>
          <t>2F120374D523630000000118</t>
        </is>
      </c>
    </row>
    <row r="343">
      <c r="A343" t="n">
        <v>10</v>
      </c>
      <c r="B343" t="inlineStr">
        <is>
          <t>SPE7M5-18-V-6179</t>
        </is>
      </c>
      <c r="C343" s="20" t="inlineStr">
        <is>
          <t>Pheonix</t>
        </is>
      </c>
      <c r="E343" t="n">
        <v>27</v>
      </c>
      <c r="F343" t="inlineStr">
        <is>
          <t>p</t>
        </is>
      </c>
      <c r="G343" s="232" t="n">
        <v>5371.38</v>
      </c>
      <c r="H343" t="inlineStr">
        <is>
          <t>WSAP053Z</t>
        </is>
      </c>
      <c r="I343" t="inlineStr">
        <is>
          <t>WSAPI053</t>
        </is>
      </c>
      <c r="J343" s="4" t="n">
        <v>43222</v>
      </c>
      <c r="K343" t="inlineStr">
        <is>
          <t>2F120374D523630000000119</t>
        </is>
      </c>
    </row>
    <row r="344">
      <c r="A344" t="n">
        <v>11</v>
      </c>
      <c r="B344" t="inlineStr">
        <is>
          <t>SPE4A6-18-V-025A</t>
        </is>
      </c>
      <c r="C344" s="20" t="inlineStr">
        <is>
          <t>Sauer</t>
        </is>
      </c>
      <c r="E344" t="n">
        <v>13</v>
      </c>
      <c r="F344" t="inlineStr">
        <is>
          <t>p</t>
        </is>
      </c>
      <c r="G344" s="230" t="n">
        <v>537.6799999999999</v>
      </c>
      <c r="H344" t="inlineStr">
        <is>
          <t>WSAP054Z</t>
        </is>
      </c>
      <c r="I344" t="inlineStr">
        <is>
          <t>WSAPI054</t>
        </is>
      </c>
      <c r="J344" s="4" t="n">
        <v>43223</v>
      </c>
      <c r="K344" t="inlineStr">
        <is>
          <t>2F120374D52363000000011A</t>
        </is>
      </c>
    </row>
    <row r="345">
      <c r="A345" t="n">
        <v>12</v>
      </c>
      <c r="B345" t="inlineStr">
        <is>
          <t>SPE7L3-18-V-5197</t>
        </is>
      </c>
      <c r="C345" s="20" t="inlineStr">
        <is>
          <t>MAFCO</t>
        </is>
      </c>
      <c r="E345" t="n">
        <v>132</v>
      </c>
      <c r="F345" t="inlineStr">
        <is>
          <t>p</t>
        </is>
      </c>
      <c r="G345" s="230" t="n">
        <v>12524.16</v>
      </c>
      <c r="H345" t="inlineStr">
        <is>
          <t>WSAP055Z</t>
        </is>
      </c>
      <c r="I345" t="inlineStr">
        <is>
          <t>WSAPI055</t>
        </is>
      </c>
      <c r="J345" s="4" t="n">
        <v>43223</v>
      </c>
      <c r="K345" t="inlineStr">
        <is>
          <t>2F120374D52363000000011B</t>
        </is>
      </c>
    </row>
    <row r="346">
      <c r="G346" s="230" t="n">
        <v>0</v>
      </c>
    </row>
    <row r="347">
      <c r="A347" t="n">
        <v>13</v>
      </c>
      <c r="B347" t="inlineStr">
        <is>
          <t>SPE7M1-18-V-7788</t>
        </is>
      </c>
      <c r="C347" s="20" t="inlineStr">
        <is>
          <t>Pheonix</t>
        </is>
      </c>
      <c r="E347" t="n">
        <v>2</v>
      </c>
      <c r="F347" t="inlineStr">
        <is>
          <t>p</t>
        </is>
      </c>
      <c r="G347" s="230" t="n">
        <v>6084</v>
      </c>
      <c r="H347" t="inlineStr">
        <is>
          <t>WSAP057Z</t>
        </is>
      </c>
      <c r="I347" t="inlineStr">
        <is>
          <t>WSAPI057</t>
        </is>
      </c>
      <c r="J347" s="4" t="n">
        <v>43223</v>
      </c>
      <c r="K347" t="inlineStr">
        <is>
          <t>2F120374D52363000000011D</t>
        </is>
      </c>
    </row>
    <row r="348">
      <c r="A348" t="n">
        <v>14</v>
      </c>
      <c r="B348" t="inlineStr">
        <is>
          <t>SPE7M4-18-P-0236</t>
        </is>
      </c>
      <c r="C348" s="66" t="inlineStr">
        <is>
          <t>PREESE Partial</t>
        </is>
      </c>
      <c r="E348" t="n">
        <v>3</v>
      </c>
      <c r="G348" s="230" t="n">
        <v>15676.8</v>
      </c>
      <c r="H348" t="inlineStr">
        <is>
          <t>WSAP058Z</t>
        </is>
      </c>
      <c r="I348" t="inlineStr">
        <is>
          <t>WSAPI058</t>
        </is>
      </c>
      <c r="J348" s="4" t="n">
        <v>43223</v>
      </c>
      <c r="K348" t="inlineStr">
        <is>
          <t>2F120374D52363000000011C</t>
        </is>
      </c>
    </row>
    <row r="349">
      <c r="A349" t="n">
        <v>15</v>
      </c>
      <c r="B349" t="inlineStr">
        <is>
          <t>SPE7M5-18-V-6898</t>
        </is>
      </c>
      <c r="C349" s="20" t="inlineStr">
        <is>
          <t>National</t>
        </is>
      </c>
      <c r="E349" t="n">
        <v>1</v>
      </c>
      <c r="F349" t="inlineStr">
        <is>
          <t>p</t>
        </is>
      </c>
      <c r="G349" s="230" t="n">
        <v>1008.98</v>
      </c>
      <c r="H349" t="inlineStr">
        <is>
          <t>WSMY015Z</t>
        </is>
      </c>
      <c r="I349" t="inlineStr">
        <is>
          <t>WSMYI015</t>
        </is>
      </c>
      <c r="J349" s="4" t="n">
        <v>43225</v>
      </c>
      <c r="K349" t="inlineStr">
        <is>
          <t>2F120374D52363000000011E</t>
        </is>
      </c>
    </row>
    <row r="350">
      <c r="A350" t="n">
        <v>16</v>
      </c>
      <c r="B350" t="inlineStr">
        <is>
          <t>SPE7M5-18-V-7336</t>
        </is>
      </c>
      <c r="C350" s="20" t="inlineStr">
        <is>
          <t>Glenair</t>
        </is>
      </c>
      <c r="E350" t="n">
        <v>2</v>
      </c>
      <c r="G350" s="230" t="n">
        <v>1113.64</v>
      </c>
      <c r="H350" t="inlineStr">
        <is>
          <t>WSMY016Z</t>
        </is>
      </c>
      <c r="I350" t="inlineStr">
        <is>
          <t>WSMYI016</t>
        </is>
      </c>
      <c r="J350" s="4" t="n">
        <v>43225</v>
      </c>
      <c r="K350" t="inlineStr">
        <is>
          <t>2F120374D52363000000011F</t>
        </is>
      </c>
    </row>
    <row r="351">
      <c r="A351" t="n">
        <v>17</v>
      </c>
      <c r="B351" t="inlineStr">
        <is>
          <t>SPE7M8-18-P-2016</t>
        </is>
      </c>
      <c r="C351" s="20" t="inlineStr">
        <is>
          <t>GEMS</t>
        </is>
      </c>
      <c r="E351" t="n">
        <v>13</v>
      </c>
      <c r="G351" s="230" t="n">
        <v>6742.32</v>
      </c>
      <c r="H351" t="inlineStr">
        <is>
          <t>WSMY017</t>
        </is>
      </c>
      <c r="I351" t="inlineStr">
        <is>
          <t>WSMYI017</t>
        </is>
      </c>
      <c r="J351" s="4" t="n">
        <v>43231</v>
      </c>
      <c r="K351" t="inlineStr">
        <is>
          <t>2F120374D523630000000120</t>
        </is>
      </c>
    </row>
    <row r="352">
      <c r="A352" t="n">
        <v>18</v>
      </c>
      <c r="B352" t="inlineStr">
        <is>
          <t>SPE7M8-18-P-2016</t>
        </is>
      </c>
      <c r="C352" s="20" t="inlineStr">
        <is>
          <t>GEMS</t>
        </is>
      </c>
      <c r="E352" t="n">
        <v>16</v>
      </c>
      <c r="G352" s="230" t="n">
        <v>8298.24</v>
      </c>
      <c r="H352" t="inlineStr">
        <is>
          <t>WSMY018Z</t>
        </is>
      </c>
      <c r="I352" t="inlineStr">
        <is>
          <t>WSMYI018</t>
        </is>
      </c>
      <c r="J352" s="4" t="n">
        <v>43231</v>
      </c>
      <c r="K352" t="inlineStr">
        <is>
          <t>2F120374D523630000000121</t>
        </is>
      </c>
    </row>
    <row r="353">
      <c r="A353" t="n">
        <v>19</v>
      </c>
      <c r="B353" t="inlineStr">
        <is>
          <t>SPE7M8-18-P-1567</t>
        </is>
      </c>
      <c r="C353" s="20" t="inlineStr">
        <is>
          <t>GEMS</t>
        </is>
      </c>
      <c r="E353" t="n">
        <v>1</v>
      </c>
      <c r="G353" s="230" t="n">
        <v>6863.44</v>
      </c>
      <c r="H353" t="inlineStr">
        <is>
          <t>WSMY019</t>
        </is>
      </c>
      <c r="I353" t="inlineStr">
        <is>
          <t>WSMYI019</t>
        </is>
      </c>
      <c r="J353" s="4" t="n">
        <v>43231</v>
      </c>
      <c r="K353" t="inlineStr">
        <is>
          <t>2F120374D523630000000122</t>
        </is>
      </c>
    </row>
    <row r="354">
      <c r="A354" t="n">
        <v>20</v>
      </c>
      <c r="B354" t="inlineStr">
        <is>
          <t>SPE7M8-18-P-1567</t>
        </is>
      </c>
      <c r="C354" s="20" t="inlineStr">
        <is>
          <t>GEMS</t>
        </is>
      </c>
      <c r="E354" t="n">
        <v>1</v>
      </c>
      <c r="G354" s="230" t="n">
        <v>6863.44</v>
      </c>
      <c r="H354" t="inlineStr">
        <is>
          <t>WSMY020Z</t>
        </is>
      </c>
      <c r="I354" t="inlineStr">
        <is>
          <t>WSMYI020</t>
        </is>
      </c>
      <c r="J354" s="4" t="n">
        <v>43231</v>
      </c>
      <c r="K354" t="inlineStr">
        <is>
          <t>2F120374D523630000000123</t>
        </is>
      </c>
    </row>
    <row r="355">
      <c r="A355" t="n">
        <v>21</v>
      </c>
      <c r="B355" t="inlineStr">
        <is>
          <t>SPE7MC-18-V-5265</t>
        </is>
      </c>
      <c r="C355" s="20" t="inlineStr">
        <is>
          <t>Glenair</t>
        </is>
      </c>
      <c r="E355" t="n">
        <v>19</v>
      </c>
      <c r="G355" s="230" t="n">
        <v>5941.3</v>
      </c>
      <c r="H355" t="inlineStr">
        <is>
          <t>WSMY021Z</t>
        </is>
      </c>
      <c r="I355" t="inlineStr">
        <is>
          <t>WSMYI021</t>
        </is>
      </c>
      <c r="J355" s="4" t="n">
        <v>43231</v>
      </c>
      <c r="K355" t="inlineStr">
        <is>
          <t>2F120374D523630000000124</t>
        </is>
      </c>
    </row>
    <row r="356">
      <c r="A356" t="n">
        <v>22</v>
      </c>
      <c r="B356" t="inlineStr">
        <is>
          <t>SPE7M3-18-V-2423</t>
        </is>
      </c>
      <c r="C356" s="20" t="inlineStr">
        <is>
          <t>Rosetaer</t>
        </is>
      </c>
      <c r="E356" t="n">
        <v>20</v>
      </c>
      <c r="F356" t="inlineStr">
        <is>
          <t>p</t>
        </is>
      </c>
      <c r="G356" s="230" t="n">
        <v>12336</v>
      </c>
      <c r="H356" t="inlineStr">
        <is>
          <t>WSMY022Z</t>
        </is>
      </c>
      <c r="I356" t="inlineStr">
        <is>
          <t>WSMYI022</t>
        </is>
      </c>
      <c r="K356" t="inlineStr">
        <is>
          <t>2F120374D523630000000125</t>
        </is>
      </c>
    </row>
    <row r="357">
      <c r="A357" t="n">
        <v>23</v>
      </c>
      <c r="B357" t="inlineStr">
        <is>
          <t>SPE8EN-18-P-7057</t>
        </is>
      </c>
      <c r="C357" s="20" t="inlineStr">
        <is>
          <t>GEMS</t>
        </is>
      </c>
      <c r="E357" t="n">
        <v>1</v>
      </c>
      <c r="G357" s="230" t="n">
        <v>6748.81</v>
      </c>
      <c r="H357" t="inlineStr">
        <is>
          <t>WSMY023Z</t>
        </is>
      </c>
      <c r="I357" t="inlineStr">
        <is>
          <t>WSMYI023</t>
        </is>
      </c>
      <c r="J357" s="4" t="n">
        <v>43235</v>
      </c>
      <c r="K357" t="inlineStr">
        <is>
          <t>NO RFID</t>
        </is>
      </c>
    </row>
    <row r="358">
      <c r="A358" t="n">
        <v>24</v>
      </c>
      <c r="B358" t="inlineStr">
        <is>
          <t>SPE7L7-18-V-1215</t>
        </is>
      </c>
      <c r="C358" s="20" t="inlineStr">
        <is>
          <t>Ultravolt</t>
        </is>
      </c>
      <c r="E358" t="n">
        <v>2</v>
      </c>
      <c r="F358" t="inlineStr">
        <is>
          <t>p</t>
        </is>
      </c>
      <c r="G358" s="230" t="n">
        <v>2654</v>
      </c>
      <c r="H358" t="inlineStr">
        <is>
          <t>WSMY024Z</t>
        </is>
      </c>
      <c r="I358" t="inlineStr">
        <is>
          <t>WSMYI024</t>
        </is>
      </c>
      <c r="J358" s="4" t="n">
        <v>43235</v>
      </c>
      <c r="K358" t="inlineStr">
        <is>
          <t>2F120374D523630000000126</t>
        </is>
      </c>
    </row>
    <row r="359">
      <c r="A359" t="n">
        <v>25</v>
      </c>
      <c r="B359" t="inlineStr">
        <is>
          <t>SPE7MC-18-P-3402</t>
        </is>
      </c>
      <c r="C359" s="20" t="inlineStr">
        <is>
          <t>WorldMagnet</t>
        </is>
      </c>
      <c r="E359" t="n">
        <v>19</v>
      </c>
      <c r="F359" t="inlineStr">
        <is>
          <t>p</t>
        </is>
      </c>
      <c r="G359" s="230" t="n">
        <v>3796.96</v>
      </c>
      <c r="H359" t="inlineStr">
        <is>
          <t>WSMY025Z</t>
        </is>
      </c>
      <c r="I359" t="inlineStr">
        <is>
          <t>WSMYI025</t>
        </is>
      </c>
      <c r="J359" s="4" t="n">
        <v>43235</v>
      </c>
      <c r="K359" t="inlineStr">
        <is>
          <t>2F120374D523630000000127</t>
        </is>
      </c>
    </row>
    <row r="360">
      <c r="A360" t="n">
        <v>26</v>
      </c>
      <c r="B360" t="inlineStr">
        <is>
          <t>SPE5EK-18-V-2829</t>
        </is>
      </c>
      <c r="C360" s="20" t="inlineStr">
        <is>
          <t>HIAB</t>
        </is>
      </c>
      <c r="E360" t="n">
        <v>42</v>
      </c>
      <c r="F360" t="inlineStr">
        <is>
          <t>p</t>
        </is>
      </c>
      <c r="G360" s="230" t="n">
        <v>3725.4</v>
      </c>
      <c r="H360" t="inlineStr">
        <is>
          <t>WSMY026Z</t>
        </is>
      </c>
      <c r="I360" t="inlineStr">
        <is>
          <t>WSMYI026</t>
        </is>
      </c>
      <c r="J360" s="4" t="n">
        <v>43235</v>
      </c>
      <c r="K360" t="inlineStr">
        <is>
          <t>2F120374D523630000000128</t>
        </is>
      </c>
    </row>
    <row r="361">
      <c r="A361" t="n">
        <v>27</v>
      </c>
      <c r="B361" t="inlineStr">
        <is>
          <t>SPE7M8-18-V-0924</t>
        </is>
      </c>
      <c r="C361" s="20" t="inlineStr">
        <is>
          <t>GEMS</t>
        </is>
      </c>
      <c r="E361" t="n">
        <v>7</v>
      </c>
      <c r="G361" s="230" t="n">
        <v>11959.36</v>
      </c>
      <c r="H361" t="inlineStr">
        <is>
          <t>WSMY027Z</t>
        </is>
      </c>
      <c r="I361" t="inlineStr">
        <is>
          <t>WSMYI027</t>
        </is>
      </c>
      <c r="J361" s="4" t="n">
        <v>43235</v>
      </c>
      <c r="K361" t="inlineStr">
        <is>
          <t>2F120374D523630000000129</t>
        </is>
      </c>
    </row>
    <row r="362">
      <c r="A362" t="n">
        <v>28</v>
      </c>
      <c r="B362" t="inlineStr">
        <is>
          <t>SPE7M5-18-P-8076</t>
        </is>
      </c>
      <c r="C362" s="20" t="inlineStr">
        <is>
          <t>Glenair</t>
        </is>
      </c>
      <c r="E362" t="n">
        <v>35</v>
      </c>
      <c r="G362" s="230" t="n">
        <v>9657.200000000001</v>
      </c>
      <c r="H362" t="inlineStr">
        <is>
          <t>WSMY028Z</t>
        </is>
      </c>
      <c r="I362" t="inlineStr">
        <is>
          <t>WSMYI028</t>
        </is>
      </c>
      <c r="J362" s="4" t="n">
        <v>43236</v>
      </c>
      <c r="K362" t="inlineStr">
        <is>
          <t>2F120374D52363000000012A</t>
        </is>
      </c>
    </row>
    <row r="363">
      <c r="A363" t="n">
        <v>29</v>
      </c>
      <c r="B363" t="inlineStr">
        <is>
          <t>SPE7M5-18-P-9785</t>
        </is>
      </c>
      <c r="C363" s="20" t="inlineStr">
        <is>
          <t>Konenberg</t>
        </is>
      </c>
      <c r="E363" t="n">
        <v>1</v>
      </c>
      <c r="F363" t="inlineStr">
        <is>
          <t>p</t>
        </is>
      </c>
      <c r="G363" s="230" t="n">
        <v>868.6</v>
      </c>
      <c r="H363" t="inlineStr">
        <is>
          <t>WSMY029Z</t>
        </is>
      </c>
      <c r="I363" t="inlineStr">
        <is>
          <t>WSMYI029</t>
        </is>
      </c>
      <c r="J363" s="4" t="n">
        <v>43242</v>
      </c>
    </row>
    <row r="364">
      <c r="A364" t="n">
        <v>30</v>
      </c>
      <c r="B364" t="inlineStr">
        <is>
          <t>SPE7M3-18-V-1884</t>
        </is>
      </c>
      <c r="C364" s="20" t="inlineStr">
        <is>
          <t>PBM</t>
        </is>
      </c>
      <c r="E364" s="51" t="n">
        <v>9</v>
      </c>
      <c r="G364" s="230" t="n">
        <v>5550.48</v>
      </c>
      <c r="H364" t="inlineStr">
        <is>
          <t>WSMY030Z</t>
        </is>
      </c>
      <c r="I364" t="inlineStr">
        <is>
          <t>WSMYI030</t>
        </is>
      </c>
      <c r="J364" s="4" t="n">
        <v>43242</v>
      </c>
      <c r="K364" t="inlineStr">
        <is>
          <t>2F120374D52363000000012B</t>
        </is>
      </c>
    </row>
    <row r="365">
      <c r="A365" t="n">
        <v>31</v>
      </c>
      <c r="B365" t="inlineStr">
        <is>
          <t>SPE4A4-18-V-5184</t>
        </is>
      </c>
      <c r="C365" s="20" t="inlineStr">
        <is>
          <t>Kern</t>
        </is>
      </c>
      <c r="E365" t="n">
        <v>3</v>
      </c>
      <c r="F365" t="inlineStr">
        <is>
          <t>p</t>
        </is>
      </c>
      <c r="G365" s="230" t="n">
        <v>763.02</v>
      </c>
      <c r="H365" t="inlineStr">
        <is>
          <t>WSMY031Z</t>
        </is>
      </c>
      <c r="I365" t="inlineStr">
        <is>
          <t>WSMYI031</t>
        </is>
      </c>
      <c r="J365" s="4" t="n">
        <v>43245</v>
      </c>
      <c r="K365" t="inlineStr">
        <is>
          <t>2F120374D52363000000012C</t>
        </is>
      </c>
    </row>
    <row r="366">
      <c r="A366" t="n">
        <v>32</v>
      </c>
      <c r="B366" t="inlineStr">
        <is>
          <t>SPE7M8-18-V-0932</t>
        </is>
      </c>
      <c r="C366" s="20" t="inlineStr">
        <is>
          <t>GEMS</t>
        </is>
      </c>
      <c r="E366" t="n">
        <v>1</v>
      </c>
      <c r="G366" s="230" t="n">
        <v>1843.64</v>
      </c>
      <c r="H366" t="inlineStr">
        <is>
          <t>WSMY032Z</t>
        </is>
      </c>
      <c r="I366" t="inlineStr">
        <is>
          <t>WSMYI032</t>
        </is>
      </c>
      <c r="J366" s="4" t="n">
        <v>43243</v>
      </c>
      <c r="K366" t="inlineStr">
        <is>
          <t>2F120374D52363000000012D</t>
        </is>
      </c>
    </row>
    <row r="367">
      <c r="A367" t="n">
        <v>33</v>
      </c>
      <c r="B367" t="inlineStr">
        <is>
          <t>SPE4A4-18-V-6269</t>
        </is>
      </c>
      <c r="C367" s="20" t="inlineStr">
        <is>
          <t>GEMS</t>
        </is>
      </c>
      <c r="E367" t="n">
        <v>8</v>
      </c>
      <c r="G367" s="230" t="n">
        <v>8421.6</v>
      </c>
      <c r="H367" t="inlineStr">
        <is>
          <t>WSMY033</t>
        </is>
      </c>
      <c r="I367" t="inlineStr">
        <is>
          <t>WSMYI033</t>
        </is>
      </c>
      <c r="J367" s="4" t="n">
        <v>43243</v>
      </c>
      <c r="K367" t="inlineStr">
        <is>
          <t>2F120374D52363000000012E</t>
        </is>
      </c>
    </row>
    <row r="368">
      <c r="A368" t="n">
        <v>34</v>
      </c>
      <c r="B368" t="inlineStr">
        <is>
          <t>SPE4A4-18-V-6269</t>
        </is>
      </c>
      <c r="C368" s="20" t="inlineStr">
        <is>
          <t>GEMS</t>
        </is>
      </c>
      <c r="E368" t="n">
        <v>9</v>
      </c>
      <c r="G368" s="230" t="n">
        <v>9474.299999999999</v>
      </c>
      <c r="H368" t="inlineStr">
        <is>
          <t>WSMY034Z</t>
        </is>
      </c>
      <c r="I368" t="inlineStr">
        <is>
          <t>WSMYI034</t>
        </is>
      </c>
      <c r="J368" s="4" t="n">
        <v>43243</v>
      </c>
      <c r="K368" t="inlineStr">
        <is>
          <t>2F120374D52363000000012F</t>
        </is>
      </c>
    </row>
    <row r="369">
      <c r="A369" t="n">
        <v>35</v>
      </c>
      <c r="B369" t="inlineStr">
        <is>
          <t>SPE7L3-18-V-6171</t>
        </is>
      </c>
      <c r="C369" s="20" t="inlineStr">
        <is>
          <t>KTSDI</t>
        </is>
      </c>
      <c r="E369" t="n">
        <v>2</v>
      </c>
      <c r="F369" t="inlineStr">
        <is>
          <t>p</t>
        </is>
      </c>
      <c r="G369" s="230" t="n">
        <v>1137.56</v>
      </c>
      <c r="H369" t="inlineStr">
        <is>
          <t>WSMY035Z</t>
        </is>
      </c>
      <c r="I369" t="inlineStr">
        <is>
          <t>WSMYI035</t>
        </is>
      </c>
      <c r="J369" s="4" t="n">
        <v>43243</v>
      </c>
      <c r="K369" t="inlineStr">
        <is>
          <t>2F120374D523630000000130</t>
        </is>
      </c>
    </row>
    <row r="370">
      <c r="A370" t="n">
        <v>36</v>
      </c>
      <c r="B370" t="inlineStr">
        <is>
          <t>SPE5E7-18-V-1597</t>
        </is>
      </c>
      <c r="C370" s="20" t="inlineStr">
        <is>
          <t>NAFCO</t>
        </is>
      </c>
      <c r="E370" t="n">
        <v>10</v>
      </c>
      <c r="F370" t="inlineStr">
        <is>
          <t>p</t>
        </is>
      </c>
      <c r="G370" s="230" t="n">
        <v>7498.4</v>
      </c>
      <c r="H370" t="inlineStr">
        <is>
          <t>WSMY036Z</t>
        </is>
      </c>
      <c r="I370" t="inlineStr">
        <is>
          <t>WSMYI036</t>
        </is>
      </c>
      <c r="J370" s="4" t="n">
        <v>43243</v>
      </c>
      <c r="K370" t="inlineStr">
        <is>
          <t>2F120374D523630000000131</t>
        </is>
      </c>
    </row>
    <row r="371">
      <c r="A371" t="n">
        <v>37</v>
      </c>
      <c r="B371" t="inlineStr">
        <is>
          <t>SPE7MC-18-P-3641</t>
        </is>
      </c>
      <c r="C371" s="20" t="inlineStr">
        <is>
          <t>GEMS</t>
        </is>
      </c>
      <c r="E371" t="n">
        <v>6</v>
      </c>
      <c r="G371" s="230" t="n">
        <v>4107.42</v>
      </c>
      <c r="H371" t="inlineStr">
        <is>
          <t>WSMY037Z</t>
        </is>
      </c>
      <c r="I371" t="inlineStr">
        <is>
          <t>WSMYI037</t>
        </is>
      </c>
      <c r="J371" s="4" t="n">
        <v>43243</v>
      </c>
      <c r="K371" t="inlineStr">
        <is>
          <t>2F120374D523630000000132</t>
        </is>
      </c>
    </row>
    <row r="372">
      <c r="A372" t="n">
        <v>38</v>
      </c>
      <c r="B372" t="inlineStr">
        <is>
          <t>SPE7M5-18-V-5028</t>
        </is>
      </c>
      <c r="C372" s="20" t="inlineStr">
        <is>
          <t>Glenair</t>
        </is>
      </c>
      <c r="E372" t="n">
        <v>49</v>
      </c>
      <c r="G372" s="230" t="n">
        <v>6652.73</v>
      </c>
      <c r="H372" t="inlineStr">
        <is>
          <t>WSMY038Z</t>
        </is>
      </c>
      <c r="I372" t="inlineStr">
        <is>
          <t>WSMYI038</t>
        </is>
      </c>
      <c r="J372" s="4" t="n">
        <v>43245</v>
      </c>
      <c r="K372" t="inlineStr">
        <is>
          <t>2F120374D523630000000133</t>
        </is>
      </c>
    </row>
    <row r="373">
      <c r="A373" t="n">
        <v>39</v>
      </c>
      <c r="B373" t="inlineStr">
        <is>
          <t>SPE7M5-18-V-6257</t>
        </is>
      </c>
      <c r="C373" s="20" t="inlineStr">
        <is>
          <t>EMS</t>
        </is>
      </c>
      <c r="E373" t="n">
        <v>1</v>
      </c>
      <c r="F373" t="inlineStr">
        <is>
          <t>p</t>
        </is>
      </c>
      <c r="G373" s="230" t="n">
        <v>5761.35</v>
      </c>
      <c r="H373" t="inlineStr">
        <is>
          <t>WSMY039Z</t>
        </is>
      </c>
      <c r="I373" t="inlineStr">
        <is>
          <t>WSMYI039</t>
        </is>
      </c>
      <c r="J373" s="4" t="n">
        <v>43245</v>
      </c>
      <c r="K373" t="inlineStr">
        <is>
          <t>2F120374D523630000000134</t>
        </is>
      </c>
    </row>
    <row r="374">
      <c r="A374" t="n">
        <v>40</v>
      </c>
      <c r="B374" t="inlineStr">
        <is>
          <t>SPE7L7-18-V-0960</t>
        </is>
      </c>
      <c r="C374" s="20" t="inlineStr">
        <is>
          <t>ELMA</t>
        </is>
      </c>
      <c r="E374" t="n">
        <v>2</v>
      </c>
      <c r="F374" t="inlineStr">
        <is>
          <t>p</t>
        </is>
      </c>
      <c r="G374" s="230" t="n">
        <v>2344</v>
      </c>
      <c r="H374" t="inlineStr">
        <is>
          <t>WSMY040Z</t>
        </is>
      </c>
      <c r="I374" t="inlineStr">
        <is>
          <t>WSMYI040</t>
        </is>
      </c>
      <c r="J374" s="4" t="n">
        <v>43245</v>
      </c>
      <c r="K374" t="inlineStr">
        <is>
          <t>2F120374D523630000000135</t>
        </is>
      </c>
    </row>
    <row r="375">
      <c r="A375" t="n">
        <v>41</v>
      </c>
      <c r="B375" t="inlineStr">
        <is>
          <t>SPE7M2-18-P-1460</t>
        </is>
      </c>
      <c r="C375" s="20" t="inlineStr">
        <is>
          <t>Glenair</t>
        </is>
      </c>
      <c r="E375" t="n">
        <v>317</v>
      </c>
      <c r="G375" s="230" t="n">
        <v>26377.57</v>
      </c>
      <c r="H375" t="inlineStr">
        <is>
          <t>WSMY041Z</t>
        </is>
      </c>
      <c r="I375" t="inlineStr">
        <is>
          <t>WSMYI041</t>
        </is>
      </c>
      <c r="J375" s="4" t="n">
        <v>43245</v>
      </c>
      <c r="K375" t="inlineStr">
        <is>
          <t>2F120374D523630000000136</t>
        </is>
      </c>
    </row>
    <row r="376">
      <c r="A376" t="n">
        <v>42</v>
      </c>
      <c r="B376" t="inlineStr">
        <is>
          <t>SPE7M5-18-P-6682</t>
        </is>
      </c>
      <c r="C376" s="20" t="inlineStr">
        <is>
          <t>Glenair</t>
        </is>
      </c>
      <c r="E376" t="n">
        <v>31</v>
      </c>
      <c r="G376" s="230" t="n">
        <v>2650.19</v>
      </c>
      <c r="H376" t="inlineStr">
        <is>
          <t>WSMY042Z</t>
        </is>
      </c>
      <c r="I376" t="inlineStr">
        <is>
          <t>WSMYI042</t>
        </is>
      </c>
      <c r="J376" s="4" t="n">
        <v>43246</v>
      </c>
      <c r="K376" t="inlineStr">
        <is>
          <t>2F120374D523630000000137</t>
        </is>
      </c>
    </row>
    <row r="377">
      <c r="A377" t="n">
        <v>43</v>
      </c>
      <c r="B377" t="inlineStr">
        <is>
          <t>SPE7M3-18-V-0804</t>
        </is>
      </c>
      <c r="C377" s="20" t="inlineStr">
        <is>
          <t>AEROFIT</t>
        </is>
      </c>
      <c r="E377" t="n">
        <v>84</v>
      </c>
      <c r="F377" t="inlineStr">
        <is>
          <t>p</t>
        </is>
      </c>
      <c r="G377" s="230" t="n">
        <v>19706.4</v>
      </c>
      <c r="H377" t="inlineStr">
        <is>
          <t>WSMY043Z</t>
        </is>
      </c>
      <c r="I377" t="inlineStr">
        <is>
          <t>WSMYI043</t>
        </is>
      </c>
      <c r="J377" s="4" t="n">
        <v>43249</v>
      </c>
      <c r="K377" t="inlineStr">
        <is>
          <t>2F120374D523630000000138</t>
        </is>
      </c>
    </row>
    <row r="378">
      <c r="G378" s="240">
        <f>SUM(G334:G377)</f>
        <v/>
      </c>
    </row>
    <row r="379">
      <c r="A379" t="n">
        <v>1</v>
      </c>
      <c r="B379" t="inlineStr">
        <is>
          <t>SPE5E8-18-P-1917</t>
        </is>
      </c>
      <c r="C379" s="20" t="inlineStr">
        <is>
          <t>CAMERON</t>
        </is>
      </c>
      <c r="E379" t="n">
        <v>1761</v>
      </c>
      <c r="F379" t="inlineStr">
        <is>
          <t>p</t>
        </is>
      </c>
      <c r="G379" s="230" t="n">
        <v>4296.84</v>
      </c>
      <c r="H379" t="inlineStr">
        <is>
          <t>WSJU001Z</t>
        </is>
      </c>
      <c r="I379" t="inlineStr">
        <is>
          <t>WSJUI001</t>
        </is>
      </c>
      <c r="J379" s="4" t="n">
        <v>43252</v>
      </c>
      <c r="K379" t="inlineStr">
        <is>
          <t>2F120374D523630000000139</t>
        </is>
      </c>
    </row>
    <row r="380">
      <c r="A380" t="n">
        <v>2</v>
      </c>
      <c r="B380" t="inlineStr">
        <is>
          <t>SPE4A6-18-V-030C</t>
        </is>
      </c>
      <c r="C380" s="20" t="inlineStr">
        <is>
          <t>C&amp;S</t>
        </is>
      </c>
      <c r="E380" t="n">
        <v>51</v>
      </c>
      <c r="F380" t="inlineStr">
        <is>
          <t>p</t>
        </is>
      </c>
      <c r="G380" s="230" t="n">
        <v>3252.27</v>
      </c>
      <c r="H380" t="inlineStr">
        <is>
          <t>WSJU002Z</t>
        </is>
      </c>
      <c r="I380" t="inlineStr">
        <is>
          <t>WSJUI002</t>
        </is>
      </c>
      <c r="J380" s="4" t="n">
        <v>43252</v>
      </c>
      <c r="K380" t="inlineStr">
        <is>
          <t>NO RFID</t>
        </is>
      </c>
    </row>
    <row r="381">
      <c r="A381" t="n">
        <v>3</v>
      </c>
      <c r="B381" t="inlineStr">
        <is>
          <t>SPE7M5-18-V-7924</t>
        </is>
      </c>
      <c r="C381" s="20" t="inlineStr">
        <is>
          <t>Metropole</t>
        </is>
      </c>
      <c r="E381" t="n">
        <v>1</v>
      </c>
      <c r="F381" t="inlineStr">
        <is>
          <t>p</t>
        </is>
      </c>
      <c r="G381" s="230" t="n">
        <v>7811.8</v>
      </c>
      <c r="H381" t="inlineStr">
        <is>
          <t>WSJU003Z</t>
        </is>
      </c>
      <c r="I381" t="inlineStr">
        <is>
          <t>WSJUI003</t>
        </is>
      </c>
      <c r="J381" s="4" t="n">
        <v>43252</v>
      </c>
      <c r="K381" t="inlineStr">
        <is>
          <t>2F120374D52363000000013A</t>
        </is>
      </c>
    </row>
    <row r="382">
      <c r="A382" t="n">
        <v>4</v>
      </c>
      <c r="B382" t="inlineStr">
        <is>
          <t>SPE7M0-18-V-5487</t>
        </is>
      </c>
      <c r="C382" s="20" t="inlineStr">
        <is>
          <t>GEMS</t>
        </is>
      </c>
      <c r="E382" t="n">
        <v>1</v>
      </c>
      <c r="G382" s="230" t="n">
        <v>2018.88</v>
      </c>
      <c r="H382" t="inlineStr">
        <is>
          <t>WSJU004Z</t>
        </is>
      </c>
      <c r="I382" t="inlineStr">
        <is>
          <t>WSJUI004</t>
        </is>
      </c>
      <c r="J382" s="4" t="n">
        <v>43252</v>
      </c>
      <c r="K382" t="inlineStr">
        <is>
          <t>NO RFID</t>
        </is>
      </c>
    </row>
    <row r="383">
      <c r="A383" t="n">
        <v>5</v>
      </c>
      <c r="B383" t="inlineStr">
        <is>
          <t>SPE7MC-18-V-5005</t>
        </is>
      </c>
      <c r="C383" s="90" t="inlineStr">
        <is>
          <t>PBM</t>
        </is>
      </c>
      <c r="E383" s="51" t="n">
        <v>1</v>
      </c>
      <c r="G383" s="230" t="n">
        <v>888.4</v>
      </c>
      <c r="H383" t="inlineStr">
        <is>
          <t>WSJU005Z</t>
        </is>
      </c>
      <c r="I383" t="inlineStr">
        <is>
          <t>WSJUI005</t>
        </is>
      </c>
      <c r="J383" s="4" t="n">
        <v>43252</v>
      </c>
      <c r="K383" t="inlineStr">
        <is>
          <t>NO RFID</t>
        </is>
      </c>
    </row>
    <row r="384">
      <c r="A384" t="n">
        <v>6</v>
      </c>
      <c r="B384" t="inlineStr">
        <is>
          <t>SPE5E0-18-V-2623</t>
        </is>
      </c>
      <c r="C384" s="20" t="inlineStr">
        <is>
          <t>CAMERON</t>
        </is>
      </c>
      <c r="E384" t="n">
        <v>2</v>
      </c>
      <c r="F384" t="inlineStr">
        <is>
          <t>p</t>
        </is>
      </c>
      <c r="G384" s="230" t="n">
        <v>389.2</v>
      </c>
      <c r="H384" t="inlineStr">
        <is>
          <t>WSJU006Z</t>
        </is>
      </c>
      <c r="I384" t="inlineStr">
        <is>
          <t>WSJUI006</t>
        </is>
      </c>
      <c r="J384" s="4" t="n">
        <v>43252</v>
      </c>
      <c r="K384" t="inlineStr">
        <is>
          <t>2F120374D52363000000013B</t>
        </is>
      </c>
    </row>
    <row r="385">
      <c r="A385" t="n">
        <v>7</v>
      </c>
      <c r="B385" t="inlineStr">
        <is>
          <t>SPE7MC-18-V-5538</t>
        </is>
      </c>
      <c r="C385" s="20" t="inlineStr">
        <is>
          <t>Glenair</t>
        </is>
      </c>
      <c r="E385" t="n">
        <v>47</v>
      </c>
      <c r="G385" s="230" t="n">
        <v>2906.48</v>
      </c>
      <c r="H385" t="inlineStr">
        <is>
          <t>WSJU007Z</t>
        </is>
      </c>
      <c r="I385" t="inlineStr">
        <is>
          <t>WSJUI007</t>
        </is>
      </c>
      <c r="J385" s="4" t="n">
        <v>43256</v>
      </c>
      <c r="K385" t="inlineStr">
        <is>
          <t>2F120374D52363000000013C</t>
        </is>
      </c>
    </row>
    <row r="386">
      <c r="A386" t="n">
        <v>8</v>
      </c>
      <c r="B386" t="inlineStr">
        <is>
          <t>SPE7M3-18-P-3164</t>
        </is>
      </c>
      <c r="C386" s="20" t="inlineStr">
        <is>
          <t>ROSTRA</t>
        </is>
      </c>
      <c r="E386" t="n">
        <v>24</v>
      </c>
      <c r="F386" t="inlineStr">
        <is>
          <t>p</t>
        </is>
      </c>
      <c r="G386" s="230" t="n">
        <v>14803.43</v>
      </c>
      <c r="H386" t="inlineStr">
        <is>
          <t>WSJU008Z</t>
        </is>
      </c>
      <c r="I386" t="inlineStr">
        <is>
          <t>WSJUI008</t>
        </is>
      </c>
      <c r="J386" s="4" t="n">
        <v>43256</v>
      </c>
      <c r="K386" t="inlineStr">
        <is>
          <t>2F120374D52363000000013D</t>
        </is>
      </c>
    </row>
    <row r="387">
      <c r="A387" t="n">
        <v>9</v>
      </c>
      <c r="B387" t="inlineStr">
        <is>
          <t>SPE7M0-18-V-8064</t>
        </is>
      </c>
      <c r="C387" s="20" t="inlineStr">
        <is>
          <t>HIAB</t>
        </is>
      </c>
      <c r="E387" t="n">
        <v>1</v>
      </c>
      <c r="G387" s="230" t="n">
        <v>484.96</v>
      </c>
      <c r="H387" t="inlineStr">
        <is>
          <t>WSJU009Z</t>
        </is>
      </c>
      <c r="I387" t="inlineStr">
        <is>
          <t>WSJUI009</t>
        </is>
      </c>
      <c r="J387" s="4" t="n">
        <v>43256</v>
      </c>
      <c r="K387" t="inlineStr">
        <is>
          <t>NO RFID</t>
        </is>
      </c>
    </row>
    <row r="388">
      <c r="A388" t="n">
        <v>10</v>
      </c>
      <c r="B388" t="inlineStr">
        <is>
          <t>SPE7M3-18-V-2423</t>
        </is>
      </c>
      <c r="C388" s="20" t="inlineStr">
        <is>
          <t>ROSTRA</t>
        </is>
      </c>
      <c r="E388" t="n">
        <v>1</v>
      </c>
      <c r="F388" t="inlineStr">
        <is>
          <t>p</t>
        </is>
      </c>
      <c r="G388" s="230" t="n">
        <v>616.8</v>
      </c>
      <c r="H388" t="inlineStr">
        <is>
          <t>WSJU010Z</t>
        </is>
      </c>
      <c r="I388" t="inlineStr">
        <is>
          <t>WSJUI010</t>
        </is>
      </c>
      <c r="J388" s="4" t="n">
        <v>43256</v>
      </c>
      <c r="K388" t="inlineStr">
        <is>
          <t>2F120374D52363000000013E</t>
        </is>
      </c>
    </row>
    <row r="389">
      <c r="A389" t="n">
        <v>11</v>
      </c>
      <c r="B389" t="inlineStr">
        <is>
          <t>SPE7M1-18-V-3758</t>
        </is>
      </c>
      <c r="C389" s="66" t="inlineStr">
        <is>
          <t>GEMS Dest</t>
        </is>
      </c>
      <c r="E389" t="n">
        <v>1</v>
      </c>
      <c r="G389" s="230" t="n">
        <v>2873.2</v>
      </c>
      <c r="H389" t="inlineStr">
        <is>
          <t>WSJU011Z</t>
        </is>
      </c>
      <c r="I389" t="inlineStr">
        <is>
          <t>WSJUI011</t>
        </is>
      </c>
      <c r="J389" s="4" t="n">
        <v>43257</v>
      </c>
      <c r="L389" s="51" t="inlineStr">
        <is>
          <t>Call</t>
        </is>
      </c>
    </row>
    <row r="390">
      <c r="A390" t="n">
        <v>12</v>
      </c>
      <c r="B390" t="inlineStr">
        <is>
          <t>SPE7M0-18-V-7011</t>
        </is>
      </c>
      <c r="C390" s="20" t="inlineStr">
        <is>
          <t>Glenair Dest</t>
        </is>
      </c>
      <c r="E390" t="n">
        <v>13</v>
      </c>
      <c r="G390" s="230" t="n">
        <v>1258.92</v>
      </c>
      <c r="H390" t="inlineStr">
        <is>
          <t>WSJU012Z</t>
        </is>
      </c>
      <c r="I390" t="inlineStr">
        <is>
          <t>WSJUI012</t>
        </is>
      </c>
      <c r="J390" s="4" t="n">
        <v>43257</v>
      </c>
      <c r="K390" t="inlineStr">
        <is>
          <t>2F120374D52363000000013F</t>
        </is>
      </c>
      <c r="M390" s="233" t="n"/>
    </row>
    <row r="391">
      <c r="A391" t="n">
        <v>13</v>
      </c>
      <c r="B391" t="inlineStr">
        <is>
          <t>SPE7M1-18-V-9084</t>
        </is>
      </c>
      <c r="C391" s="20" t="inlineStr">
        <is>
          <t>Phenix Logis</t>
        </is>
      </c>
      <c r="E391" t="n">
        <v>4</v>
      </c>
      <c r="F391" s="51" t="inlineStr">
        <is>
          <t>p</t>
        </is>
      </c>
      <c r="G391" s="230" t="n">
        <v>12110.56</v>
      </c>
      <c r="H391" t="inlineStr">
        <is>
          <t>WSJU013Z</t>
        </is>
      </c>
      <c r="I391" t="inlineStr">
        <is>
          <t>WSJUI013</t>
        </is>
      </c>
      <c r="J391" s="4" t="n">
        <v>43257</v>
      </c>
      <c r="K391" t="inlineStr">
        <is>
          <t>2F120374D523630000000140</t>
        </is>
      </c>
    </row>
    <row r="392">
      <c r="A392" t="n">
        <v>14</v>
      </c>
      <c r="B392" t="inlineStr">
        <is>
          <t>SPE4A4-18-V-6103</t>
        </is>
      </c>
      <c r="C392" s="20" t="inlineStr">
        <is>
          <t>TotalTemp</t>
        </is>
      </c>
      <c r="E392" s="5" t="n">
        <v>34</v>
      </c>
      <c r="F392" s="51" t="inlineStr">
        <is>
          <t>p</t>
        </is>
      </c>
      <c r="G392" s="230" t="n">
        <v>9342.860000000001</v>
      </c>
      <c r="H392" t="inlineStr">
        <is>
          <t>WSJU014Z</t>
        </is>
      </c>
      <c r="I392" t="inlineStr">
        <is>
          <t>WSJUI014</t>
        </is>
      </c>
      <c r="J392" s="4" t="n">
        <v>43258</v>
      </c>
      <c r="K392" t="inlineStr">
        <is>
          <t>2F120374D523630000000141</t>
        </is>
      </c>
    </row>
    <row r="393">
      <c r="A393" t="n">
        <v>15</v>
      </c>
      <c r="B393" t="inlineStr">
        <is>
          <t>SPE4A6-18-P-E310</t>
        </is>
      </c>
      <c r="C393" s="20" t="inlineStr">
        <is>
          <t>GEMS</t>
        </is>
      </c>
      <c r="E393" t="n">
        <v>6</v>
      </c>
      <c r="G393" s="230" t="n">
        <v>8607.959999999999</v>
      </c>
      <c r="H393" t="inlineStr">
        <is>
          <t>WSJU015Z</t>
        </is>
      </c>
      <c r="I393" t="inlineStr">
        <is>
          <t>WSJUI015</t>
        </is>
      </c>
      <c r="J393" s="4" t="n">
        <v>43258</v>
      </c>
      <c r="K393" t="inlineStr">
        <is>
          <t>2F120374D523630000000142</t>
        </is>
      </c>
    </row>
    <row r="394">
      <c r="A394" t="n">
        <v>16</v>
      </c>
      <c r="B394" t="inlineStr">
        <is>
          <t>SPE7M0-18-V-6180</t>
        </is>
      </c>
      <c r="C394" s="20" t="inlineStr">
        <is>
          <t>GEMS</t>
        </is>
      </c>
      <c r="E394" t="n">
        <v>6</v>
      </c>
      <c r="G394" s="230" t="n">
        <v>5198.4</v>
      </c>
      <c r="H394" t="inlineStr">
        <is>
          <t>WSJU016Z</t>
        </is>
      </c>
      <c r="I394" t="inlineStr">
        <is>
          <t>WSJUI016</t>
        </is>
      </c>
      <c r="J394" s="4" t="n">
        <v>43258</v>
      </c>
      <c r="K394" t="inlineStr">
        <is>
          <t>2F120374D523630000000143</t>
        </is>
      </c>
    </row>
    <row r="395">
      <c r="A395" t="n">
        <v>17</v>
      </c>
      <c r="B395" t="inlineStr">
        <is>
          <t>SPE7M0-18-V-7510</t>
        </is>
      </c>
      <c r="C395" s="20" t="inlineStr">
        <is>
          <t>Glenair</t>
        </is>
      </c>
      <c r="E395" t="n">
        <v>15</v>
      </c>
      <c r="G395" s="230" t="n">
        <v>7495.2</v>
      </c>
      <c r="H395" t="inlineStr">
        <is>
          <t>WSJU017Z</t>
        </is>
      </c>
      <c r="I395" t="inlineStr">
        <is>
          <t>WSJUI017</t>
        </is>
      </c>
      <c r="J395" s="4" t="n">
        <v>43259</v>
      </c>
      <c r="K395" t="inlineStr">
        <is>
          <t>2F120374D523630000000144</t>
        </is>
      </c>
    </row>
    <row r="396">
      <c r="A396" t="n">
        <v>18</v>
      </c>
      <c r="B396" t="inlineStr">
        <is>
          <t>SPE7M8-18-V-1265</t>
        </is>
      </c>
      <c r="C396" s="20" t="inlineStr">
        <is>
          <t>GEMS</t>
        </is>
      </c>
      <c r="E396" t="n">
        <v>3</v>
      </c>
      <c r="G396" s="230" t="n">
        <v>2636.82</v>
      </c>
      <c r="H396" t="inlineStr">
        <is>
          <t>WSJU018Z</t>
        </is>
      </c>
      <c r="I396" t="inlineStr">
        <is>
          <t>WSJUI018</t>
        </is>
      </c>
      <c r="J396" s="4" t="n">
        <v>43262</v>
      </c>
      <c r="K396" t="inlineStr">
        <is>
          <t>NO RFID</t>
        </is>
      </c>
    </row>
    <row r="397">
      <c r="A397" t="n">
        <v>19</v>
      </c>
      <c r="B397" t="inlineStr">
        <is>
          <t>SPE7MC-18-V-4924</t>
        </is>
      </c>
      <c r="C397" s="20" t="inlineStr">
        <is>
          <t>GEMS</t>
        </is>
      </c>
      <c r="E397" t="n">
        <v>1</v>
      </c>
      <c r="G397" s="230" t="n">
        <v>3611</v>
      </c>
      <c r="H397" t="inlineStr">
        <is>
          <t>WSJU019Z</t>
        </is>
      </c>
      <c r="I397" t="inlineStr">
        <is>
          <t>WSJUI019</t>
        </is>
      </c>
      <c r="K397" t="inlineStr">
        <is>
          <t>2F120374D523630000000145</t>
        </is>
      </c>
    </row>
    <row r="398">
      <c r="A398" t="n">
        <v>20</v>
      </c>
      <c r="B398" t="inlineStr">
        <is>
          <t>SPE5E9-18-P-2542</t>
        </is>
      </c>
      <c r="C398" s="90" t="inlineStr">
        <is>
          <t>HIAB</t>
        </is>
      </c>
      <c r="E398" t="n">
        <v>5</v>
      </c>
      <c r="G398" s="230" t="n">
        <v>1548</v>
      </c>
      <c r="H398" t="inlineStr">
        <is>
          <t>WSJU020Z</t>
        </is>
      </c>
      <c r="I398" t="inlineStr">
        <is>
          <t>WSJUI020</t>
        </is>
      </c>
      <c r="K398" t="inlineStr">
        <is>
          <t>2F120374D523630000000146</t>
        </is>
      </c>
    </row>
    <row r="399">
      <c r="A399" t="n">
        <v>21</v>
      </c>
      <c r="B399" t="inlineStr">
        <is>
          <t>SPE7M5-18-V-6549</t>
        </is>
      </c>
      <c r="C399" s="20" t="inlineStr">
        <is>
          <t>Data Delay</t>
        </is>
      </c>
      <c r="E399" t="n">
        <v>52</v>
      </c>
      <c r="F399" t="inlineStr">
        <is>
          <t>p</t>
        </is>
      </c>
      <c r="G399" s="230" t="n">
        <v>10831.08</v>
      </c>
      <c r="H399" t="inlineStr">
        <is>
          <t>WSJU021Z</t>
        </is>
      </c>
      <c r="I399" t="inlineStr">
        <is>
          <t>WSJUI021</t>
        </is>
      </c>
      <c r="J399" s="4" t="n">
        <v>43266</v>
      </c>
      <c r="K399" t="inlineStr">
        <is>
          <t>2F120374D523630000000147</t>
        </is>
      </c>
    </row>
    <row r="400">
      <c r="A400" t="n">
        <v>22</v>
      </c>
      <c r="B400" t="inlineStr">
        <is>
          <t>SPE7M1-18-P-4787</t>
        </is>
      </c>
      <c r="C400" s="20" t="inlineStr">
        <is>
          <t>C&amp;S</t>
        </is>
      </c>
      <c r="E400" t="n">
        <v>1</v>
      </c>
      <c r="G400" s="230" t="n">
        <v>293.4</v>
      </c>
      <c r="H400" t="inlineStr">
        <is>
          <t>WSJU022Z</t>
        </is>
      </c>
      <c r="I400" t="inlineStr">
        <is>
          <t>WSJUI022</t>
        </is>
      </c>
      <c r="J400" s="4" t="n">
        <v>43267</v>
      </c>
      <c r="K400" t="inlineStr">
        <is>
          <t>2F120374D523630000000148</t>
        </is>
      </c>
    </row>
    <row r="401">
      <c r="A401" t="n">
        <v>23</v>
      </c>
      <c r="B401" t="inlineStr">
        <is>
          <t>SPE7M1-18-V-9574</t>
        </is>
      </c>
      <c r="C401" s="20" t="inlineStr">
        <is>
          <t>Scientific-Mini</t>
        </is>
      </c>
      <c r="E401" t="n">
        <v>49</v>
      </c>
      <c r="G401" s="230" t="n">
        <v>1972.74</v>
      </c>
      <c r="H401" t="inlineStr">
        <is>
          <t>WSJU023Z</t>
        </is>
      </c>
      <c r="I401" t="inlineStr">
        <is>
          <t>WSJUI023</t>
        </is>
      </c>
      <c r="J401" s="4" t="n">
        <v>43267</v>
      </c>
      <c r="K401" t="inlineStr">
        <is>
          <t>2F120374D523630000000149</t>
        </is>
      </c>
    </row>
    <row r="402">
      <c r="A402" t="n">
        <v>24</v>
      </c>
      <c r="B402" s="7" t="inlineStr">
        <is>
          <t>SPE7M018V8133</t>
        </is>
      </c>
      <c r="C402" s="20" t="inlineStr">
        <is>
          <t>Scientific-Mini</t>
        </is>
      </c>
      <c r="E402" t="n">
        <v>1</v>
      </c>
      <c r="G402" s="230" t="n">
        <v>99.94</v>
      </c>
      <c r="H402" t="inlineStr">
        <is>
          <t>WSJU024Z</t>
        </is>
      </c>
      <c r="I402" t="inlineStr">
        <is>
          <t>WSJUI024</t>
        </is>
      </c>
      <c r="J402" s="4" t="n">
        <v>43267</v>
      </c>
      <c r="K402" t="inlineStr">
        <is>
          <t>2F120374D52363000000014A</t>
        </is>
      </c>
    </row>
    <row r="403">
      <c r="A403" t="n">
        <v>25</v>
      </c>
      <c r="B403" s="7" t="inlineStr">
        <is>
          <t>SPE7M018V7017</t>
        </is>
      </c>
      <c r="C403" s="20" t="inlineStr">
        <is>
          <t>Glenair</t>
        </is>
      </c>
      <c r="E403" t="n">
        <v>7</v>
      </c>
      <c r="G403" s="230" t="n">
        <v>692.16</v>
      </c>
      <c r="H403" t="inlineStr">
        <is>
          <t>WSJU025Z</t>
        </is>
      </c>
      <c r="I403" t="inlineStr">
        <is>
          <t>WSJUI025</t>
        </is>
      </c>
      <c r="J403" s="4" t="n">
        <v>43267</v>
      </c>
      <c r="K403" t="inlineStr">
        <is>
          <t>2F120374D52363000000014B</t>
        </is>
      </c>
    </row>
    <row r="404">
      <c r="A404" t="n">
        <v>26</v>
      </c>
      <c r="B404" t="inlineStr">
        <is>
          <t>SPE5EJ-18-V-6017</t>
        </is>
      </c>
      <c r="C404" s="20" t="inlineStr">
        <is>
          <t>MAFO</t>
        </is>
      </c>
      <c r="E404" t="n">
        <v>48</v>
      </c>
      <c r="G404" s="230" t="n">
        <v>8375.040000000001</v>
      </c>
      <c r="H404" t="inlineStr">
        <is>
          <t>WSJU026Z</t>
        </is>
      </c>
      <c r="I404" t="inlineStr">
        <is>
          <t>WSJUI026</t>
        </is>
      </c>
      <c r="J404" s="4" t="n">
        <v>43271</v>
      </c>
      <c r="K404" t="inlineStr">
        <is>
          <t>2F120374D52363000000014C</t>
        </is>
      </c>
    </row>
    <row r="405">
      <c r="A405" t="n">
        <v>27</v>
      </c>
      <c r="B405" t="inlineStr">
        <is>
          <t>SPE4A6-18-V-196C</t>
        </is>
      </c>
      <c r="C405" s="20" t="inlineStr">
        <is>
          <t>Power&amp;Heat</t>
        </is>
      </c>
      <c r="E405" t="n">
        <v>50</v>
      </c>
      <c r="G405" s="255" t="n">
        <v>5173</v>
      </c>
      <c r="H405" t="inlineStr">
        <is>
          <t>WSJU027Z</t>
        </is>
      </c>
      <c r="I405" t="inlineStr">
        <is>
          <t>WSJUI027</t>
        </is>
      </c>
      <c r="J405" s="4" t="n">
        <v>43271</v>
      </c>
      <c r="K405" t="inlineStr">
        <is>
          <t>NO RFID</t>
        </is>
      </c>
      <c r="L405" s="51" t="inlineStr">
        <is>
          <t>call</t>
        </is>
      </c>
    </row>
    <row r="406">
      <c r="A406" t="n">
        <v>28</v>
      </c>
      <c r="B406" t="inlineStr">
        <is>
          <t>SPE7M9-18-P-0425</t>
        </is>
      </c>
      <c r="C406" s="20" t="inlineStr">
        <is>
          <t>Morpac</t>
        </is>
      </c>
      <c r="E406" t="n">
        <v>6</v>
      </c>
      <c r="G406" s="230" t="n">
        <v>10473.84</v>
      </c>
      <c r="H406" t="inlineStr">
        <is>
          <t>WSJU028Z</t>
        </is>
      </c>
      <c r="I406" t="inlineStr">
        <is>
          <t>WSJUI028</t>
        </is>
      </c>
      <c r="J406" s="4" t="n">
        <v>43271</v>
      </c>
      <c r="K406" t="inlineStr">
        <is>
          <t>2F120374D52363000000014D</t>
        </is>
      </c>
    </row>
    <row r="407">
      <c r="A407" t="n">
        <v>29</v>
      </c>
      <c r="B407" t="inlineStr">
        <is>
          <t>SPE7M1-18-V-7008</t>
        </is>
      </c>
      <c r="C407" s="20" t="inlineStr">
        <is>
          <t>GEMS</t>
        </is>
      </c>
      <c r="E407" t="n">
        <v>6</v>
      </c>
      <c r="G407" s="230" t="n">
        <v>4310.28</v>
      </c>
      <c r="H407" t="inlineStr">
        <is>
          <t>WSJU029Z</t>
        </is>
      </c>
      <c r="I407" t="inlineStr">
        <is>
          <t>WSJUI029</t>
        </is>
      </c>
      <c r="J407" s="4" t="n">
        <v>43271</v>
      </c>
      <c r="K407" t="inlineStr">
        <is>
          <t>2F120374D52363000000014E</t>
        </is>
      </c>
    </row>
    <row r="408">
      <c r="A408" t="n">
        <v>30</v>
      </c>
      <c r="B408" t="inlineStr">
        <is>
          <t>SPE7M1-18-P-4530</t>
        </is>
      </c>
      <c r="C408" s="20" t="inlineStr">
        <is>
          <t>DRUCK</t>
        </is>
      </c>
      <c r="E408" t="n">
        <v>3</v>
      </c>
      <c r="G408" s="230" t="n">
        <v>8554.799999999999</v>
      </c>
      <c r="H408" t="inlineStr">
        <is>
          <t>WSJU030Z</t>
        </is>
      </c>
      <c r="I408" t="inlineStr">
        <is>
          <t>WSJUI030</t>
        </is>
      </c>
      <c r="J408" s="4" t="n">
        <v>43271</v>
      </c>
      <c r="K408" t="inlineStr">
        <is>
          <t>2F120374D52363000000014F</t>
        </is>
      </c>
    </row>
    <row r="409">
      <c r="A409" t="n">
        <v>31</v>
      </c>
      <c r="B409" t="inlineStr">
        <is>
          <t>SPE7M0-18-V-6200</t>
        </is>
      </c>
      <c r="C409" s="20" t="inlineStr">
        <is>
          <t>GEMS</t>
        </is>
      </c>
      <c r="E409" t="n">
        <v>3</v>
      </c>
      <c r="G409" s="230" t="n">
        <v>7684.32</v>
      </c>
      <c r="H409" t="inlineStr">
        <is>
          <t>WSJU031Z</t>
        </is>
      </c>
      <c r="I409" t="inlineStr">
        <is>
          <t>WSJUI031</t>
        </is>
      </c>
      <c r="J409" s="4" t="n">
        <v>43272</v>
      </c>
      <c r="K409" t="inlineStr">
        <is>
          <t>2F120374D523630000000150</t>
        </is>
      </c>
    </row>
    <row r="410">
      <c r="A410" t="n">
        <v>32</v>
      </c>
      <c r="B410" t="inlineStr">
        <is>
          <t>SPE7M9-18-P-0597</t>
        </is>
      </c>
      <c r="C410" s="20" t="inlineStr">
        <is>
          <t>GEMS</t>
        </is>
      </c>
      <c r="E410" t="n">
        <v>23</v>
      </c>
      <c r="G410" s="230" t="n">
        <v>21178.4</v>
      </c>
      <c r="H410" t="inlineStr">
        <is>
          <t>WSJU032Z</t>
        </is>
      </c>
      <c r="I410" t="inlineStr">
        <is>
          <t>WSJUI032</t>
        </is>
      </c>
      <c r="J410" s="4" t="n">
        <v>43272</v>
      </c>
      <c r="K410" t="inlineStr">
        <is>
          <t>2F120374D523630000000151</t>
        </is>
      </c>
    </row>
    <row r="411">
      <c r="A411" t="n">
        <v>33</v>
      </c>
      <c r="B411" t="inlineStr">
        <is>
          <t>SPE7MC-18-V-6077</t>
        </is>
      </c>
      <c r="C411" s="20" t="inlineStr">
        <is>
          <t>Glenair</t>
        </is>
      </c>
      <c r="E411" t="n">
        <v>36</v>
      </c>
      <c r="F411" t="inlineStr">
        <is>
          <t>p</t>
        </is>
      </c>
      <c r="G411" s="230" t="n">
        <v>3471.84</v>
      </c>
      <c r="H411" t="inlineStr">
        <is>
          <t>WSJU033Z</t>
        </is>
      </c>
      <c r="I411" t="inlineStr">
        <is>
          <t>WSJUI033</t>
        </is>
      </c>
      <c r="J411" s="4" t="n">
        <v>43272</v>
      </c>
      <c r="K411" t="inlineStr">
        <is>
          <t>2F120374D523630000000152</t>
        </is>
      </c>
    </row>
    <row r="412">
      <c r="A412" t="n">
        <v>34</v>
      </c>
      <c r="B412" t="inlineStr">
        <is>
          <t>SPE7M5-18-V-9186</t>
        </is>
      </c>
      <c r="C412" s="20" t="inlineStr">
        <is>
          <t>C&amp;S</t>
        </is>
      </c>
      <c r="E412" t="n">
        <v>2</v>
      </c>
      <c r="G412" s="230" t="n">
        <v>813.6</v>
      </c>
      <c r="H412" t="inlineStr">
        <is>
          <t>WSJU034Z</t>
        </is>
      </c>
      <c r="I412" t="inlineStr">
        <is>
          <t>WSJUI034</t>
        </is>
      </c>
      <c r="J412" s="4" t="n">
        <v>43272</v>
      </c>
      <c r="K412" t="inlineStr">
        <is>
          <t>2F120374D523630000000153</t>
        </is>
      </c>
    </row>
    <row r="413">
      <c r="A413" t="n">
        <v>35</v>
      </c>
      <c r="B413" t="inlineStr">
        <is>
          <t>SPE5E8-18-V-6863</t>
        </is>
      </c>
      <c r="C413" s="20" t="inlineStr">
        <is>
          <t>C&amp;S</t>
        </is>
      </c>
      <c r="E413" t="n">
        <v>6</v>
      </c>
      <c r="G413" s="230" t="n">
        <v>2419.08</v>
      </c>
      <c r="H413" t="inlineStr">
        <is>
          <t>WSJU035Z</t>
        </is>
      </c>
      <c r="I413" t="inlineStr">
        <is>
          <t>WSJUI035</t>
        </is>
      </c>
      <c r="J413" s="4" t="n">
        <v>43272</v>
      </c>
      <c r="K413" t="inlineStr">
        <is>
          <t>2F120374D523630000000154</t>
        </is>
      </c>
    </row>
    <row r="414">
      <c r="A414" t="n">
        <v>36</v>
      </c>
      <c r="B414" t="inlineStr">
        <is>
          <t>SPE7MC18V2156</t>
        </is>
      </c>
      <c r="C414" s="66" t="inlineStr">
        <is>
          <t>MUNTER Return</t>
        </is>
      </c>
      <c r="E414" s="51" t="n">
        <v>81</v>
      </c>
      <c r="H414" t="inlineStr">
        <is>
          <t>WSJU036Z</t>
        </is>
      </c>
      <c r="I414" t="inlineStr">
        <is>
          <t>WSJUI036</t>
        </is>
      </c>
      <c r="J414" s="4" t="n">
        <v>43274</v>
      </c>
      <c r="K414" t="inlineStr">
        <is>
          <t>2F120374D523630000000155</t>
        </is>
      </c>
    </row>
    <row r="415">
      <c r="A415" t="n">
        <v>37</v>
      </c>
      <c r="B415" t="inlineStr">
        <is>
          <t>SPE7MC-18-V-6825</t>
        </is>
      </c>
      <c r="C415" s="66" t="inlineStr">
        <is>
          <t>PBM VOID</t>
        </is>
      </c>
      <c r="E415" s="51" t="n">
        <v>4</v>
      </c>
      <c r="G415" s="230" t="n">
        <v>6837.6</v>
      </c>
      <c r="H415" t="inlineStr">
        <is>
          <t>WSJU037</t>
        </is>
      </c>
      <c r="I415" t="inlineStr">
        <is>
          <t>WSJUI037</t>
        </is>
      </c>
      <c r="J415" s="4" t="n">
        <v>43274</v>
      </c>
      <c r="K415" t="inlineStr">
        <is>
          <t>2F120374D523630000000156</t>
        </is>
      </c>
    </row>
    <row r="416">
      <c r="A416" t="n">
        <v>38</v>
      </c>
      <c r="B416" t="inlineStr">
        <is>
          <t>SPE7MC-18-V-6825</t>
        </is>
      </c>
      <c r="C416" s="20" t="inlineStr">
        <is>
          <t>PBM</t>
        </is>
      </c>
      <c r="E416" t="n">
        <v>2</v>
      </c>
      <c r="G416" s="230" t="n">
        <v>2279.2</v>
      </c>
      <c r="H416" t="inlineStr">
        <is>
          <t>WSJU038Z</t>
        </is>
      </c>
      <c r="I416" t="inlineStr">
        <is>
          <t>WSJUI038</t>
        </is>
      </c>
      <c r="J416" s="4" t="n">
        <v>43274</v>
      </c>
      <c r="K416" t="inlineStr">
        <is>
          <t>2F120374D523630000000157</t>
        </is>
      </c>
    </row>
    <row r="417">
      <c r="A417" t="n">
        <v>39</v>
      </c>
      <c r="B417" t="inlineStr">
        <is>
          <t>SPE7M5-18-V-8132</t>
        </is>
      </c>
      <c r="C417" s="49" t="inlineStr">
        <is>
          <t>Glenair</t>
        </is>
      </c>
      <c r="E417" s="51" t="n">
        <v>18</v>
      </c>
      <c r="F417" t="inlineStr">
        <is>
          <t>p</t>
        </is>
      </c>
      <c r="G417" s="230" t="n">
        <v>488.88</v>
      </c>
      <c r="H417" t="inlineStr">
        <is>
          <t>WSJU039Z</t>
        </is>
      </c>
      <c r="I417" t="inlineStr">
        <is>
          <t>WSJUI039</t>
        </is>
      </c>
      <c r="J417" s="4" t="n">
        <v>43274</v>
      </c>
      <c r="K417" t="inlineStr">
        <is>
          <t>2F120374D523630000000158</t>
        </is>
      </c>
    </row>
    <row r="418">
      <c r="A418" t="n">
        <v>40</v>
      </c>
      <c r="B418" t="inlineStr">
        <is>
          <t>SPE7MC-18-V-6825</t>
        </is>
      </c>
      <c r="C418" s="20" t="inlineStr">
        <is>
          <t>PBM</t>
        </is>
      </c>
      <c r="E418" t="n">
        <v>4</v>
      </c>
      <c r="G418" s="230" t="n">
        <v>4558.4</v>
      </c>
      <c r="H418" t="inlineStr">
        <is>
          <t>WSJU040</t>
        </is>
      </c>
      <c r="I418" t="inlineStr">
        <is>
          <t>WSJUI040</t>
        </is>
      </c>
      <c r="J418" s="4" t="n">
        <v>43274</v>
      </c>
      <c r="K418" t="inlineStr">
        <is>
          <t>2F120374D523630000000156</t>
        </is>
      </c>
    </row>
    <row r="419">
      <c r="A419" t="n">
        <v>41</v>
      </c>
      <c r="B419" t="inlineStr">
        <is>
          <t>SPE7M5-18-P-4703</t>
        </is>
      </c>
      <c r="C419" s="20" t="inlineStr">
        <is>
          <t>Glenair Partial-mod</t>
        </is>
      </c>
      <c r="E419" s="51" t="n">
        <v>23</v>
      </c>
      <c r="G419" s="230" t="n">
        <v>12618.72</v>
      </c>
      <c r="H419" t="inlineStr">
        <is>
          <t>WSJU041</t>
        </is>
      </c>
      <c r="I419" t="inlineStr">
        <is>
          <t>WSJUI041</t>
        </is>
      </c>
      <c r="J419" s="4" t="n">
        <v>43276</v>
      </c>
      <c r="K419" t="inlineStr">
        <is>
          <t>2F120374D523630000000159</t>
        </is>
      </c>
    </row>
    <row r="420">
      <c r="A420" t="n">
        <v>42</v>
      </c>
      <c r="B420" t="inlineStr">
        <is>
          <t>SPE7M0-18-V-6888</t>
        </is>
      </c>
      <c r="C420" s="20" t="inlineStr">
        <is>
          <t>FCX</t>
        </is>
      </c>
      <c r="E420" t="n">
        <v>2</v>
      </c>
      <c r="F420" t="inlineStr">
        <is>
          <t>p</t>
        </is>
      </c>
      <c r="G420" s="230" t="n">
        <v>2739.88</v>
      </c>
      <c r="H420" t="inlineStr">
        <is>
          <t>WSJU042Z</t>
        </is>
      </c>
      <c r="I420" t="inlineStr">
        <is>
          <t>WSJUI042</t>
        </is>
      </c>
      <c r="J420" s="4" t="n">
        <v>43277</v>
      </c>
      <c r="K420" t="inlineStr">
        <is>
          <t>NO RFID</t>
        </is>
      </c>
    </row>
    <row r="421">
      <c r="A421" t="n">
        <v>43</v>
      </c>
      <c r="B421" t="inlineStr">
        <is>
          <t>SPE7L2-18-V-1493</t>
        </is>
      </c>
      <c r="C421" s="90" t="inlineStr">
        <is>
          <t>KDST</t>
        </is>
      </c>
      <c r="F421" t="inlineStr">
        <is>
          <t>p</t>
        </is>
      </c>
      <c r="G421" s="230" t="n">
        <v>2259.62</v>
      </c>
      <c r="H421" t="inlineStr">
        <is>
          <t>WSJU043Z</t>
        </is>
      </c>
      <c r="I421" t="inlineStr">
        <is>
          <t>WSJUI043</t>
        </is>
      </c>
      <c r="K421" t="inlineStr">
        <is>
          <t>2F120374D52363000000015A</t>
        </is>
      </c>
    </row>
    <row r="422">
      <c r="A422" t="n">
        <v>44</v>
      </c>
      <c r="B422" t="inlineStr">
        <is>
          <t>SPE7M518V1410</t>
        </is>
      </c>
      <c r="C422" s="66" t="inlineStr">
        <is>
          <t>ITT Return</t>
        </is>
      </c>
      <c r="H422" t="inlineStr">
        <is>
          <t>WSJU044Z</t>
        </is>
      </c>
      <c r="I422" t="inlineStr">
        <is>
          <t>WSJUI044</t>
        </is>
      </c>
      <c r="K422" t="inlineStr">
        <is>
          <t>2F120374D52363000000015B</t>
        </is>
      </c>
    </row>
    <row r="423">
      <c r="A423" t="n">
        <v>45</v>
      </c>
      <c r="B423" t="inlineStr">
        <is>
          <t>SPE7M0-18-P-0299</t>
        </is>
      </c>
      <c r="C423" s="20" t="inlineStr">
        <is>
          <t>GEMS</t>
        </is>
      </c>
      <c r="E423" s="51" t="n">
        <v>2</v>
      </c>
      <c r="G423" s="230" t="n">
        <v>3148.6</v>
      </c>
      <c r="H423" t="inlineStr">
        <is>
          <t>WSJU045Z</t>
        </is>
      </c>
      <c r="I423" t="inlineStr">
        <is>
          <t>WSJUI045</t>
        </is>
      </c>
      <c r="J423" s="4" t="n">
        <v>43279</v>
      </c>
      <c r="K423" t="inlineStr">
        <is>
          <t>2F120374D52363000000015C</t>
        </is>
      </c>
    </row>
    <row r="424">
      <c r="A424" t="n">
        <v>46</v>
      </c>
      <c r="B424" t="inlineStr">
        <is>
          <t>SPE7MC-18-V-5114</t>
        </is>
      </c>
      <c r="C424" s="20" t="inlineStr">
        <is>
          <t>GENSCO</t>
        </is>
      </c>
      <c r="E424" t="n">
        <v>1</v>
      </c>
      <c r="G424" s="230" t="n">
        <v>2678.68</v>
      </c>
      <c r="H424" t="inlineStr">
        <is>
          <t>WSJU046</t>
        </is>
      </c>
      <c r="I424" t="inlineStr">
        <is>
          <t>WSJUI046</t>
        </is>
      </c>
      <c r="J424" s="4" t="n">
        <v>43279</v>
      </c>
      <c r="K424" t="inlineStr">
        <is>
          <t>2F120374D52363000000015D</t>
        </is>
      </c>
    </row>
    <row r="425">
      <c r="A425" t="n">
        <v>47</v>
      </c>
      <c r="B425" t="inlineStr">
        <is>
          <t>SPE7MC-18-V-5114</t>
        </is>
      </c>
      <c r="C425" s="20" t="inlineStr">
        <is>
          <t>GENSCO</t>
        </is>
      </c>
      <c r="E425" t="n">
        <v>1</v>
      </c>
      <c r="G425" s="230" t="n">
        <v>2678.68</v>
      </c>
      <c r="H425" t="inlineStr">
        <is>
          <t>WSJU047</t>
        </is>
      </c>
      <c r="I425" t="inlineStr">
        <is>
          <t>WSJUI047</t>
        </is>
      </c>
      <c r="J425" s="4" t="n">
        <v>43279</v>
      </c>
      <c r="K425" t="inlineStr">
        <is>
          <t>2F120374D52363000000015E</t>
        </is>
      </c>
    </row>
    <row r="426">
      <c r="A426" t="n">
        <v>48</v>
      </c>
      <c r="B426" t="inlineStr">
        <is>
          <t>SPE7M3-18-V-2884</t>
        </is>
      </c>
      <c r="C426" s="20" t="inlineStr">
        <is>
          <t>ITT</t>
        </is>
      </c>
      <c r="E426" t="n">
        <v>10</v>
      </c>
      <c r="G426" s="230" t="n">
        <v>21899</v>
      </c>
      <c r="H426" t="inlineStr">
        <is>
          <t>WSJU048Z</t>
        </is>
      </c>
      <c r="I426" t="inlineStr">
        <is>
          <t>WSJUI048</t>
        </is>
      </c>
      <c r="J426" s="4" t="n">
        <v>43280</v>
      </c>
      <c r="K426" t="inlineStr">
        <is>
          <t>2F120374D52363000000015F</t>
        </is>
      </c>
    </row>
    <row r="427">
      <c r="A427" t="n">
        <v>49</v>
      </c>
      <c r="B427" t="inlineStr">
        <is>
          <t>SPE7MC-18-V-5114</t>
        </is>
      </c>
      <c r="C427" s="20" t="inlineStr">
        <is>
          <t>GENSCO</t>
        </is>
      </c>
      <c r="E427" t="n">
        <v>1</v>
      </c>
      <c r="G427" s="230" t="n">
        <v>2678.68</v>
      </c>
      <c r="H427" t="inlineStr">
        <is>
          <t>WSJU049</t>
        </is>
      </c>
      <c r="I427" t="inlineStr">
        <is>
          <t>WSJUI049</t>
        </is>
      </c>
      <c r="J427" s="4" t="n">
        <v>43283</v>
      </c>
      <c r="K427" t="inlineStr">
        <is>
          <t>2F120374D523630000000160</t>
        </is>
      </c>
    </row>
    <row r="428">
      <c r="A428" t="n">
        <v>50</v>
      </c>
      <c r="B428" t="inlineStr">
        <is>
          <t>SPE7MC-18-V-5114</t>
        </is>
      </c>
      <c r="C428" s="20" t="inlineStr">
        <is>
          <t>GENSCO</t>
        </is>
      </c>
      <c r="E428" t="n">
        <v>1</v>
      </c>
      <c r="G428" s="230" t="n">
        <v>2678.68</v>
      </c>
      <c r="H428" t="inlineStr">
        <is>
          <t>WSJU050</t>
        </is>
      </c>
      <c r="I428" t="inlineStr">
        <is>
          <t>WSJUI050</t>
        </is>
      </c>
      <c r="J428" s="4" t="n">
        <v>43283</v>
      </c>
      <c r="K428" t="inlineStr">
        <is>
          <t>2F120374D523630000000161</t>
        </is>
      </c>
    </row>
    <row r="429">
      <c r="A429" t="n">
        <v>51</v>
      </c>
      <c r="B429" t="inlineStr">
        <is>
          <t>SPE7MC-18-V-5114</t>
        </is>
      </c>
      <c r="C429" s="20" t="inlineStr">
        <is>
          <t>GENSCO</t>
        </is>
      </c>
      <c r="E429" t="n">
        <v>1</v>
      </c>
      <c r="G429" s="230" t="n">
        <v>2678.68</v>
      </c>
      <c r="H429" t="inlineStr">
        <is>
          <t>WSJU051Z</t>
        </is>
      </c>
      <c r="I429" t="inlineStr">
        <is>
          <t>WSJUI051</t>
        </is>
      </c>
      <c r="J429" s="4" t="n">
        <v>43283</v>
      </c>
      <c r="K429" t="inlineStr">
        <is>
          <t>2F120374D523630000000162</t>
        </is>
      </c>
    </row>
    <row r="430">
      <c r="A430" t="n">
        <v>52</v>
      </c>
      <c r="B430" t="inlineStr">
        <is>
          <t>SPE7MC-18-V-5663</t>
        </is>
      </c>
      <c r="C430" s="20" t="inlineStr">
        <is>
          <t>GEMS</t>
        </is>
      </c>
      <c r="E430" t="n">
        <v>5</v>
      </c>
      <c r="G430" s="230" t="n">
        <v>8492</v>
      </c>
      <c r="H430" t="inlineStr">
        <is>
          <t>WSJU052Z</t>
        </is>
      </c>
      <c r="I430" t="inlineStr">
        <is>
          <t>WSJUI052</t>
        </is>
      </c>
      <c r="J430" s="4" t="n">
        <v>43283</v>
      </c>
      <c r="K430" t="inlineStr">
        <is>
          <t>2F120374D523630000000163</t>
        </is>
      </c>
    </row>
    <row r="431">
      <c r="A431" t="n">
        <v>53</v>
      </c>
      <c r="B431" t="inlineStr">
        <is>
          <t>SPE5E7-18-V-1591</t>
        </is>
      </c>
      <c r="C431" s="66" t="inlineStr">
        <is>
          <t>NAFCO</t>
        </is>
      </c>
      <c r="E431" t="n">
        <v>10</v>
      </c>
      <c r="G431" s="230" t="n">
        <v>7312.8</v>
      </c>
      <c r="H431" t="inlineStr">
        <is>
          <t>WSJU053Z</t>
        </is>
      </c>
      <c r="I431" t="inlineStr">
        <is>
          <t>WSJUI053</t>
        </is>
      </c>
      <c r="J431" s="4" t="n">
        <v>43283</v>
      </c>
      <c r="K431" t="inlineStr">
        <is>
          <t>2F120374D523630000000164</t>
        </is>
      </c>
    </row>
    <row r="432"/>
    <row r="433">
      <c r="A433" t="n">
        <v>1</v>
      </c>
      <c r="B433" t="inlineStr">
        <is>
          <t>SPE7L1-18-V-5717</t>
        </is>
      </c>
      <c r="C433" s="20" t="inlineStr">
        <is>
          <t>KTSDI</t>
        </is>
      </c>
      <c r="E433" t="n">
        <v>4</v>
      </c>
      <c r="F433" t="inlineStr">
        <is>
          <t>p</t>
        </is>
      </c>
      <c r="G433" s="230" t="n">
        <v>2152.96</v>
      </c>
      <c r="H433" t="inlineStr">
        <is>
          <t>WSJY001Z</t>
        </is>
      </c>
      <c r="I433" t="inlineStr">
        <is>
          <t>WSJYI001</t>
        </is>
      </c>
      <c r="J433" s="4" t="n">
        <v>43284</v>
      </c>
      <c r="K433" t="inlineStr">
        <is>
          <t>2F120374D523630000000165</t>
        </is>
      </c>
    </row>
    <row r="434">
      <c r="A434" t="n">
        <v>2</v>
      </c>
      <c r="B434" t="inlineStr">
        <is>
          <t>SPE7L1-18-V-5717</t>
        </is>
      </c>
      <c r="C434" s="20" t="inlineStr">
        <is>
          <t>KTSDI</t>
        </is>
      </c>
      <c r="E434" t="n">
        <v>4</v>
      </c>
      <c r="F434" t="inlineStr">
        <is>
          <t>p</t>
        </is>
      </c>
      <c r="G434" s="230" t="n">
        <v>2152.96</v>
      </c>
      <c r="H434" t="inlineStr">
        <is>
          <t>WSJY002</t>
        </is>
      </c>
      <c r="I434" t="inlineStr">
        <is>
          <t>WSJYI002</t>
        </is>
      </c>
      <c r="J434" s="4" t="n">
        <v>43284</v>
      </c>
      <c r="K434" t="inlineStr">
        <is>
          <t>2F120374D523630000000166</t>
        </is>
      </c>
    </row>
    <row r="435">
      <c r="A435" t="n">
        <v>3</v>
      </c>
      <c r="B435" t="inlineStr">
        <is>
          <t>SPE7M1-18-V-9489</t>
        </is>
      </c>
      <c r="C435" s="20" t="inlineStr">
        <is>
          <t>INDECOO</t>
        </is>
      </c>
      <c r="E435" t="n">
        <v>23</v>
      </c>
      <c r="G435" s="230" t="n">
        <v>2941.47</v>
      </c>
      <c r="H435" t="inlineStr">
        <is>
          <t>WSJY003Z</t>
        </is>
      </c>
      <c r="I435" t="inlineStr">
        <is>
          <t>WSJYI003</t>
        </is>
      </c>
      <c r="J435" s="4" t="n">
        <v>43284</v>
      </c>
      <c r="K435" t="inlineStr">
        <is>
          <t>2F120374D523630000000167</t>
        </is>
      </c>
    </row>
    <row r="436">
      <c r="A436" t="n">
        <v>4</v>
      </c>
      <c r="B436" t="inlineStr">
        <is>
          <t>SPE7MC-18-V-8118</t>
        </is>
      </c>
      <c r="C436" s="20" t="inlineStr">
        <is>
          <t>INDECOO</t>
        </is>
      </c>
      <c r="E436" t="n">
        <v>14</v>
      </c>
      <c r="G436" s="230" t="n">
        <v>1726.2</v>
      </c>
      <c r="H436" t="inlineStr">
        <is>
          <t>WSJY004Z</t>
        </is>
      </c>
      <c r="I436" t="inlineStr">
        <is>
          <t>WSJYI004</t>
        </is>
      </c>
      <c r="J436" s="4" t="n">
        <v>43284</v>
      </c>
      <c r="K436" t="inlineStr">
        <is>
          <t>2F120374D523630000000168</t>
        </is>
      </c>
    </row>
    <row r="437">
      <c r="A437" t="n">
        <v>5</v>
      </c>
      <c r="B437" t="inlineStr">
        <is>
          <t>SPE7M5-18-P-B598</t>
        </is>
      </c>
      <c r="C437" s="20" t="inlineStr">
        <is>
          <t>INDECOO</t>
        </is>
      </c>
      <c r="E437" t="n">
        <v>3</v>
      </c>
      <c r="G437" s="230" t="n">
        <v>757.95</v>
      </c>
      <c r="H437" t="inlineStr">
        <is>
          <t>WSJY005Z</t>
        </is>
      </c>
      <c r="I437" t="inlineStr">
        <is>
          <t>WSJYI005</t>
        </is>
      </c>
      <c r="J437" s="4" t="n">
        <v>43284</v>
      </c>
      <c r="K437" t="inlineStr">
        <is>
          <t>2F120374D523630000000169</t>
        </is>
      </c>
    </row>
    <row r="438">
      <c r="A438" t="n">
        <v>6</v>
      </c>
      <c r="B438" t="inlineStr">
        <is>
          <t>SPE7MC-18-V-8185</t>
        </is>
      </c>
      <c r="C438" s="20" t="inlineStr">
        <is>
          <t>FLOWLINE</t>
        </is>
      </c>
      <c r="E438" t="n">
        <v>3</v>
      </c>
      <c r="F438" t="inlineStr">
        <is>
          <t>p</t>
        </is>
      </c>
      <c r="G438" s="230" t="n">
        <v>689.61</v>
      </c>
      <c r="H438" t="inlineStr">
        <is>
          <t>WSJY006Z</t>
        </is>
      </c>
      <c r="I438" t="inlineStr">
        <is>
          <t>WSJYI006</t>
        </is>
      </c>
      <c r="J438" s="4" t="n">
        <v>43284</v>
      </c>
      <c r="K438" t="inlineStr">
        <is>
          <t>2F120374D52363000000016A</t>
        </is>
      </c>
    </row>
    <row r="439">
      <c r="A439" t="n">
        <v>7</v>
      </c>
      <c r="B439" t="inlineStr">
        <is>
          <t>SPE5EK-18-P-1852</t>
        </is>
      </c>
      <c r="C439" s="20" t="inlineStr">
        <is>
          <t>FLOWLINE</t>
        </is>
      </c>
      <c r="E439" t="n">
        <v>1</v>
      </c>
      <c r="F439" t="inlineStr">
        <is>
          <t>p</t>
        </is>
      </c>
      <c r="G439" s="230" t="n">
        <v>447.8</v>
      </c>
      <c r="H439" t="inlineStr">
        <is>
          <t>WSJY007Z</t>
        </is>
      </c>
      <c r="I439" t="inlineStr">
        <is>
          <t>WSJYI007</t>
        </is>
      </c>
      <c r="J439" s="4" t="n">
        <v>43284</v>
      </c>
      <c r="K439" t="inlineStr">
        <is>
          <t>2F120374D52363000000016B</t>
        </is>
      </c>
    </row>
    <row r="440">
      <c r="A440" t="n">
        <v>8</v>
      </c>
      <c r="B440" t="inlineStr">
        <is>
          <t>SPE7M4-18-P-0708</t>
        </is>
      </c>
      <c r="C440" s="20" t="inlineStr">
        <is>
          <t>PREECE</t>
        </is>
      </c>
      <c r="E440" t="n">
        <v>1</v>
      </c>
      <c r="G440" s="230" t="n">
        <v>12163.45</v>
      </c>
      <c r="H440" t="inlineStr">
        <is>
          <t>WSJY008</t>
        </is>
      </c>
      <c r="I440" t="inlineStr">
        <is>
          <t>WSJYI008</t>
        </is>
      </c>
      <c r="J440" s="4" t="n">
        <v>43290</v>
      </c>
      <c r="K440" t="inlineStr">
        <is>
          <t>2F120374D52363000000016C</t>
        </is>
      </c>
    </row>
    <row r="441">
      <c r="A441" t="n">
        <v>9</v>
      </c>
      <c r="B441" t="inlineStr">
        <is>
          <t>SPE7M4-18-P-0708</t>
        </is>
      </c>
      <c r="C441" s="20" t="inlineStr">
        <is>
          <t>PREECE</t>
        </is>
      </c>
      <c r="E441" t="n">
        <v>1</v>
      </c>
      <c r="G441" s="230" t="n">
        <v>12163.45</v>
      </c>
      <c r="H441" t="inlineStr">
        <is>
          <t>WSJY009</t>
        </is>
      </c>
      <c r="I441" t="inlineStr">
        <is>
          <t>WSJYI009</t>
        </is>
      </c>
      <c r="J441" s="4" t="n">
        <v>43290</v>
      </c>
      <c r="K441" t="inlineStr">
        <is>
          <t>2F120374D52363000000016D</t>
        </is>
      </c>
    </row>
    <row r="442">
      <c r="A442" t="n">
        <v>10</v>
      </c>
      <c r="B442" t="inlineStr">
        <is>
          <t>SPE7MC-18-V-3153</t>
        </is>
      </c>
      <c r="C442" s="20" t="inlineStr">
        <is>
          <t>Glenair</t>
        </is>
      </c>
      <c r="E442" t="n">
        <v>12</v>
      </c>
      <c r="G442" s="230" t="n">
        <v>9739.68</v>
      </c>
      <c r="H442" t="inlineStr">
        <is>
          <t>WSJY010</t>
        </is>
      </c>
      <c r="I442" t="inlineStr">
        <is>
          <t>WSJYI010</t>
        </is>
      </c>
      <c r="J442" s="4" t="n">
        <v>43290</v>
      </c>
      <c r="K442" t="inlineStr">
        <is>
          <t>2F120374D52363000000016E</t>
        </is>
      </c>
    </row>
    <row r="443">
      <c r="A443" t="n">
        <v>11</v>
      </c>
      <c r="B443" t="inlineStr">
        <is>
          <t>SPE4A4-18-V-6363</t>
        </is>
      </c>
      <c r="C443" s="20" t="inlineStr">
        <is>
          <t>GEMS</t>
        </is>
      </c>
      <c r="E443" t="n">
        <v>4</v>
      </c>
      <c r="G443" s="230" t="n">
        <v>5706.12</v>
      </c>
      <c r="H443" t="inlineStr">
        <is>
          <t>WSJY011</t>
        </is>
      </c>
      <c r="I443" t="inlineStr">
        <is>
          <t>WSJYI011</t>
        </is>
      </c>
      <c r="J443" s="4" t="n">
        <v>43291</v>
      </c>
      <c r="K443" t="inlineStr">
        <is>
          <t>2F120374D52363000000016F</t>
        </is>
      </c>
    </row>
    <row r="444">
      <c r="A444" t="n">
        <v>12</v>
      </c>
      <c r="B444" t="inlineStr">
        <is>
          <t>SPE4A4-18-V-6363</t>
        </is>
      </c>
      <c r="C444" s="20" t="inlineStr">
        <is>
          <t>GEMS</t>
        </is>
      </c>
      <c r="E444" t="n">
        <v>4</v>
      </c>
      <c r="G444" s="230" t="n">
        <v>5706.12</v>
      </c>
      <c r="H444" t="inlineStr">
        <is>
          <t>WSJY012Z</t>
        </is>
      </c>
      <c r="I444" t="inlineStr">
        <is>
          <t>WSJYI012</t>
        </is>
      </c>
      <c r="J444" s="4" t="n">
        <v>43291</v>
      </c>
      <c r="K444" t="inlineStr">
        <is>
          <t>2F120374D523630000000170</t>
        </is>
      </c>
    </row>
    <row r="445">
      <c r="A445" t="n">
        <v>13</v>
      </c>
      <c r="B445" t="inlineStr">
        <is>
          <t>SPE7M5-18-V-8019</t>
        </is>
      </c>
      <c r="C445" s="20" t="inlineStr">
        <is>
          <t>Glenair</t>
        </is>
      </c>
      <c r="E445" t="n">
        <v>18</v>
      </c>
      <c r="G445" s="230" t="n"/>
      <c r="H445" t="inlineStr">
        <is>
          <t>WSJY013Z</t>
        </is>
      </c>
      <c r="I445" t="inlineStr">
        <is>
          <t>WSJYI013</t>
        </is>
      </c>
      <c r="J445" s="4" t="n">
        <v>43291</v>
      </c>
      <c r="K445" t="inlineStr">
        <is>
          <t>2F120374D523630000000171</t>
        </is>
      </c>
    </row>
    <row r="446">
      <c r="A446" t="n">
        <v>14</v>
      </c>
      <c r="B446" t="inlineStr">
        <is>
          <t>SPE7M5-18-P-4703</t>
        </is>
      </c>
      <c r="C446" s="20" t="inlineStr">
        <is>
          <t>Glenair</t>
        </is>
      </c>
      <c r="E446" t="n">
        <v>48</v>
      </c>
      <c r="G446" s="230" t="n">
        <v>26334.72</v>
      </c>
      <c r="H446" t="inlineStr">
        <is>
          <t>WSJY014Z</t>
        </is>
      </c>
      <c r="I446" t="inlineStr">
        <is>
          <t>WSJYI014</t>
        </is>
      </c>
      <c r="J446" s="4" t="n">
        <v>43291</v>
      </c>
      <c r="K446" t="inlineStr">
        <is>
          <t>2F120374D523630000000172</t>
        </is>
      </c>
    </row>
    <row r="447">
      <c r="A447" t="n">
        <v>15</v>
      </c>
      <c r="B447" t="inlineStr">
        <is>
          <t>SPE7M5-18-P-9985</t>
        </is>
      </c>
      <c r="C447" s="20" t="inlineStr">
        <is>
          <t>Glenair</t>
        </is>
      </c>
      <c r="E447" t="n">
        <v>15</v>
      </c>
      <c r="G447" s="230" t="n">
        <v>4947.3</v>
      </c>
      <c r="H447" t="inlineStr">
        <is>
          <t>WSJY015Z</t>
        </is>
      </c>
      <c r="I447" t="inlineStr">
        <is>
          <t>WSJYI015</t>
        </is>
      </c>
      <c r="J447" s="4" t="n">
        <v>43292</v>
      </c>
      <c r="K447" t="inlineStr">
        <is>
          <t>2F120374D523630000000173</t>
        </is>
      </c>
    </row>
    <row r="448">
      <c r="A448" t="n">
        <v>16</v>
      </c>
      <c r="B448" t="inlineStr">
        <is>
          <t>SPE7MC-18-V-7504</t>
        </is>
      </c>
      <c r="C448" s="20" t="inlineStr">
        <is>
          <t>Glenair</t>
        </is>
      </c>
      <c r="E448" t="n">
        <v>34</v>
      </c>
      <c r="G448" s="230" t="n">
        <v>4240.48</v>
      </c>
      <c r="H448" t="inlineStr">
        <is>
          <t>WSJY016Z</t>
        </is>
      </c>
      <c r="I448" t="inlineStr">
        <is>
          <t>WSJYI016</t>
        </is>
      </c>
      <c r="J448" s="4" t="n">
        <v>43292</v>
      </c>
      <c r="K448" t="inlineStr">
        <is>
          <t>2F120374D523630000000174</t>
        </is>
      </c>
    </row>
    <row r="449">
      <c r="A449" t="n">
        <v>17</v>
      </c>
      <c r="B449" t="inlineStr">
        <is>
          <t>SPE7M0-18-P-1661</t>
        </is>
      </c>
      <c r="C449" s="20" t="inlineStr">
        <is>
          <t>Morpac</t>
        </is>
      </c>
      <c r="E449" t="n">
        <v>1</v>
      </c>
      <c r="G449" s="230" t="n">
        <v>4069</v>
      </c>
      <c r="H449" t="inlineStr">
        <is>
          <t>WSJY020Z</t>
        </is>
      </c>
      <c r="I449" t="inlineStr">
        <is>
          <t>WSJYI020</t>
        </is>
      </c>
      <c r="J449" s="4" t="n">
        <v>43297</v>
      </c>
    </row>
    <row r="450">
      <c r="A450" t="n">
        <v>18</v>
      </c>
      <c r="B450" t="inlineStr">
        <is>
          <t>SPE7L7-18-V-1266</t>
        </is>
      </c>
      <c r="C450" s="20" t="inlineStr">
        <is>
          <t>X</t>
        </is>
      </c>
      <c r="E450" t="n">
        <v>6</v>
      </c>
      <c r="F450" t="inlineStr">
        <is>
          <t>p</t>
        </is>
      </c>
      <c r="G450" s="262" t="n">
        <v>1030.68</v>
      </c>
      <c r="H450" t="inlineStr">
        <is>
          <t>WSJY018</t>
        </is>
      </c>
      <c r="I450" t="inlineStr">
        <is>
          <t>WSJYI018</t>
        </is>
      </c>
      <c r="J450" s="4" t="n">
        <v>43292</v>
      </c>
      <c r="K450" t="inlineStr">
        <is>
          <t>2F120374D523630000000176</t>
        </is>
      </c>
    </row>
    <row r="451">
      <c r="A451" t="n">
        <v>19</v>
      </c>
      <c r="B451" t="inlineStr">
        <is>
          <t>SPE7L7-18-V-1266</t>
        </is>
      </c>
      <c r="C451" s="20" t="inlineStr">
        <is>
          <t>X</t>
        </is>
      </c>
      <c r="E451" t="n">
        <v>5</v>
      </c>
      <c r="F451" t="inlineStr">
        <is>
          <t>p</t>
        </is>
      </c>
      <c r="G451" s="230" t="n">
        <v>858.9</v>
      </c>
      <c r="H451" t="inlineStr">
        <is>
          <t>WSJY019Z</t>
        </is>
      </c>
      <c r="I451" t="inlineStr">
        <is>
          <t>WSJYI019</t>
        </is>
      </c>
      <c r="J451" s="4" t="n">
        <v>43292</v>
      </c>
      <c r="K451" t="inlineStr">
        <is>
          <t>2F120374D523630000000177</t>
        </is>
      </c>
    </row>
    <row r="452">
      <c r="A452" t="n">
        <v>20</v>
      </c>
      <c r="B452" t="inlineStr">
        <is>
          <t>SPE7M5-18-V-9614</t>
        </is>
      </c>
      <c r="C452" s="20" t="inlineStr">
        <is>
          <t>Glenair</t>
        </is>
      </c>
      <c r="E452" t="n">
        <v>7</v>
      </c>
      <c r="G452" s="230" t="n">
        <v>1914.36</v>
      </c>
      <c r="H452" t="inlineStr">
        <is>
          <t>WSJY021Z</t>
        </is>
      </c>
      <c r="I452" t="inlineStr">
        <is>
          <t>WSJYI021</t>
        </is>
      </c>
      <c r="J452" s="4" t="n">
        <v>43298</v>
      </c>
      <c r="K452" t="inlineStr">
        <is>
          <t>2F120374D523630000000178</t>
        </is>
      </c>
    </row>
    <row r="453">
      <c r="A453" t="n">
        <v>21</v>
      </c>
      <c r="B453" t="inlineStr">
        <is>
          <t>SPE7M5-18-V-034N</t>
        </is>
      </c>
      <c r="C453" s="20" t="inlineStr">
        <is>
          <t>Glenair</t>
        </is>
      </c>
      <c r="E453" t="n">
        <v>9</v>
      </c>
      <c r="G453" s="230" t="n">
        <v>1881</v>
      </c>
      <c r="H453" t="inlineStr">
        <is>
          <t>WSJY022Z</t>
        </is>
      </c>
      <c r="I453" t="inlineStr">
        <is>
          <t>WSJYI022</t>
        </is>
      </c>
      <c r="J453" s="4" t="n">
        <v>43298</v>
      </c>
      <c r="K453" t="inlineStr">
        <is>
          <t>2F120374D523630000000178</t>
        </is>
      </c>
    </row>
    <row r="454">
      <c r="A454" t="n">
        <v>22</v>
      </c>
      <c r="B454" t="inlineStr">
        <is>
          <t>SPE7MC-18-V-5667</t>
        </is>
      </c>
      <c r="C454" s="20" t="inlineStr">
        <is>
          <t>GEMS</t>
        </is>
      </c>
      <c r="E454" t="n">
        <v>6</v>
      </c>
      <c r="G454" s="230" t="n">
        <v>7266</v>
      </c>
      <c r="H454" t="inlineStr">
        <is>
          <t>WSJY023Z</t>
        </is>
      </c>
      <c r="I454" t="inlineStr">
        <is>
          <t>WSJYI023</t>
        </is>
      </c>
      <c r="J454" s="4" t="n">
        <v>43298</v>
      </c>
      <c r="K454" t="inlineStr">
        <is>
          <t>2F120374D523630000000179</t>
        </is>
      </c>
    </row>
    <row r="455">
      <c r="A455" t="n">
        <v>23</v>
      </c>
      <c r="B455" t="inlineStr">
        <is>
          <t>SPE7MC-18-V-6786</t>
        </is>
      </c>
      <c r="C455" s="20" t="inlineStr">
        <is>
          <t>PBM</t>
        </is>
      </c>
      <c r="E455" t="n">
        <v>2</v>
      </c>
      <c r="G455" s="230" t="n">
        <v>1136.76</v>
      </c>
      <c r="H455" t="inlineStr">
        <is>
          <t>WSJY024Z</t>
        </is>
      </c>
      <c r="I455" t="inlineStr">
        <is>
          <t>WSJYI024</t>
        </is>
      </c>
      <c r="J455" s="4" t="n">
        <v>43298</v>
      </c>
      <c r="K455" t="inlineStr">
        <is>
          <t>2F120374D52363000000017A</t>
        </is>
      </c>
    </row>
    <row r="456">
      <c r="A456" t="n">
        <v>24</v>
      </c>
      <c r="B456" t="inlineStr">
        <is>
          <t>SPE7MC-18-V-6391</t>
        </is>
      </c>
      <c r="C456" s="20" t="inlineStr">
        <is>
          <t>PBM</t>
        </is>
      </c>
      <c r="E456" s="51" t="n">
        <v>2</v>
      </c>
      <c r="G456" s="230" t="n">
        <v>1138</v>
      </c>
      <c r="H456" t="inlineStr">
        <is>
          <t>WSJY025Z</t>
        </is>
      </c>
      <c r="I456" t="inlineStr">
        <is>
          <t>WSJYI025</t>
        </is>
      </c>
      <c r="J456" s="4" t="n">
        <v>43299</v>
      </c>
      <c r="K456" t="inlineStr">
        <is>
          <t>2F120374D52363000000017B</t>
        </is>
      </c>
    </row>
    <row r="457">
      <c r="A457" t="n">
        <v>25</v>
      </c>
      <c r="B457" t="inlineStr">
        <is>
          <t>SPE7M5-18-V-050P</t>
        </is>
      </c>
      <c r="C457" s="20" t="inlineStr">
        <is>
          <t>KONGSBERG</t>
        </is>
      </c>
      <c r="E457" t="n">
        <v>1</v>
      </c>
      <c r="G457" s="230" t="n">
        <v>866.8200000000001</v>
      </c>
      <c r="H457" t="inlineStr">
        <is>
          <t>WSJY026Z</t>
        </is>
      </c>
      <c r="I457" t="inlineStr">
        <is>
          <t>WSJYI026</t>
        </is>
      </c>
      <c r="J457" s="4" t="n">
        <v>43299</v>
      </c>
      <c r="K457" t="inlineStr">
        <is>
          <t>2F120374D52363000000017C</t>
        </is>
      </c>
    </row>
    <row r="458">
      <c r="A458" t="n">
        <v>26</v>
      </c>
      <c r="B458" t="inlineStr">
        <is>
          <t>SPE7M1-18-V-023D</t>
        </is>
      </c>
      <c r="C458" s="20" t="inlineStr">
        <is>
          <t>KONGSBERG</t>
        </is>
      </c>
      <c r="E458" t="n">
        <v>1</v>
      </c>
      <c r="G458" s="230" t="n">
        <v>299.49</v>
      </c>
      <c r="H458" t="inlineStr">
        <is>
          <t>WSJY027Z</t>
        </is>
      </c>
      <c r="I458" t="inlineStr">
        <is>
          <t>WSJYI027</t>
        </is>
      </c>
      <c r="J458" s="4" t="n">
        <v>43299</v>
      </c>
      <c r="K458" t="inlineStr">
        <is>
          <t>NO</t>
        </is>
      </c>
    </row>
    <row r="459">
      <c r="A459" t="n">
        <v>27</v>
      </c>
      <c r="B459" t="inlineStr">
        <is>
          <t>SPE5E8-18-V-2782</t>
        </is>
      </c>
      <c r="C459" s="20" t="inlineStr">
        <is>
          <t>NAFCO</t>
        </is>
      </c>
      <c r="E459" t="n">
        <v>10</v>
      </c>
      <c r="G459" s="230" t="n">
        <v>6147.8</v>
      </c>
      <c r="H459" t="inlineStr">
        <is>
          <t>WSJY028Z</t>
        </is>
      </c>
      <c r="I459" t="inlineStr">
        <is>
          <t>WSJYI028</t>
        </is>
      </c>
      <c r="J459" s="4" t="n">
        <v>43299</v>
      </c>
      <c r="K459" t="inlineStr">
        <is>
          <t>2F120374D52363000000017D</t>
        </is>
      </c>
    </row>
    <row r="460">
      <c r="A460" t="n">
        <v>28</v>
      </c>
      <c r="B460" t="inlineStr">
        <is>
          <t>SPE7L7-18-V-1047</t>
        </is>
      </c>
      <c r="C460" s="20" t="inlineStr">
        <is>
          <t>XEN</t>
        </is>
      </c>
      <c r="E460" t="n">
        <v>6</v>
      </c>
      <c r="F460" t="inlineStr">
        <is>
          <t>p</t>
        </is>
      </c>
      <c r="G460" s="230" t="n">
        <v>1222.92</v>
      </c>
      <c r="H460" t="inlineStr">
        <is>
          <t>WSJY029</t>
        </is>
      </c>
      <c r="I460" t="inlineStr">
        <is>
          <t>WSJYI029</t>
        </is>
      </c>
      <c r="J460" s="4" t="n">
        <v>43299</v>
      </c>
      <c r="K460" t="inlineStr">
        <is>
          <t>2F120374D52363000000017E</t>
        </is>
      </c>
    </row>
    <row r="461">
      <c r="A461" t="n">
        <v>29</v>
      </c>
      <c r="B461" t="inlineStr">
        <is>
          <t>SPE7L7-18-V-1047</t>
        </is>
      </c>
      <c r="C461" s="20" t="inlineStr">
        <is>
          <t>XEN</t>
        </is>
      </c>
      <c r="E461" t="n">
        <v>1</v>
      </c>
      <c r="F461" t="inlineStr">
        <is>
          <t>p</t>
        </is>
      </c>
      <c r="G461" s="230" t="n">
        <v>230.8</v>
      </c>
      <c r="H461" t="inlineStr">
        <is>
          <t>WSJY030Z</t>
        </is>
      </c>
      <c r="I461" t="inlineStr">
        <is>
          <t>WSJYI030</t>
        </is>
      </c>
      <c r="J461" s="4" t="n">
        <v>43299</v>
      </c>
      <c r="K461" t="inlineStr">
        <is>
          <t>2F120374D52363000000017F</t>
        </is>
      </c>
    </row>
    <row r="462">
      <c r="A462" t="n">
        <v>30</v>
      </c>
      <c r="B462" t="inlineStr">
        <is>
          <t>SPE5EJ-18-V-6762</t>
        </is>
      </c>
      <c r="C462" s="20" t="inlineStr">
        <is>
          <t>Griswold</t>
        </is>
      </c>
      <c r="E462" t="n">
        <v>49</v>
      </c>
      <c r="F462" t="inlineStr">
        <is>
          <t>p</t>
        </is>
      </c>
      <c r="G462" s="230" t="n">
        <v>464.03</v>
      </c>
      <c r="H462" t="inlineStr">
        <is>
          <t>WSJY031Z</t>
        </is>
      </c>
      <c r="I462" t="inlineStr">
        <is>
          <t>WSJYI031</t>
        </is>
      </c>
      <c r="J462" s="4" t="n">
        <v>43304</v>
      </c>
      <c r="K462" t="inlineStr">
        <is>
          <t>2F120374D523630000000180</t>
        </is>
      </c>
    </row>
    <row r="463">
      <c r="A463" t="n">
        <v>31</v>
      </c>
      <c r="B463" t="inlineStr">
        <is>
          <t>SPE5E0-18-V-4254</t>
        </is>
      </c>
      <c r="C463" s="20" t="inlineStr">
        <is>
          <t>Griswold</t>
        </is>
      </c>
      <c r="E463" t="n">
        <v>11</v>
      </c>
      <c r="F463" t="inlineStr">
        <is>
          <t>p</t>
        </is>
      </c>
      <c r="G463" s="230" t="n">
        <v>152.79</v>
      </c>
      <c r="H463" t="inlineStr">
        <is>
          <t>WSJY032Z</t>
        </is>
      </c>
      <c r="I463" t="inlineStr">
        <is>
          <t>WSJYI032</t>
        </is>
      </c>
      <c r="J463" s="4" t="n">
        <v>43304</v>
      </c>
      <c r="K463" t="inlineStr">
        <is>
          <t>2F120374D523630000000181</t>
        </is>
      </c>
    </row>
    <row r="464">
      <c r="A464" t="n">
        <v>32</v>
      </c>
      <c r="B464" t="inlineStr">
        <is>
          <t>SPE7M4-18-V-5567</t>
        </is>
      </c>
      <c r="C464" s="20" t="inlineStr">
        <is>
          <t>Advance Mfg</t>
        </is>
      </c>
      <c r="E464" t="n">
        <v>6</v>
      </c>
      <c r="F464" t="inlineStr">
        <is>
          <t>p</t>
        </is>
      </c>
      <c r="G464" s="230" t="n">
        <v>5986.08</v>
      </c>
      <c r="H464" t="inlineStr">
        <is>
          <t>WSJY033Z</t>
        </is>
      </c>
      <c r="I464" t="inlineStr">
        <is>
          <t>WSJYI033</t>
        </is>
      </c>
      <c r="J464" s="4" t="n">
        <v>43304</v>
      </c>
      <c r="K464" t="inlineStr">
        <is>
          <t>2F120374D523630000000182</t>
        </is>
      </c>
    </row>
    <row r="465">
      <c r="A465" t="n">
        <v>33</v>
      </c>
      <c r="B465" t="inlineStr">
        <is>
          <t>SPE7M0-18-V-6259</t>
        </is>
      </c>
      <c r="C465" s="20" t="inlineStr">
        <is>
          <t>GEMS</t>
        </is>
      </c>
      <c r="E465" s="51" t="n">
        <v>1</v>
      </c>
      <c r="G465" s="230" t="n">
        <v>3611</v>
      </c>
      <c r="H465" t="inlineStr">
        <is>
          <t>WSJY034Z</t>
        </is>
      </c>
      <c r="I465" t="inlineStr">
        <is>
          <t>WSJYI034</t>
        </is>
      </c>
      <c r="J465" s="4" t="n">
        <v>43304</v>
      </c>
      <c r="K465" t="inlineStr">
        <is>
          <t>2F120374D523630000000183</t>
        </is>
      </c>
    </row>
    <row r="466">
      <c r="A466" t="n">
        <v>34</v>
      </c>
      <c r="B466" t="inlineStr">
        <is>
          <t>SPE7M5-18-P-4703</t>
        </is>
      </c>
      <c r="C466" s="20" t="inlineStr">
        <is>
          <t>Glenair</t>
        </is>
      </c>
      <c r="E466" t="n">
        <v>19</v>
      </c>
      <c r="G466" s="230" t="n">
        <v>10424.16</v>
      </c>
      <c r="H466" t="inlineStr">
        <is>
          <t>WSJY035Z</t>
        </is>
      </c>
      <c r="I466" t="inlineStr">
        <is>
          <t>WSJYI035</t>
        </is>
      </c>
      <c r="J466" s="4" t="n">
        <v>43305</v>
      </c>
      <c r="K466" t="inlineStr">
        <is>
          <t>2F120374D523630000000184</t>
        </is>
      </c>
    </row>
    <row r="467">
      <c r="A467" t="n">
        <v>35</v>
      </c>
      <c r="B467" t="inlineStr">
        <is>
          <t>SPE7MC-18-V-4379</t>
        </is>
      </c>
      <c r="C467" s="20" t="inlineStr">
        <is>
          <t>Glenair</t>
        </is>
      </c>
      <c r="E467" t="n">
        <v>12</v>
      </c>
      <c r="G467" s="230" t="n">
        <v>10852.56</v>
      </c>
      <c r="H467" t="inlineStr">
        <is>
          <t>WSJY036Z</t>
        </is>
      </c>
      <c r="I467" t="inlineStr">
        <is>
          <t>WSJYI036</t>
        </is>
      </c>
      <c r="J467" s="4" t="n">
        <v>43305</v>
      </c>
      <c r="K467" t="inlineStr">
        <is>
          <t>2F120374D523630000000185</t>
        </is>
      </c>
    </row>
    <row r="468">
      <c r="A468" t="n">
        <v>36</v>
      </c>
      <c r="B468" t="inlineStr">
        <is>
          <t>SPE7M5-18-V-8497</t>
        </is>
      </c>
      <c r="C468" s="20" t="inlineStr">
        <is>
          <t>Glenair</t>
        </is>
      </c>
      <c r="E468" t="n">
        <v>36</v>
      </c>
      <c r="G468" s="230" t="n">
        <v>1385.64</v>
      </c>
      <c r="H468" t="inlineStr">
        <is>
          <t>WSJY037Z</t>
        </is>
      </c>
      <c r="I468" t="inlineStr">
        <is>
          <t>WSJYI037</t>
        </is>
      </c>
      <c r="J468" s="4" t="n">
        <v>43306</v>
      </c>
      <c r="K468" t="inlineStr">
        <is>
          <t>2F120374D523630000000186</t>
        </is>
      </c>
    </row>
    <row r="469">
      <c r="A469" t="n">
        <v>37</v>
      </c>
      <c r="B469" t="inlineStr">
        <is>
          <t>SPE7M5-18-V-7116</t>
        </is>
      </c>
      <c r="C469" s="20" t="inlineStr">
        <is>
          <t>Glenair</t>
        </is>
      </c>
      <c r="E469" t="n">
        <v>91</v>
      </c>
      <c r="G469" s="232" t="n">
        <v>6766.76</v>
      </c>
      <c r="H469" t="inlineStr">
        <is>
          <t>WSJY038Z</t>
        </is>
      </c>
      <c r="I469" t="inlineStr">
        <is>
          <t>WSJYI038</t>
        </is>
      </c>
      <c r="J469" s="4" t="n">
        <v>43308</v>
      </c>
      <c r="K469" t="inlineStr">
        <is>
          <t>2F120374D523630000000187</t>
        </is>
      </c>
    </row>
    <row r="470">
      <c r="A470" t="n">
        <v>38</v>
      </c>
      <c r="B470" t="inlineStr">
        <is>
          <t>SPE5EJ-18-V-6194</t>
        </is>
      </c>
      <c r="C470" s="20" t="inlineStr">
        <is>
          <t>KTSDI</t>
        </is>
      </c>
      <c r="E470" t="n">
        <v>12</v>
      </c>
      <c r="G470" s="230" t="n">
        <v>2592</v>
      </c>
      <c r="H470" t="inlineStr">
        <is>
          <t>WSJY039Z</t>
        </is>
      </c>
      <c r="I470" t="inlineStr">
        <is>
          <t>WSJYI039</t>
        </is>
      </c>
      <c r="J470" s="4" t="n">
        <v>43308</v>
      </c>
      <c r="K470" t="inlineStr">
        <is>
          <t>2F120374D523630000000188</t>
        </is>
      </c>
    </row>
    <row r="471">
      <c r="A471" t="n">
        <v>39</v>
      </c>
      <c r="B471" t="inlineStr">
        <is>
          <t>SPE7M9-18-V-0914</t>
        </is>
      </c>
      <c r="C471" s="20" t="inlineStr">
        <is>
          <t>HIAB</t>
        </is>
      </c>
      <c r="E471" t="n">
        <v>24</v>
      </c>
      <c r="G471" s="262" t="n">
        <v>10673.28</v>
      </c>
      <c r="H471" t="inlineStr">
        <is>
          <t>WSJY039Z</t>
        </is>
      </c>
      <c r="I471" t="inlineStr">
        <is>
          <t>WSJYI040</t>
        </is>
      </c>
      <c r="J471" s="4" t="n">
        <v>43308</v>
      </c>
      <c r="K471" t="inlineStr">
        <is>
          <t>2F120374D523630000000189</t>
        </is>
      </c>
    </row>
    <row r="472">
      <c r="A472" t="n">
        <v>40</v>
      </c>
      <c r="B472" t="inlineStr">
        <is>
          <t>SPE4A6-18-V-154U</t>
        </is>
      </c>
      <c r="C472" s="20" t="inlineStr">
        <is>
          <t>AVIBANK</t>
        </is>
      </c>
      <c r="E472" t="n">
        <v>124</v>
      </c>
      <c r="G472" s="230" t="n">
        <v>1943.08</v>
      </c>
      <c r="H472" t="inlineStr">
        <is>
          <t>WSJY041Z</t>
        </is>
      </c>
      <c r="I472" t="inlineStr">
        <is>
          <t>WSJYI041</t>
        </is>
      </c>
      <c r="J472" s="4" t="n">
        <v>43308</v>
      </c>
      <c r="K472" t="inlineStr">
        <is>
          <t>2F120374D52363000000018A</t>
        </is>
      </c>
    </row>
    <row r="473">
      <c r="A473" t="n">
        <v>41</v>
      </c>
      <c r="B473" t="inlineStr">
        <is>
          <t>SPE7L0-18-V-4120</t>
        </is>
      </c>
      <c r="C473" s="20" t="inlineStr">
        <is>
          <t>TIMKEN</t>
        </is>
      </c>
      <c r="E473" t="n">
        <v>1</v>
      </c>
      <c r="G473" s="230" t="n">
        <v>7061.62</v>
      </c>
      <c r="H473" t="inlineStr">
        <is>
          <t>WSJY042</t>
        </is>
      </c>
      <c r="I473" t="inlineStr">
        <is>
          <t>WSJYI042</t>
        </is>
      </c>
      <c r="J473" s="4" t="n">
        <v>43311</v>
      </c>
      <c r="K473" t="inlineStr">
        <is>
          <t>2F120374D52363000000018B</t>
        </is>
      </c>
    </row>
    <row r="474">
      <c r="A474" t="n">
        <v>42</v>
      </c>
      <c r="B474" t="inlineStr">
        <is>
          <t>SPE7L0-18-V-4120</t>
        </is>
      </c>
      <c r="C474" s="20" t="inlineStr">
        <is>
          <t>TIMKEN</t>
        </is>
      </c>
      <c r="E474" t="n">
        <v>1</v>
      </c>
      <c r="G474" s="230" t="n">
        <v>7061.62</v>
      </c>
      <c r="H474" t="inlineStr">
        <is>
          <t>WSJY043Z</t>
        </is>
      </c>
      <c r="I474" t="inlineStr">
        <is>
          <t>WSJYI043</t>
        </is>
      </c>
      <c r="J474" s="4" t="n">
        <v>43311</v>
      </c>
      <c r="K474" t="inlineStr">
        <is>
          <t>2F120374D52363000000018C</t>
        </is>
      </c>
    </row>
    <row r="475">
      <c r="A475" t="n">
        <v>43</v>
      </c>
      <c r="B475" t="inlineStr">
        <is>
          <t>SPE7M5-18-P-B343</t>
        </is>
      </c>
      <c r="C475" s="20" t="inlineStr">
        <is>
          <t>Glenair</t>
        </is>
      </c>
      <c r="E475" t="n">
        <v>42</v>
      </c>
      <c r="G475" s="230" t="n">
        <v>7504.98</v>
      </c>
      <c r="H475" t="inlineStr">
        <is>
          <t>WSJY044Z</t>
        </is>
      </c>
      <c r="I475" t="inlineStr">
        <is>
          <t>WSJYI044</t>
        </is>
      </c>
      <c r="J475" s="4" t="n">
        <v>43311</v>
      </c>
      <c r="K475" t="inlineStr">
        <is>
          <t>2F120374D52363000000018D</t>
        </is>
      </c>
    </row>
    <row r="476">
      <c r="A476" t="n">
        <v>44</v>
      </c>
      <c r="B476" t="inlineStr">
        <is>
          <t>SPE7M0-18-V-9397</t>
        </is>
      </c>
      <c r="C476" s="20" t="inlineStr">
        <is>
          <t>Munter</t>
        </is>
      </c>
      <c r="E476" t="n">
        <v>4</v>
      </c>
      <c r="G476" s="230" t="n">
        <v>2732.52</v>
      </c>
      <c r="H476" t="inlineStr">
        <is>
          <t>WSJY045</t>
        </is>
      </c>
      <c r="I476" t="inlineStr">
        <is>
          <t>WSJYI045</t>
        </is>
      </c>
      <c r="J476" s="4" t="n">
        <v>43312</v>
      </c>
      <c r="K476" t="inlineStr">
        <is>
          <t>2F120374D52363000000018E</t>
        </is>
      </c>
    </row>
    <row r="477">
      <c r="A477" t="n">
        <v>45</v>
      </c>
      <c r="B477" t="inlineStr">
        <is>
          <t>SPE7M0-18-V-9397</t>
        </is>
      </c>
      <c r="C477" s="20" t="inlineStr">
        <is>
          <t>Munter</t>
        </is>
      </c>
      <c r="E477" t="n">
        <v>4</v>
      </c>
      <c r="G477" s="230" t="n">
        <v>2732.52</v>
      </c>
      <c r="H477" t="inlineStr">
        <is>
          <t>WSJY046</t>
        </is>
      </c>
      <c r="I477" t="inlineStr">
        <is>
          <t>WSJYI046</t>
        </is>
      </c>
      <c r="J477" s="4" t="n">
        <v>43312</v>
      </c>
      <c r="K477" t="inlineStr">
        <is>
          <t>2F120374D52363000000018F</t>
        </is>
      </c>
    </row>
    <row r="478">
      <c r="A478" t="n">
        <v>46</v>
      </c>
      <c r="B478" t="inlineStr">
        <is>
          <t>SPE7M0-18-V-9397</t>
        </is>
      </c>
      <c r="C478" s="20" t="inlineStr">
        <is>
          <t>Munter</t>
        </is>
      </c>
      <c r="E478" t="n">
        <v>4</v>
      </c>
      <c r="G478" s="230" t="n">
        <v>2732.52</v>
      </c>
      <c r="H478" t="inlineStr">
        <is>
          <t>WSJY047Z</t>
        </is>
      </c>
      <c r="I478" t="inlineStr">
        <is>
          <t>WSJYI047</t>
        </is>
      </c>
      <c r="J478" s="4" t="n">
        <v>43312</v>
      </c>
      <c r="K478" t="inlineStr">
        <is>
          <t>2F120374D523630000000190</t>
        </is>
      </c>
    </row>
    <row r="479"/>
    <row r="480">
      <c r="A480" t="n">
        <v>1</v>
      </c>
      <c r="B480" t="inlineStr">
        <is>
          <t>SPE4A4-18-V-8421</t>
        </is>
      </c>
      <c r="C480" s="20" t="inlineStr">
        <is>
          <t>GEMS</t>
        </is>
      </c>
      <c r="E480" s="51" t="n">
        <v>16</v>
      </c>
      <c r="G480" s="230" t="n">
        <v>9737.120000000001</v>
      </c>
      <c r="H480" t="inlineStr">
        <is>
          <t>WSAU001Z</t>
        </is>
      </c>
      <c r="I480" t="inlineStr">
        <is>
          <t>WSAUI001</t>
        </is>
      </c>
      <c r="J480" s="4" t="n">
        <v>43313</v>
      </c>
      <c r="K480" t="inlineStr">
        <is>
          <t>2F120374D523630000000191</t>
        </is>
      </c>
    </row>
    <row r="481">
      <c r="A481" t="n">
        <v>2</v>
      </c>
      <c r="B481" t="inlineStr">
        <is>
          <t>SPE7M0-18-V-7892</t>
        </is>
      </c>
      <c r="C481" s="66" t="inlineStr">
        <is>
          <t>Aerofit</t>
        </is>
      </c>
      <c r="E481" s="51" t="n">
        <v>12</v>
      </c>
      <c r="G481" s="230" t="n">
        <v>215.28</v>
      </c>
      <c r="H481" t="inlineStr">
        <is>
          <t>WSAU002Z</t>
        </is>
      </c>
      <c r="I481" t="inlineStr">
        <is>
          <t>WSAUI002</t>
        </is>
      </c>
      <c r="J481" s="4" t="n">
        <v>43313</v>
      </c>
      <c r="K481" t="inlineStr">
        <is>
          <t>2F120374D523630000000192</t>
        </is>
      </c>
    </row>
    <row r="482">
      <c r="A482" t="n">
        <v>3</v>
      </c>
      <c r="B482" t="inlineStr">
        <is>
          <t>SPE7L4-18-V-0781</t>
        </is>
      </c>
      <c r="C482" s="20" t="inlineStr">
        <is>
          <t>ITT</t>
        </is>
      </c>
      <c r="E482" t="n">
        <v>60</v>
      </c>
      <c r="G482" s="230" t="n">
        <v>2031.6</v>
      </c>
      <c r="H482" t="inlineStr">
        <is>
          <t>WSAU003Z</t>
        </is>
      </c>
      <c r="I482" t="inlineStr">
        <is>
          <t>WSAUI003</t>
        </is>
      </c>
      <c r="J482" s="4" t="n">
        <v>43313</v>
      </c>
      <c r="K482" t="inlineStr">
        <is>
          <t>2F120374D523630000000193</t>
        </is>
      </c>
    </row>
    <row r="483">
      <c r="A483" t="n">
        <v>4</v>
      </c>
      <c r="B483" t="inlineStr">
        <is>
          <t>SPE5E0-18-V-4696</t>
        </is>
      </c>
      <c r="C483" s="20" t="inlineStr">
        <is>
          <t>LEE spring</t>
        </is>
      </c>
      <c r="E483" t="n">
        <v>14</v>
      </c>
      <c r="G483" s="230" t="n">
        <v>156.52</v>
      </c>
      <c r="H483" t="inlineStr">
        <is>
          <t>WSAU004Z</t>
        </is>
      </c>
      <c r="I483" t="inlineStr">
        <is>
          <t>WSAUI004</t>
        </is>
      </c>
      <c r="J483" s="4" t="n">
        <v>43313</v>
      </c>
      <c r="K483" t="inlineStr">
        <is>
          <t>2F120374D523630000000194</t>
        </is>
      </c>
    </row>
    <row r="484">
      <c r="A484" t="n">
        <v>5</v>
      </c>
      <c r="B484" t="inlineStr">
        <is>
          <t>SPE4A4-18-V-9734</t>
        </is>
      </c>
      <c r="C484" s="20" t="inlineStr">
        <is>
          <t>GEMS</t>
        </is>
      </c>
      <c r="E484" t="n">
        <v>14</v>
      </c>
      <c r="G484" s="230" t="n">
        <v>10697.26</v>
      </c>
      <c r="H484" t="inlineStr">
        <is>
          <t>WSAU004Z</t>
        </is>
      </c>
      <c r="I484" t="inlineStr">
        <is>
          <t>WSAUI005</t>
        </is>
      </c>
      <c r="J484" s="4" t="n">
        <v>43314</v>
      </c>
      <c r="K484" t="inlineStr">
        <is>
          <t>2F120374D523630000000195</t>
        </is>
      </c>
    </row>
    <row r="485">
      <c r="A485" t="n">
        <v>6</v>
      </c>
      <c r="B485" t="inlineStr">
        <is>
          <t>SPE4A6-18-P-D935</t>
        </is>
      </c>
      <c r="C485" s="20" t="inlineStr">
        <is>
          <t>AVIBANK</t>
        </is>
      </c>
      <c r="E485" t="n">
        <v>500</v>
      </c>
      <c r="G485" s="230" t="n">
        <v>10970</v>
      </c>
      <c r="H485" t="inlineStr">
        <is>
          <t>WSAU006Z</t>
        </is>
      </c>
      <c r="I485" t="inlineStr">
        <is>
          <t>WSAUI006</t>
        </is>
      </c>
      <c r="J485" s="4" t="n">
        <v>43315</v>
      </c>
      <c r="K485" t="inlineStr">
        <is>
          <t>2F120374D523630000000196</t>
        </is>
      </c>
    </row>
    <row r="486">
      <c r="A486" t="n">
        <v>7</v>
      </c>
      <c r="B486" t="inlineStr">
        <is>
          <t>SPE7M5-18-V-7123</t>
        </is>
      </c>
      <c r="C486" s="20" t="inlineStr">
        <is>
          <t>Glenair</t>
        </is>
      </c>
      <c r="E486" t="n">
        <v>22</v>
      </c>
      <c r="G486" s="230" t="n">
        <v>6362.84</v>
      </c>
      <c r="H486" t="inlineStr">
        <is>
          <t>WSAU007Z</t>
        </is>
      </c>
      <c r="I486" t="inlineStr">
        <is>
          <t>WSAUI007</t>
        </is>
      </c>
      <c r="J486" s="4" t="n">
        <v>43315</v>
      </c>
      <c r="K486" t="inlineStr">
        <is>
          <t>2F120374D523630000000197</t>
        </is>
      </c>
    </row>
    <row r="487">
      <c r="A487" t="n">
        <v>8</v>
      </c>
      <c r="B487" t="inlineStr">
        <is>
          <t>SPE7M5-18-V-6557</t>
        </is>
      </c>
      <c r="C487" s="20" t="inlineStr">
        <is>
          <t>Glenair</t>
        </is>
      </c>
      <c r="E487" t="n">
        <v>37</v>
      </c>
      <c r="G487" s="230" t="n">
        <v>7952.58</v>
      </c>
      <c r="H487" t="inlineStr">
        <is>
          <t>WSAU008Z</t>
        </is>
      </c>
      <c r="I487" t="inlineStr">
        <is>
          <t>WSAUI008</t>
        </is>
      </c>
      <c r="J487" s="4" t="n">
        <v>43315</v>
      </c>
      <c r="K487" t="inlineStr">
        <is>
          <t>2F120374D523630000000198</t>
        </is>
      </c>
    </row>
    <row r="488">
      <c r="A488" t="n">
        <v>9</v>
      </c>
      <c r="B488" t="inlineStr">
        <is>
          <t>SPE7MC-18-V-3417</t>
        </is>
      </c>
      <c r="C488" s="20" t="inlineStr">
        <is>
          <t>Glenair</t>
        </is>
      </c>
      <c r="E488" t="n">
        <v>10</v>
      </c>
      <c r="G488" s="230" t="n">
        <v>8116.4</v>
      </c>
      <c r="H488" t="inlineStr">
        <is>
          <t>WSAU009Z</t>
        </is>
      </c>
      <c r="I488" t="inlineStr">
        <is>
          <t>WSAUI009</t>
        </is>
      </c>
      <c r="J488" s="4" t="n">
        <v>43315</v>
      </c>
      <c r="K488" t="inlineStr">
        <is>
          <t>2F120374D523630000000199</t>
        </is>
      </c>
    </row>
    <row r="489">
      <c r="A489" t="n">
        <v>10</v>
      </c>
      <c r="B489" t="inlineStr">
        <is>
          <t>SPE7M8-18-V-1582</t>
        </is>
      </c>
      <c r="C489" s="20" t="inlineStr">
        <is>
          <t>GEMS</t>
        </is>
      </c>
      <c r="E489" s="51" t="n">
        <v>18</v>
      </c>
      <c r="G489" s="230" t="n">
        <v>16642.44</v>
      </c>
      <c r="H489" t="inlineStr">
        <is>
          <t>WSAU010Z</t>
        </is>
      </c>
      <c r="I489" t="inlineStr">
        <is>
          <t>WSAUI010</t>
        </is>
      </c>
      <c r="J489" s="4" t="n">
        <v>43315</v>
      </c>
      <c r="K489" t="inlineStr">
        <is>
          <t>2F120374D52363000000019A</t>
        </is>
      </c>
    </row>
    <row r="490">
      <c r="A490" t="n">
        <v>11</v>
      </c>
      <c r="B490" t="inlineStr">
        <is>
          <t>SPE4A6-18-V-257J</t>
        </is>
      </c>
      <c r="C490" s="20" t="inlineStr">
        <is>
          <t>Total Temp</t>
        </is>
      </c>
      <c r="E490" t="n">
        <v>70</v>
      </c>
      <c r="G490" s="230" t="n">
        <v>18461.8</v>
      </c>
      <c r="H490" t="inlineStr">
        <is>
          <t>WSAU011Z</t>
        </is>
      </c>
      <c r="I490" t="inlineStr">
        <is>
          <t>WSAUI011</t>
        </is>
      </c>
      <c r="J490" s="4" t="n">
        <v>43318</v>
      </c>
      <c r="K490" t="inlineStr">
        <is>
          <t>2F120374D52363000000019B</t>
        </is>
      </c>
    </row>
    <row r="491">
      <c r="A491" t="n">
        <v>12</v>
      </c>
      <c r="B491" t="inlineStr">
        <is>
          <t>SPE7M0-18-V-4419</t>
        </is>
      </c>
      <c r="C491" s="20" t="inlineStr">
        <is>
          <t>GEMS</t>
        </is>
      </c>
      <c r="E491" s="51" t="n">
        <v>4</v>
      </c>
      <c r="G491" s="230" t="n">
        <v>2851.52</v>
      </c>
      <c r="H491" t="inlineStr">
        <is>
          <t>WSAU012</t>
        </is>
      </c>
      <c r="I491" t="inlineStr">
        <is>
          <t>WSAUI012</t>
        </is>
      </c>
      <c r="J491" s="4" t="n">
        <v>43318</v>
      </c>
      <c r="K491" t="inlineStr">
        <is>
          <t>2F120374D52363000000019C</t>
        </is>
      </c>
    </row>
    <row r="492">
      <c r="A492" t="n">
        <v>13</v>
      </c>
      <c r="B492" t="inlineStr">
        <is>
          <t>SPE7M0-18-V-4419</t>
        </is>
      </c>
      <c r="C492" s="20" t="inlineStr">
        <is>
          <t>GEMS</t>
        </is>
      </c>
      <c r="E492" s="51" t="n">
        <v>4</v>
      </c>
      <c r="G492" s="230" t="n">
        <v>2851.52</v>
      </c>
      <c r="H492" t="inlineStr">
        <is>
          <t>WSAU013</t>
        </is>
      </c>
      <c r="I492" t="inlineStr">
        <is>
          <t>WSAUI013</t>
        </is>
      </c>
      <c r="J492" s="4" t="n">
        <v>43318</v>
      </c>
      <c r="K492" t="inlineStr">
        <is>
          <t>2F120374D52363000000019D</t>
        </is>
      </c>
    </row>
    <row r="493">
      <c r="A493" t="n">
        <v>14</v>
      </c>
      <c r="B493" t="inlineStr">
        <is>
          <t>SPE7M0-18-V-4419</t>
        </is>
      </c>
      <c r="C493" s="20" t="inlineStr">
        <is>
          <t>GEMS</t>
        </is>
      </c>
      <c r="E493" s="51" t="n">
        <v>5</v>
      </c>
      <c r="G493" s="262" t="n">
        <v>3564.4</v>
      </c>
      <c r="H493" t="inlineStr">
        <is>
          <t>WSAU014Z</t>
        </is>
      </c>
      <c r="I493" t="inlineStr">
        <is>
          <t>WSAUI014</t>
        </is>
      </c>
      <c r="J493" s="4" t="n">
        <v>43318</v>
      </c>
      <c r="K493" t="inlineStr">
        <is>
          <t>2F120374D52363000000019E</t>
        </is>
      </c>
    </row>
    <row r="494">
      <c r="A494" t="n">
        <v>15</v>
      </c>
      <c r="B494" t="inlineStr">
        <is>
          <t>SPE7MC-18-V-3153</t>
        </is>
      </c>
      <c r="C494" s="20" t="inlineStr">
        <is>
          <t>Glenair</t>
        </is>
      </c>
      <c r="E494" t="n">
        <v>3</v>
      </c>
      <c r="G494" s="230" t="n">
        <v>2434.92</v>
      </c>
      <c r="H494" t="inlineStr">
        <is>
          <t>WSAU015Z</t>
        </is>
      </c>
      <c r="I494" t="inlineStr">
        <is>
          <t>WSAUI015</t>
        </is>
      </c>
      <c r="J494" s="4" t="n">
        <v>43318</v>
      </c>
      <c r="K494" t="inlineStr">
        <is>
          <t>2F120374D52363000000019F</t>
        </is>
      </c>
    </row>
    <row r="495">
      <c r="A495" t="n">
        <v>16</v>
      </c>
      <c r="B495" t="inlineStr">
        <is>
          <t>SPE7M8-18-V-1882</t>
        </is>
      </c>
      <c r="C495" s="20" t="inlineStr">
        <is>
          <t>Aerofit</t>
        </is>
      </c>
      <c r="E495" t="n">
        <v>12</v>
      </c>
      <c r="G495" s="230" t="n">
        <v>213.12</v>
      </c>
      <c r="H495" t="inlineStr">
        <is>
          <t>WSAU016Z</t>
        </is>
      </c>
      <c r="I495" t="inlineStr">
        <is>
          <t>WSAUI016</t>
        </is>
      </c>
      <c r="J495" s="4" t="n">
        <v>43318</v>
      </c>
      <c r="K495" t="inlineStr">
        <is>
          <t>2F120374D5236300000001A0</t>
        </is>
      </c>
    </row>
    <row r="496">
      <c r="A496" t="n">
        <v>17</v>
      </c>
      <c r="B496" t="inlineStr">
        <is>
          <t>SPE7MC-18-V-8374</t>
        </is>
      </c>
      <c r="C496" s="20" t="inlineStr">
        <is>
          <t>INDEC</t>
        </is>
      </c>
      <c r="E496" t="n">
        <v>2</v>
      </c>
      <c r="G496" s="230" t="n">
        <v>92.40000000000001</v>
      </c>
      <c r="H496" t="inlineStr">
        <is>
          <t>WSAU017Z</t>
        </is>
      </c>
      <c r="I496" t="inlineStr">
        <is>
          <t>WSAUI017</t>
        </is>
      </c>
      <c r="J496" s="4" t="n">
        <v>43320</v>
      </c>
      <c r="K496" s="51" t="inlineStr">
        <is>
          <t>2F120374D5236300000001A1</t>
        </is>
      </c>
    </row>
    <row r="497">
      <c r="A497" t="n">
        <v>18</v>
      </c>
      <c r="B497" t="inlineStr">
        <is>
          <t>SPE7MC-18-V-6895</t>
        </is>
      </c>
      <c r="C497" s="20" t="inlineStr">
        <is>
          <t>Flowline</t>
        </is>
      </c>
      <c r="E497" t="n">
        <v>6</v>
      </c>
      <c r="G497" s="230" t="n">
        <v>7658.88</v>
      </c>
      <c r="H497" t="inlineStr">
        <is>
          <t>WSAU018Z</t>
        </is>
      </c>
      <c r="I497" t="inlineStr">
        <is>
          <t>WSAUI018</t>
        </is>
      </c>
      <c r="J497" s="4" t="n">
        <v>43320</v>
      </c>
      <c r="K497" t="inlineStr">
        <is>
          <t>2F120374D5236300000001A2</t>
        </is>
      </c>
    </row>
    <row r="498">
      <c r="A498" t="n">
        <v>19</v>
      </c>
      <c r="B498" t="inlineStr">
        <is>
          <t>SPE7MC-18-V-6417</t>
        </is>
      </c>
      <c r="C498" s="20" t="inlineStr">
        <is>
          <t>Flowline</t>
        </is>
      </c>
      <c r="E498" t="n">
        <v>1</v>
      </c>
      <c r="G498" s="262" t="n">
        <v>742.89</v>
      </c>
      <c r="H498" t="inlineStr">
        <is>
          <t>WSAU019Z</t>
        </is>
      </c>
      <c r="I498" t="inlineStr">
        <is>
          <t>WSAUI019</t>
        </is>
      </c>
      <c r="J498" s="4" t="n">
        <v>43320</v>
      </c>
      <c r="K498" t="inlineStr">
        <is>
          <t>2F120374D5236300000001A3</t>
        </is>
      </c>
    </row>
    <row r="499">
      <c r="A499" t="n">
        <v>20</v>
      </c>
      <c r="B499" t="inlineStr">
        <is>
          <t>SPE4A6-18-P-E772</t>
        </is>
      </c>
      <c r="C499" s="20" t="inlineStr">
        <is>
          <t>Cameron</t>
        </is>
      </c>
      <c r="E499" t="n">
        <v>1</v>
      </c>
      <c r="G499" s="262" t="n">
        <v>3194.63</v>
      </c>
      <c r="H499" t="inlineStr">
        <is>
          <t>WSAU020Z</t>
        </is>
      </c>
      <c r="I499" t="inlineStr">
        <is>
          <t>WSAUI020</t>
        </is>
      </c>
      <c r="J499" s="4" t="n">
        <v>43320</v>
      </c>
      <c r="K499" t="inlineStr">
        <is>
          <t>2F120374D5236300000001A4</t>
        </is>
      </c>
    </row>
    <row r="500">
      <c r="A500" t="n">
        <v>21</v>
      </c>
      <c r="B500" t="inlineStr">
        <is>
          <t>SPE4A4-18-V-6541</t>
        </is>
      </c>
      <c r="C500" s="20" t="inlineStr">
        <is>
          <t>GEMS</t>
        </is>
      </c>
      <c r="E500" s="51" t="n">
        <v>4</v>
      </c>
      <c r="G500" s="262" t="n">
        <v>13433.6</v>
      </c>
      <c r="H500" t="inlineStr">
        <is>
          <t>WSAU021Z</t>
        </is>
      </c>
      <c r="I500" t="inlineStr">
        <is>
          <t>WSAUI021</t>
        </is>
      </c>
      <c r="J500" s="4" t="n">
        <v>43320</v>
      </c>
      <c r="K500" t="inlineStr">
        <is>
          <t>2F120374D5236300000001A5</t>
        </is>
      </c>
    </row>
    <row r="501">
      <c r="A501" t="n">
        <v>22</v>
      </c>
      <c r="B501" t="inlineStr">
        <is>
          <t>SPE5EM-18-V-5741</t>
        </is>
      </c>
      <c r="C501" s="20" t="inlineStr">
        <is>
          <t>Ace Wire</t>
        </is>
      </c>
      <c r="E501" t="n">
        <v>2</v>
      </c>
      <c r="G501" s="262" t="n">
        <v>1225.68</v>
      </c>
      <c r="H501" t="inlineStr">
        <is>
          <t>WSAU022Z</t>
        </is>
      </c>
      <c r="I501" t="inlineStr">
        <is>
          <t>WSAUI022</t>
        </is>
      </c>
      <c r="J501" s="4" t="n">
        <v>43322</v>
      </c>
      <c r="K501" t="inlineStr">
        <is>
          <t>NORFID</t>
        </is>
      </c>
    </row>
    <row r="502">
      <c r="A502" t="n">
        <v>23</v>
      </c>
      <c r="B502" t="inlineStr">
        <is>
          <t>SPE7MC-18-V-4165</t>
        </is>
      </c>
      <c r="C502" s="20" t="inlineStr">
        <is>
          <t>ITT Return</t>
        </is>
      </c>
      <c r="E502" t="n">
        <v>174</v>
      </c>
      <c r="G502" s="262" t="n">
        <v>0</v>
      </c>
      <c r="H502" t="inlineStr">
        <is>
          <t>WSAU023Z</t>
        </is>
      </c>
      <c r="I502" t="inlineStr">
        <is>
          <t>WSAUI023</t>
        </is>
      </c>
      <c r="J502" s="4" t="n">
        <v>43322</v>
      </c>
      <c r="K502" t="inlineStr">
        <is>
          <t>2F120374D5236300000001A7</t>
        </is>
      </c>
    </row>
    <row r="503">
      <c r="A503" t="n">
        <v>24</v>
      </c>
      <c r="B503" t="inlineStr">
        <is>
          <t>SPE4A4-18-V-7707</t>
        </is>
      </c>
      <c r="C503" s="20" t="inlineStr">
        <is>
          <t>GEMS</t>
        </is>
      </c>
      <c r="E503" s="51" t="n">
        <v>1</v>
      </c>
      <c r="H503" t="inlineStr">
        <is>
          <t>WSAU024</t>
        </is>
      </c>
      <c r="I503" t="inlineStr">
        <is>
          <t>WSAUI024</t>
        </is>
      </c>
      <c r="J503" s="4" t="n">
        <v>43322</v>
      </c>
      <c r="K503" t="inlineStr">
        <is>
          <t>2F120374D5236300000001A8</t>
        </is>
      </c>
    </row>
    <row r="504">
      <c r="A504" t="n">
        <v>25</v>
      </c>
      <c r="B504" t="inlineStr">
        <is>
          <t>SPE4A4-18-V-7707</t>
        </is>
      </c>
      <c r="C504" s="20" t="inlineStr">
        <is>
          <t>GEMS</t>
        </is>
      </c>
      <c r="E504" s="51" t="n">
        <v>2</v>
      </c>
      <c r="G504" s="262" t="n">
        <v>15458.98</v>
      </c>
      <c r="H504" t="inlineStr">
        <is>
          <t>WSAU025</t>
        </is>
      </c>
      <c r="I504" t="inlineStr">
        <is>
          <t>WSAUI025</t>
        </is>
      </c>
      <c r="J504" s="4" t="n">
        <v>43322</v>
      </c>
      <c r="K504" t="inlineStr">
        <is>
          <t>2F120374D5236300000001A9</t>
        </is>
      </c>
    </row>
    <row r="505">
      <c r="A505" t="n">
        <v>26</v>
      </c>
      <c r="B505" t="inlineStr">
        <is>
          <t>SPE4A4-18-V-7707</t>
        </is>
      </c>
      <c r="C505" s="20" t="inlineStr">
        <is>
          <t>GEMS</t>
        </is>
      </c>
      <c r="E505" s="51" t="n">
        <v>2</v>
      </c>
      <c r="G505" s="262" t="n">
        <v>15458.98</v>
      </c>
      <c r="H505" t="inlineStr">
        <is>
          <t>WSAU026Z</t>
        </is>
      </c>
      <c r="I505" t="inlineStr">
        <is>
          <t>WSAUI026</t>
        </is>
      </c>
      <c r="J505" s="4" t="n">
        <v>43322</v>
      </c>
      <c r="K505" t="inlineStr">
        <is>
          <t>2F120374D5236300000001AA</t>
        </is>
      </c>
    </row>
    <row r="506">
      <c r="A506" t="n">
        <v>27</v>
      </c>
      <c r="B506" t="inlineStr">
        <is>
          <t>SPE5EM-18-V-6151</t>
        </is>
      </c>
      <c r="C506" s="20" t="inlineStr">
        <is>
          <t>Ace Wire</t>
        </is>
      </c>
      <c r="E506" t="n">
        <v>5</v>
      </c>
      <c r="G506" s="262" t="n">
        <v>2864.6</v>
      </c>
      <c r="H506" t="inlineStr">
        <is>
          <t>WSAU027Z</t>
        </is>
      </c>
      <c r="I506" t="inlineStr">
        <is>
          <t>WSAUI027</t>
        </is>
      </c>
      <c r="J506" s="4" t="n">
        <v>43322</v>
      </c>
      <c r="K506" t="inlineStr">
        <is>
          <t>NORFID</t>
        </is>
      </c>
    </row>
    <row r="507">
      <c r="A507" t="n">
        <v>28</v>
      </c>
      <c r="B507" t="inlineStr">
        <is>
          <t>SPE7M5-18-V-8071</t>
        </is>
      </c>
      <c r="C507" s="20" t="inlineStr">
        <is>
          <t>Glenair</t>
        </is>
      </c>
      <c r="E507" t="n">
        <v>75</v>
      </c>
      <c r="G507" s="262" t="n">
        <v>6122.25</v>
      </c>
      <c r="H507" t="inlineStr">
        <is>
          <t>WSAU028Z</t>
        </is>
      </c>
      <c r="I507" t="inlineStr">
        <is>
          <t>WSAUI028</t>
        </is>
      </c>
      <c r="J507" s="4" t="n">
        <v>43328</v>
      </c>
      <c r="K507" t="inlineStr">
        <is>
          <t>2F120374D5236300000001AB</t>
        </is>
      </c>
    </row>
    <row r="508">
      <c r="A508" t="n">
        <v>29</v>
      </c>
      <c r="B508" t="inlineStr">
        <is>
          <t>SPE5E2-18-P-1233</t>
        </is>
      </c>
      <c r="C508" s="20" t="inlineStr">
        <is>
          <t>LEE spring</t>
        </is>
      </c>
      <c r="E508" t="n">
        <v>30</v>
      </c>
      <c r="G508" s="262" t="n">
        <v>233.4</v>
      </c>
      <c r="H508" t="inlineStr">
        <is>
          <t>WSAU029Z</t>
        </is>
      </c>
      <c r="I508" t="inlineStr">
        <is>
          <t>WSAUI029</t>
        </is>
      </c>
      <c r="J508" s="4" t="n">
        <v>43328</v>
      </c>
    </row>
    <row r="509">
      <c r="A509" t="n">
        <v>30</v>
      </c>
      <c r="B509" t="inlineStr">
        <is>
          <t>SPE7MC-18-V-9439</t>
        </is>
      </c>
      <c r="C509" s="20" t="inlineStr">
        <is>
          <t>MAFCO</t>
        </is>
      </c>
      <c r="E509" t="n">
        <v>50</v>
      </c>
      <c r="G509" s="262" t="n">
        <v>3584</v>
      </c>
      <c r="H509" t="inlineStr">
        <is>
          <t>WSAU030</t>
        </is>
      </c>
      <c r="I509" t="inlineStr">
        <is>
          <t>WSAUI030</t>
        </is>
      </c>
      <c r="J509" s="4" t="n">
        <v>43328</v>
      </c>
      <c r="K509" t="inlineStr">
        <is>
          <t>2F120374D5236300000001AC</t>
        </is>
      </c>
    </row>
    <row r="510">
      <c r="A510" t="n">
        <v>31</v>
      </c>
      <c r="B510" t="inlineStr">
        <is>
          <t>SPE7MC-18-V-9439</t>
        </is>
      </c>
      <c r="C510" s="20" t="inlineStr">
        <is>
          <t>MAFCO</t>
        </is>
      </c>
      <c r="E510" t="n">
        <v>50</v>
      </c>
      <c r="G510" s="262" t="n">
        <v>3584</v>
      </c>
      <c r="H510" t="inlineStr">
        <is>
          <t>WSAU031</t>
        </is>
      </c>
      <c r="I510" t="inlineStr">
        <is>
          <t>WSAUI031</t>
        </is>
      </c>
      <c r="J510" s="4" t="n">
        <v>43328</v>
      </c>
      <c r="K510" t="inlineStr">
        <is>
          <t>2F120374D5236300000001AD</t>
        </is>
      </c>
    </row>
    <row r="511">
      <c r="A511" t="n">
        <v>32</v>
      </c>
      <c r="B511" t="inlineStr">
        <is>
          <t>SPE7MC-18-V-9439</t>
        </is>
      </c>
      <c r="C511" s="20" t="inlineStr">
        <is>
          <t>MAFCO</t>
        </is>
      </c>
      <c r="E511" t="n">
        <v>74</v>
      </c>
      <c r="G511" s="262" t="n">
        <v>5304.32</v>
      </c>
      <c r="H511" t="inlineStr">
        <is>
          <t>WSAU032Z</t>
        </is>
      </c>
      <c r="I511" t="inlineStr">
        <is>
          <t>WSAUI032</t>
        </is>
      </c>
      <c r="J511" s="4" t="n">
        <v>43328</v>
      </c>
      <c r="K511" t="inlineStr">
        <is>
          <t>2F120374D5236300000001AE</t>
        </is>
      </c>
    </row>
    <row r="512">
      <c r="A512" t="n">
        <v>33</v>
      </c>
      <c r="B512" t="inlineStr">
        <is>
          <t>SPE4A4-18-V-8870</t>
        </is>
      </c>
      <c r="C512" s="20" t="inlineStr">
        <is>
          <t>GEMS</t>
        </is>
      </c>
      <c r="E512" s="51" t="n">
        <v>5</v>
      </c>
      <c r="G512" s="262" t="n">
        <v>7158.7</v>
      </c>
      <c r="H512" t="inlineStr">
        <is>
          <t>WSAU033</t>
        </is>
      </c>
      <c r="I512" t="inlineStr">
        <is>
          <t>WSAUI033</t>
        </is>
      </c>
      <c r="J512" s="4" t="n">
        <v>43329</v>
      </c>
      <c r="K512" t="inlineStr">
        <is>
          <t>2F120374D5236300000001AF</t>
        </is>
      </c>
    </row>
    <row r="513">
      <c r="A513" t="n">
        <v>34</v>
      </c>
      <c r="B513" t="inlineStr">
        <is>
          <t>SPE4A4-18-V-8870</t>
        </is>
      </c>
      <c r="C513" s="20" t="inlineStr">
        <is>
          <t>GEMS</t>
        </is>
      </c>
      <c r="E513" s="51" t="n">
        <v>5</v>
      </c>
      <c r="G513" s="262" t="n">
        <v>7158.7</v>
      </c>
      <c r="H513" t="inlineStr">
        <is>
          <t>WSAU034Z</t>
        </is>
      </c>
      <c r="I513" t="inlineStr">
        <is>
          <t>WSAUI034</t>
        </is>
      </c>
      <c r="J513" s="4" t="n">
        <v>43329</v>
      </c>
      <c r="K513" t="inlineStr">
        <is>
          <t>2F120374D5236300000001B0</t>
        </is>
      </c>
    </row>
    <row r="514">
      <c r="A514" t="n">
        <v>35</v>
      </c>
      <c r="B514" t="inlineStr">
        <is>
          <t>SPE4A6-18-P-0208</t>
        </is>
      </c>
      <c r="C514" s="20" t="inlineStr">
        <is>
          <t>Klute</t>
        </is>
      </c>
      <c r="E514" t="n">
        <v>1</v>
      </c>
      <c r="G514" s="262" t="n">
        <v>0</v>
      </c>
      <c r="H514" t="inlineStr">
        <is>
          <t>WSAU035Z</t>
        </is>
      </c>
      <c r="I514" t="inlineStr">
        <is>
          <t>WSAUI035</t>
        </is>
      </c>
      <c r="J514" s="4" t="n">
        <v>43329</v>
      </c>
      <c r="K514" t="inlineStr">
        <is>
          <t>NORFID</t>
        </is>
      </c>
    </row>
    <row r="515">
      <c r="A515" t="n">
        <v>36</v>
      </c>
      <c r="B515" t="inlineStr">
        <is>
          <t>SPE4A6-18-V-420Z</t>
        </is>
      </c>
      <c r="C515" s="20" t="inlineStr">
        <is>
          <t>UBSGear</t>
        </is>
      </c>
      <c r="E515" t="n">
        <v>1</v>
      </c>
      <c r="G515" s="262" t="n">
        <v>189.36</v>
      </c>
      <c r="H515" t="inlineStr">
        <is>
          <t>WSAU036Z</t>
        </is>
      </c>
      <c r="I515" t="inlineStr">
        <is>
          <t>WSAUI036</t>
        </is>
      </c>
      <c r="J515" s="4" t="n">
        <v>43329</v>
      </c>
      <c r="K515" t="inlineStr">
        <is>
          <t>2F120374D5236300000001B1</t>
        </is>
      </c>
    </row>
    <row r="516">
      <c r="A516" t="n">
        <v>37</v>
      </c>
      <c r="B516" t="inlineStr">
        <is>
          <t>SPE7MC-18-V-4633</t>
        </is>
      </c>
      <c r="C516" s="20" t="inlineStr">
        <is>
          <t>ITT</t>
        </is>
      </c>
      <c r="E516" t="n">
        <v>47</v>
      </c>
      <c r="G516" s="262" t="n">
        <v>4590.96</v>
      </c>
      <c r="H516" t="inlineStr">
        <is>
          <t>WSAU037Z</t>
        </is>
      </c>
      <c r="I516" t="inlineStr">
        <is>
          <t>WSAUI037</t>
        </is>
      </c>
      <c r="J516" s="4" t="n">
        <v>43333</v>
      </c>
      <c r="K516" t="inlineStr">
        <is>
          <t>2F120374D5236300000001B2</t>
        </is>
      </c>
    </row>
    <row r="517">
      <c r="A517" t="n">
        <v>38</v>
      </c>
      <c r="B517" t="inlineStr">
        <is>
          <t>SPE7MC-18-V-7295</t>
        </is>
      </c>
      <c r="C517" s="20" t="inlineStr">
        <is>
          <t>GEMS</t>
        </is>
      </c>
      <c r="E517" s="51" t="n">
        <v>7</v>
      </c>
      <c r="G517" s="262" t="n">
        <v>7093.66</v>
      </c>
      <c r="H517" t="inlineStr">
        <is>
          <t>WSAU038Z</t>
        </is>
      </c>
      <c r="I517" t="inlineStr">
        <is>
          <t>WSAUI038</t>
        </is>
      </c>
      <c r="J517" s="4" t="n">
        <v>43333</v>
      </c>
      <c r="K517" t="inlineStr">
        <is>
          <t>2F120374D5236300000001B3</t>
        </is>
      </c>
    </row>
    <row r="518">
      <c r="A518" t="n">
        <v>39</v>
      </c>
      <c r="B518" t="inlineStr">
        <is>
          <t>SPE7M8-18-V-1663</t>
        </is>
      </c>
      <c r="C518" s="20" t="inlineStr">
        <is>
          <t>GEMS</t>
        </is>
      </c>
      <c r="E518" s="51" t="n">
        <v>5</v>
      </c>
      <c r="G518" s="262" t="n">
        <v>2618.1</v>
      </c>
      <c r="H518" t="inlineStr">
        <is>
          <t>WSAU039Z</t>
        </is>
      </c>
      <c r="I518" t="inlineStr">
        <is>
          <t>WSAUI039</t>
        </is>
      </c>
      <c r="J518" s="4" t="n">
        <v>43336</v>
      </c>
      <c r="K518" t="inlineStr">
        <is>
          <t>2F120374D5236300000001B4</t>
        </is>
      </c>
    </row>
    <row r="519">
      <c r="A519" t="n">
        <v>40</v>
      </c>
      <c r="B519" t="inlineStr">
        <is>
          <t>SPE7M5-18-V-054R</t>
        </is>
      </c>
      <c r="C519" s="20" t="inlineStr">
        <is>
          <t>Konsberg</t>
        </is>
      </c>
      <c r="E519" s="51" t="n">
        <v>194</v>
      </c>
      <c r="G519" s="262" t="n">
        <v>1616.02</v>
      </c>
      <c r="H519" t="inlineStr">
        <is>
          <t>WSAU040Z</t>
        </is>
      </c>
      <c r="I519" t="inlineStr">
        <is>
          <t>WSAUI040</t>
        </is>
      </c>
      <c r="J519" s="4" t="n">
        <v>43336</v>
      </c>
      <c r="K519" t="inlineStr">
        <is>
          <t>2F120374D5236300000001B5</t>
        </is>
      </c>
    </row>
    <row r="520">
      <c r="A520" t="n">
        <v>41</v>
      </c>
      <c r="B520" t="inlineStr">
        <is>
          <t>SPE7M8-18-V-1467</t>
        </is>
      </c>
      <c r="C520" s="20" t="inlineStr">
        <is>
          <t>Morris</t>
        </is>
      </c>
      <c r="E520" s="51" t="n">
        <v>9</v>
      </c>
      <c r="G520" s="262" t="n">
        <v>5694.66</v>
      </c>
      <c r="H520" t="inlineStr">
        <is>
          <t>WSAU041</t>
        </is>
      </c>
      <c r="I520" t="inlineStr">
        <is>
          <t>WSAUI041</t>
        </is>
      </c>
      <c r="J520" s="4" t="n">
        <v>43339</v>
      </c>
      <c r="K520" t="inlineStr">
        <is>
          <t>2F120374D5236300000001B6</t>
        </is>
      </c>
    </row>
    <row r="521">
      <c r="A521" t="n">
        <v>42</v>
      </c>
      <c r="B521" t="inlineStr">
        <is>
          <t>SPE7M9-18-V-0958</t>
        </is>
      </c>
      <c r="C521" s="20" t="inlineStr">
        <is>
          <t>Morris</t>
        </is>
      </c>
      <c r="E521" s="51" t="n">
        <v>3</v>
      </c>
      <c r="G521" s="262" t="n">
        <v>1868.22</v>
      </c>
      <c r="H521" t="inlineStr">
        <is>
          <t>WSAU042Z</t>
        </is>
      </c>
      <c r="I521" t="inlineStr">
        <is>
          <t>WSAUI042</t>
        </is>
      </c>
      <c r="J521" s="4" t="n">
        <v>43339</v>
      </c>
      <c r="K521" t="inlineStr">
        <is>
          <t>2F120374D5236300000001B7</t>
        </is>
      </c>
    </row>
    <row r="522">
      <c r="A522" t="n">
        <v>43</v>
      </c>
      <c r="B522" t="inlineStr">
        <is>
          <t>SPE7M5-18-V-058J</t>
        </is>
      </c>
      <c r="C522" s="20" t="inlineStr">
        <is>
          <t>Glenair</t>
        </is>
      </c>
      <c r="E522" s="51" t="n">
        <v>109</v>
      </c>
      <c r="G522" s="262" t="n">
        <v>5383.51</v>
      </c>
      <c r="H522" t="inlineStr">
        <is>
          <t>WSAU043Z</t>
        </is>
      </c>
      <c r="I522" t="inlineStr">
        <is>
          <t>WSAUI043</t>
        </is>
      </c>
      <c r="J522" s="4" t="n">
        <v>43339</v>
      </c>
      <c r="K522" t="inlineStr">
        <is>
          <t>2F120374D5236300000001B8</t>
        </is>
      </c>
    </row>
    <row r="523">
      <c r="A523" t="n">
        <v>44</v>
      </c>
      <c r="B523" t="inlineStr">
        <is>
          <t>SPE7M5-18-V-9756</t>
        </is>
      </c>
      <c r="C523" s="20" t="inlineStr">
        <is>
          <t>Glenair</t>
        </is>
      </c>
      <c r="E523" s="51" t="n">
        <v>68</v>
      </c>
      <c r="G523" s="262" t="n">
        <v>2800.92</v>
      </c>
      <c r="H523" t="inlineStr">
        <is>
          <t>WSAU044Z</t>
        </is>
      </c>
      <c r="I523" t="inlineStr">
        <is>
          <t>WSAUI044</t>
        </is>
      </c>
      <c r="J523" s="4" t="n">
        <v>43340</v>
      </c>
      <c r="K523" t="inlineStr">
        <is>
          <t>2F120374D5236300000001B9</t>
        </is>
      </c>
    </row>
    <row r="524">
      <c r="A524" t="n">
        <v>45</v>
      </c>
      <c r="B524" t="inlineStr">
        <is>
          <t>SPE4A0-18-V-1231</t>
        </is>
      </c>
      <c r="C524" s="66" t="inlineStr">
        <is>
          <t>GEMS</t>
        </is>
      </c>
      <c r="E524" s="51" t="n">
        <v>17</v>
      </c>
      <c r="G524" s="262" t="n">
        <v>8369.780000000001</v>
      </c>
      <c r="H524" t="inlineStr">
        <is>
          <t>WSAU045</t>
        </is>
      </c>
      <c r="I524" t="inlineStr">
        <is>
          <t>WSAUI045</t>
        </is>
      </c>
      <c r="J524" s="4" t="n">
        <v>43341</v>
      </c>
      <c r="K524" t="inlineStr">
        <is>
          <t>2F120374D5236300000001BA</t>
        </is>
      </c>
    </row>
    <row r="525">
      <c r="A525" t="n">
        <v>46</v>
      </c>
      <c r="B525" t="inlineStr">
        <is>
          <t>SPE4A0-18-V-1231</t>
        </is>
      </c>
      <c r="C525" s="66" t="inlineStr">
        <is>
          <t>GEMS</t>
        </is>
      </c>
      <c r="E525" s="51" t="n">
        <v>18</v>
      </c>
      <c r="G525" s="262" t="n">
        <v>8862.120000000001</v>
      </c>
      <c r="H525" t="inlineStr">
        <is>
          <t>WSAU046Z</t>
        </is>
      </c>
      <c r="I525" t="inlineStr">
        <is>
          <t>WSAUI046</t>
        </is>
      </c>
      <c r="J525" s="4" t="n">
        <v>43341</v>
      </c>
      <c r="K525" t="inlineStr">
        <is>
          <t>2F120374D5236300000001BB</t>
        </is>
      </c>
    </row>
    <row r="526">
      <c r="A526" t="n">
        <v>47</v>
      </c>
      <c r="B526" t="inlineStr">
        <is>
          <t>SPE7M5-18-V-8593</t>
        </is>
      </c>
      <c r="C526" s="20" t="inlineStr">
        <is>
          <t>ITT</t>
        </is>
      </c>
      <c r="E526" s="51" t="n">
        <v>34</v>
      </c>
      <c r="G526" s="257" t="n">
        <v>29226.4</v>
      </c>
      <c r="H526" t="inlineStr">
        <is>
          <t>WSAU047Z</t>
        </is>
      </c>
      <c r="J526" s="4" t="n">
        <v>43341</v>
      </c>
      <c r="K526" t="inlineStr">
        <is>
          <t>2F120374D5236300000001BC</t>
        </is>
      </c>
    </row>
    <row r="527">
      <c r="A527" t="n">
        <v>47</v>
      </c>
      <c r="B527" t="inlineStr">
        <is>
          <t>SPE7L3-18-V-5542</t>
        </is>
      </c>
      <c r="C527" s="20" t="inlineStr">
        <is>
          <t>HIAB</t>
        </is>
      </c>
      <c r="E527" s="51" t="n">
        <v>1</v>
      </c>
      <c r="G527" s="262" t="n">
        <v>3137</v>
      </c>
      <c r="H527" t="inlineStr">
        <is>
          <t>WSAU048Z</t>
        </is>
      </c>
      <c r="I527" t="inlineStr">
        <is>
          <t>WSAUI048</t>
        </is>
      </c>
      <c r="J527" s="4" t="n">
        <v>43341</v>
      </c>
    </row>
    <row r="528">
      <c r="A528" t="n">
        <v>48</v>
      </c>
      <c r="B528" t="inlineStr">
        <is>
          <t>SPE7M1-18-V-032P</t>
        </is>
      </c>
      <c r="C528" s="20" t="inlineStr">
        <is>
          <t>CPI</t>
        </is>
      </c>
      <c r="E528" t="n">
        <v>35</v>
      </c>
      <c r="G528" s="262" t="n">
        <v>10646.3</v>
      </c>
      <c r="H528" t="inlineStr">
        <is>
          <t>WSAU049Z</t>
        </is>
      </c>
      <c r="I528" t="inlineStr">
        <is>
          <t>WSAUI049</t>
        </is>
      </c>
      <c r="J528" s="4" t="n">
        <v>43341</v>
      </c>
      <c r="K528" t="inlineStr">
        <is>
          <t>2F120374D5236300000001BD</t>
        </is>
      </c>
    </row>
    <row r="529">
      <c r="A529" t="n">
        <v>49</v>
      </c>
      <c r="B529" t="inlineStr">
        <is>
          <t>SPE7M8-18-V-1467</t>
        </is>
      </c>
      <c r="C529" s="20" t="inlineStr">
        <is>
          <t>Morris</t>
        </is>
      </c>
      <c r="E529" s="51" t="n">
        <v>14</v>
      </c>
      <c r="G529" s="262" t="n">
        <v>8858.360000000001</v>
      </c>
      <c r="H529" t="inlineStr">
        <is>
          <t>WSAU050Z</t>
        </is>
      </c>
      <c r="I529" t="inlineStr">
        <is>
          <t>WSAUI050</t>
        </is>
      </c>
      <c r="J529" s="4" t="n">
        <v>43341</v>
      </c>
      <c r="K529" t="inlineStr">
        <is>
          <t>2F120374D5236300000001BE</t>
        </is>
      </c>
    </row>
    <row r="530">
      <c r="A530" t="n">
        <v>50</v>
      </c>
      <c r="B530" t="inlineStr">
        <is>
          <t>SPE5EJ-18-V-7085</t>
        </is>
      </c>
      <c r="C530" s="20" t="inlineStr">
        <is>
          <t>KTDSI</t>
        </is>
      </c>
      <c r="E530" t="n">
        <v>5</v>
      </c>
      <c r="G530" s="262" t="n">
        <v>98.45</v>
      </c>
      <c r="H530" t="inlineStr">
        <is>
          <t>WSAU051Z</t>
        </is>
      </c>
      <c r="I530" t="inlineStr">
        <is>
          <t>WSAUI051</t>
        </is>
      </c>
      <c r="J530" s="4" t="n">
        <v>43341</v>
      </c>
      <c r="K530" t="inlineStr">
        <is>
          <t>2F120374D5236300000001BF</t>
        </is>
      </c>
    </row>
    <row r="531">
      <c r="A531" t="n">
        <v>51</v>
      </c>
      <c r="B531" t="inlineStr">
        <is>
          <t>SPE5E7-18-V-5053</t>
        </is>
      </c>
      <c r="C531" s="20" t="inlineStr">
        <is>
          <t>KTDSI</t>
        </is>
      </c>
      <c r="E531" t="n">
        <v>20</v>
      </c>
      <c r="G531" s="262" t="n">
        <v>2884</v>
      </c>
      <c r="H531" t="inlineStr">
        <is>
          <t>WSAU052Z</t>
        </is>
      </c>
      <c r="I531" t="inlineStr">
        <is>
          <t>WSAUI052</t>
        </is>
      </c>
      <c r="J531" s="4" t="n">
        <v>43341</v>
      </c>
      <c r="K531" t="inlineStr">
        <is>
          <t>2F120374D5236300000001C0</t>
        </is>
      </c>
    </row>
    <row r="532">
      <c r="A532" t="n">
        <v>52</v>
      </c>
      <c r="B532" t="inlineStr">
        <is>
          <t>SPE7M5-18-V-9726</t>
        </is>
      </c>
      <c r="C532" s="20" t="inlineStr">
        <is>
          <t>Glenair</t>
        </is>
      </c>
      <c r="E532" s="51" t="n">
        <v>90</v>
      </c>
      <c r="G532" s="262" t="n">
        <v>3808.8</v>
      </c>
      <c r="H532" t="inlineStr">
        <is>
          <t>WSAU053Z</t>
        </is>
      </c>
      <c r="I532" t="inlineStr">
        <is>
          <t>WSAUI053</t>
        </is>
      </c>
      <c r="J532" s="4" t="n">
        <v>43342</v>
      </c>
      <c r="K532" t="inlineStr">
        <is>
          <t>2F120374D5236300000001C1</t>
        </is>
      </c>
    </row>
    <row r="533">
      <c r="A533" t="n">
        <v>53</v>
      </c>
      <c r="B533" t="inlineStr">
        <is>
          <t>SPE7M1-18-V-022Z</t>
        </is>
      </c>
      <c r="C533" s="20" t="inlineStr">
        <is>
          <t>Munter</t>
        </is>
      </c>
      <c r="E533" t="n">
        <v>1</v>
      </c>
      <c r="G533" s="262" t="n">
        <v>11617.9</v>
      </c>
      <c r="H533" t="inlineStr">
        <is>
          <t>WSAU054Z</t>
        </is>
      </c>
      <c r="I533" t="inlineStr">
        <is>
          <t>WSAUI054</t>
        </is>
      </c>
      <c r="J533" s="4" t="n">
        <v>43342</v>
      </c>
      <c r="K533" t="inlineStr">
        <is>
          <t>2F120374D5236300000001C2</t>
        </is>
      </c>
    </row>
    <row r="534"/>
    <row r="535"/>
    <row r="536">
      <c r="A536" t="n">
        <v>1</v>
      </c>
      <c r="B536" t="inlineStr">
        <is>
          <t>SPE7M5-18-V-9842</t>
        </is>
      </c>
      <c r="C536" s="20" t="inlineStr">
        <is>
          <t>Glenair</t>
        </is>
      </c>
      <c r="E536" s="51" t="n">
        <v>12</v>
      </c>
      <c r="G536" s="230" t="n">
        <v>4427.04</v>
      </c>
      <c r="H536" t="inlineStr">
        <is>
          <t>WSSE001Z</t>
        </is>
      </c>
      <c r="I536" t="inlineStr">
        <is>
          <t>WSSEI001</t>
        </is>
      </c>
      <c r="J536" s="4" t="n">
        <v>43349</v>
      </c>
      <c r="K536" t="inlineStr">
        <is>
          <t>2F120374D5236300000001C3</t>
        </is>
      </c>
    </row>
    <row r="537">
      <c r="A537" t="n">
        <v>2</v>
      </c>
      <c r="B537" t="inlineStr">
        <is>
          <t>SPE7M5-18-V-6572</t>
        </is>
      </c>
      <c r="C537" s="20" t="inlineStr">
        <is>
          <t>Glenair</t>
        </is>
      </c>
      <c r="E537" s="51" t="n">
        <v>19</v>
      </c>
      <c r="G537" s="230" t="n">
        <v>8147.96</v>
      </c>
      <c r="H537" t="inlineStr">
        <is>
          <t>WSSE002Z</t>
        </is>
      </c>
      <c r="I537" t="inlineStr">
        <is>
          <t>WSSEI002</t>
        </is>
      </c>
      <c r="J537" s="4" t="n">
        <v>43355</v>
      </c>
      <c r="K537" t="inlineStr">
        <is>
          <t>2F120374D5236300000001C4</t>
        </is>
      </c>
    </row>
    <row r="538">
      <c r="A538" t="n">
        <v>3</v>
      </c>
      <c r="B538" t="inlineStr">
        <is>
          <t>SPE7M5-18-V-8436</t>
        </is>
      </c>
      <c r="C538" s="20" t="inlineStr">
        <is>
          <t>Glenair</t>
        </is>
      </c>
      <c r="E538" s="51" t="n">
        <v>5</v>
      </c>
      <c r="G538" s="230" t="n">
        <v>2244.7</v>
      </c>
      <c r="H538" t="inlineStr">
        <is>
          <t>WSSE003Z</t>
        </is>
      </c>
      <c r="I538" t="inlineStr">
        <is>
          <t>WSSEI003</t>
        </is>
      </c>
      <c r="J538" s="4" t="n">
        <v>43351</v>
      </c>
      <c r="K538" t="inlineStr">
        <is>
          <t>2F120374D5236300000001C5</t>
        </is>
      </c>
    </row>
    <row r="539">
      <c r="A539" t="n">
        <v>4</v>
      </c>
      <c r="B539" t="inlineStr">
        <is>
          <t>SPE5EJ-18-V-6376</t>
        </is>
      </c>
      <c r="C539" s="20" t="inlineStr">
        <is>
          <t>Morriscrane</t>
        </is>
      </c>
      <c r="E539" s="51" t="n">
        <v>8</v>
      </c>
      <c r="G539" s="230" t="n">
        <v>2979.2</v>
      </c>
      <c r="H539" t="inlineStr">
        <is>
          <t>WSSE004</t>
        </is>
      </c>
      <c r="I539" t="inlineStr">
        <is>
          <t>WSSEI004</t>
        </is>
      </c>
      <c r="J539" s="4" t="n">
        <v>43351</v>
      </c>
      <c r="K539" t="inlineStr">
        <is>
          <t>No</t>
        </is>
      </c>
    </row>
    <row r="540">
      <c r="A540" t="n">
        <v>5</v>
      </c>
      <c r="B540" t="inlineStr">
        <is>
          <t>SPE5EJ-18-V-6376</t>
        </is>
      </c>
      <c r="C540" s="20" t="inlineStr">
        <is>
          <t>Morriscrane</t>
        </is>
      </c>
      <c r="E540" s="51" t="n">
        <v>12</v>
      </c>
      <c r="G540" s="230" t="n">
        <v>4468.8</v>
      </c>
      <c r="H540" t="inlineStr">
        <is>
          <t>WSSE005Z</t>
        </is>
      </c>
      <c r="I540" t="inlineStr">
        <is>
          <t>WSSEI005</t>
        </is>
      </c>
      <c r="J540" s="4" t="n">
        <v>43351</v>
      </c>
      <c r="K540" t="inlineStr">
        <is>
          <t>No</t>
        </is>
      </c>
    </row>
    <row r="541">
      <c r="A541" t="n">
        <v>6</v>
      </c>
      <c r="B541" t="inlineStr">
        <is>
          <t>SPE4A4-18-V-9936</t>
        </is>
      </c>
      <c r="C541" s="20" t="inlineStr">
        <is>
          <t>Glenair</t>
        </is>
      </c>
      <c r="E541" s="51" t="n">
        <v>14</v>
      </c>
      <c r="G541" s="230" t="n">
        <v>6080.2</v>
      </c>
      <c r="H541" t="inlineStr">
        <is>
          <t>WSSE006Z</t>
        </is>
      </c>
      <c r="I541" t="inlineStr">
        <is>
          <t>WSSEI006</t>
        </is>
      </c>
      <c r="J541" s="4" t="n">
        <v>43351</v>
      </c>
      <c r="K541" t="inlineStr">
        <is>
          <t>2F120374D5236300000001C6</t>
        </is>
      </c>
    </row>
    <row r="542">
      <c r="A542" t="n">
        <v>7</v>
      </c>
      <c r="B542" t="inlineStr">
        <is>
          <t>SPE4A6-18-V-298X</t>
        </is>
      </c>
      <c r="C542" s="20" t="inlineStr">
        <is>
          <t>East?West</t>
        </is>
      </c>
      <c r="E542" t="n">
        <v>2</v>
      </c>
      <c r="G542" s="230" t="n">
        <v>464.8</v>
      </c>
      <c r="H542" t="inlineStr">
        <is>
          <t>WSSE007Z</t>
        </is>
      </c>
      <c r="I542" t="inlineStr">
        <is>
          <t>WSSEI007</t>
        </is>
      </c>
      <c r="J542" s="4" t="n">
        <v>43351</v>
      </c>
      <c r="K542" t="inlineStr">
        <is>
          <t>No</t>
        </is>
      </c>
    </row>
    <row r="543">
      <c r="A543" t="n">
        <v>8</v>
      </c>
      <c r="B543" t="inlineStr">
        <is>
          <t>SPE7M0-18-V-9605</t>
        </is>
      </c>
      <c r="C543" s="20" t="inlineStr">
        <is>
          <t>Glenair</t>
        </is>
      </c>
      <c r="E543" t="n">
        <v>1</v>
      </c>
      <c r="G543" s="230" t="n">
        <v>221.6</v>
      </c>
      <c r="H543" t="inlineStr">
        <is>
          <t>WSSE008Z</t>
        </is>
      </c>
      <c r="I543" t="inlineStr">
        <is>
          <t>WSSEI008</t>
        </is>
      </c>
      <c r="J543" s="4" t="n">
        <v>43351</v>
      </c>
      <c r="K543" t="inlineStr">
        <is>
          <t>NO</t>
        </is>
      </c>
    </row>
    <row r="544">
      <c r="A544" t="n">
        <v>9</v>
      </c>
      <c r="B544" t="inlineStr">
        <is>
          <t>SPE4A418V8695</t>
        </is>
      </c>
      <c r="C544" s="20" t="inlineStr">
        <is>
          <t>Klute</t>
        </is>
      </c>
      <c r="G544" s="230" t="n">
        <v>1902.48</v>
      </c>
      <c r="H544" t="inlineStr">
        <is>
          <t>WSSE009Z</t>
        </is>
      </c>
      <c r="I544" t="inlineStr">
        <is>
          <t>WSSEI009</t>
        </is>
      </c>
    </row>
    <row r="545">
      <c r="A545" t="n">
        <v>10</v>
      </c>
      <c r="B545" t="inlineStr">
        <is>
          <t>SPE7M5-18-V-9229</t>
        </is>
      </c>
      <c r="C545" s="20" t="inlineStr">
        <is>
          <t>DRUCK</t>
        </is>
      </c>
      <c r="E545" t="n">
        <v>16</v>
      </c>
      <c r="G545" s="230" t="n">
        <v>15594.88</v>
      </c>
      <c r="H545" t="inlineStr">
        <is>
          <t>WSSE010Z</t>
        </is>
      </c>
      <c r="I545" t="inlineStr">
        <is>
          <t>WSSEI010</t>
        </is>
      </c>
      <c r="K545" t="inlineStr">
        <is>
          <t>2F120374D5236300000001C7</t>
        </is>
      </c>
    </row>
    <row r="546">
      <c r="A546" t="n">
        <v>11</v>
      </c>
      <c r="B546" t="inlineStr">
        <is>
          <t>SPE7M3-18-V-1647</t>
        </is>
      </c>
      <c r="C546" s="20" t="inlineStr">
        <is>
          <t>Aerofit</t>
        </is>
      </c>
      <c r="E546" t="n">
        <v>15</v>
      </c>
      <c r="G546" s="230" t="n">
        <v>8238.450000000001</v>
      </c>
      <c r="H546" t="inlineStr">
        <is>
          <t>WSSE011Z</t>
        </is>
      </c>
      <c r="I546" t="inlineStr">
        <is>
          <t>WSSEI011</t>
        </is>
      </c>
      <c r="J546" s="4" t="n">
        <v>43355</v>
      </c>
      <c r="K546" t="inlineStr">
        <is>
          <t>2F120374D5236300000001C8</t>
        </is>
      </c>
    </row>
    <row r="547">
      <c r="A547" t="n">
        <v>12</v>
      </c>
      <c r="B547" t="inlineStr">
        <is>
          <t>SPE4A4-18-V-8695</t>
        </is>
      </c>
      <c r="C547" s="20" t="inlineStr">
        <is>
          <t>GEMS</t>
        </is>
      </c>
      <c r="E547" t="n">
        <v>1</v>
      </c>
      <c r="G547" s="230" t="n">
        <v>1372.8</v>
      </c>
      <c r="H547" t="inlineStr">
        <is>
          <t>WSSE012Z</t>
        </is>
      </c>
      <c r="I547" t="inlineStr">
        <is>
          <t>WSSEI012</t>
        </is>
      </c>
      <c r="K547" t="inlineStr">
        <is>
          <t>2F120374D5236300000001C9</t>
        </is>
      </c>
    </row>
    <row r="548">
      <c r="A548" t="n">
        <v>13</v>
      </c>
      <c r="B548" t="inlineStr">
        <is>
          <t>SPE5EM-18-V-7439</t>
        </is>
      </c>
      <c r="C548" s="20" t="inlineStr">
        <is>
          <t>Lee spring</t>
        </is>
      </c>
      <c r="E548" t="n">
        <v>1</v>
      </c>
      <c r="G548" s="230" t="n">
        <v>78</v>
      </c>
      <c r="H548" t="inlineStr">
        <is>
          <t>WSSE013Z</t>
        </is>
      </c>
      <c r="I548" t="inlineStr">
        <is>
          <t>WSSEI013</t>
        </is>
      </c>
      <c r="K548" t="inlineStr">
        <is>
          <t>2F120374D5236300000001CA</t>
        </is>
      </c>
    </row>
    <row r="549">
      <c r="A549" t="n">
        <v>14</v>
      </c>
      <c r="B549" t="inlineStr">
        <is>
          <t>SPE4A6-18-P-L684</t>
        </is>
      </c>
      <c r="C549" s="20" t="inlineStr">
        <is>
          <t>Worldmag</t>
        </is>
      </c>
      <c r="E549" t="n">
        <v>7</v>
      </c>
      <c r="G549" s="230" t="n">
        <v>1649.83</v>
      </c>
      <c r="H549" t="inlineStr">
        <is>
          <t>WSSE014</t>
        </is>
      </c>
      <c r="I549" t="inlineStr">
        <is>
          <t>WSSEI014</t>
        </is>
      </c>
      <c r="K549" t="inlineStr">
        <is>
          <t>2F120374D5236300000001CB</t>
        </is>
      </c>
    </row>
    <row r="550">
      <c r="A550" t="n">
        <v>15</v>
      </c>
      <c r="B550" t="inlineStr">
        <is>
          <t>SPE4A6-18-P-L684</t>
        </is>
      </c>
      <c r="C550" s="20" t="inlineStr">
        <is>
          <t>Worldmag</t>
        </is>
      </c>
      <c r="E550" t="n">
        <v>15</v>
      </c>
      <c r="G550" s="230" t="n">
        <v>3535.35</v>
      </c>
      <c r="H550" t="inlineStr">
        <is>
          <t>WSSE015Z</t>
        </is>
      </c>
      <c r="I550" t="inlineStr">
        <is>
          <t>WSSEI015</t>
        </is>
      </c>
      <c r="K550" t="inlineStr">
        <is>
          <t>2F120374D5236300000001CC</t>
        </is>
      </c>
    </row>
    <row r="551">
      <c r="A551" t="n">
        <v>16</v>
      </c>
      <c r="B551" t="inlineStr">
        <is>
          <t>SPE4A6-18-P-D935</t>
        </is>
      </c>
      <c r="C551" s="20" t="inlineStr">
        <is>
          <t>Avibank Return</t>
        </is>
      </c>
      <c r="E551" t="n">
        <v>500</v>
      </c>
      <c r="G551" s="230" t="n">
        <v>0</v>
      </c>
      <c r="H551" t="inlineStr">
        <is>
          <t>WSSE016Z</t>
        </is>
      </c>
      <c r="I551" t="inlineStr">
        <is>
          <t>WSSEI016</t>
        </is>
      </c>
      <c r="J551" s="4" t="n">
        <v>43360</v>
      </c>
      <c r="K551" t="inlineStr">
        <is>
          <t>2F120374D5236300000001CD</t>
        </is>
      </c>
    </row>
    <row r="552">
      <c r="A552" t="n">
        <v>17</v>
      </c>
      <c r="B552" t="inlineStr">
        <is>
          <t>SPE7MC-18-V-7580</t>
        </is>
      </c>
      <c r="C552" s="20" t="inlineStr">
        <is>
          <t>Kern</t>
        </is>
      </c>
      <c r="E552" t="n">
        <v>14</v>
      </c>
      <c r="G552" s="230" t="n">
        <v>2159.92</v>
      </c>
      <c r="H552" t="inlineStr">
        <is>
          <t>WSSE017Z</t>
        </is>
      </c>
      <c r="I552" t="inlineStr">
        <is>
          <t>WSSEI017</t>
        </is>
      </c>
      <c r="J552" s="4" t="n">
        <v>43360</v>
      </c>
      <c r="K552" t="inlineStr">
        <is>
          <t>2F120374D5236300000001CE</t>
        </is>
      </c>
    </row>
    <row r="553">
      <c r="A553" t="n">
        <v>18</v>
      </c>
      <c r="B553" t="inlineStr">
        <is>
          <t>SPE7M5-18-V-034S</t>
        </is>
      </c>
      <c r="C553" s="20" t="inlineStr">
        <is>
          <t>Glenair</t>
        </is>
      </c>
      <c r="E553" t="n">
        <v>7</v>
      </c>
      <c r="G553" s="230" t="n">
        <v>647.29</v>
      </c>
      <c r="H553" t="inlineStr">
        <is>
          <t>WSSE017Z</t>
        </is>
      </c>
      <c r="I553" t="inlineStr">
        <is>
          <t>WSSEI018</t>
        </is>
      </c>
      <c r="J553" s="4" t="n">
        <v>43360</v>
      </c>
      <c r="K553" t="inlineStr">
        <is>
          <t>2F120374D5236300000001CF</t>
        </is>
      </c>
    </row>
    <row r="554">
      <c r="A554" t="n">
        <v>19</v>
      </c>
      <c r="B554" t="inlineStr">
        <is>
          <t>SPE7M5-18-V-034S</t>
        </is>
      </c>
      <c r="C554" s="20" t="inlineStr">
        <is>
          <t>Glenair</t>
        </is>
      </c>
      <c r="E554" t="n">
        <v>30</v>
      </c>
      <c r="G554" s="262" t="n">
        <v>2774.1</v>
      </c>
      <c r="H554" t="inlineStr">
        <is>
          <t>WSSE019</t>
        </is>
      </c>
      <c r="I554" t="inlineStr">
        <is>
          <t>WSSEI019</t>
        </is>
      </c>
      <c r="J554" s="4" t="n">
        <v>43360</v>
      </c>
      <c r="K554" t="inlineStr">
        <is>
          <t>2F120374D5236300000001D0</t>
        </is>
      </c>
    </row>
    <row r="555">
      <c r="A555" t="n">
        <v>20</v>
      </c>
      <c r="B555" t="inlineStr">
        <is>
          <t>SPE7M5-18-P-C141</t>
        </is>
      </c>
      <c r="C555" s="20" t="inlineStr">
        <is>
          <t>DRUCK</t>
        </is>
      </c>
      <c r="E555" t="n">
        <v>10</v>
      </c>
      <c r="G555" s="262" t="n">
        <v>5273.8</v>
      </c>
      <c r="H555" t="inlineStr">
        <is>
          <t>WSSE020Z</t>
        </is>
      </c>
      <c r="I555" t="inlineStr">
        <is>
          <t>WSSEI020</t>
        </is>
      </c>
      <c r="J555" s="4" t="n">
        <v>43360</v>
      </c>
      <c r="K555" t="inlineStr">
        <is>
          <t>2F120374D5236300000001D1</t>
        </is>
      </c>
    </row>
    <row r="556">
      <c r="A556" t="n">
        <v>21</v>
      </c>
      <c r="B556" t="inlineStr">
        <is>
          <t>SPE7MC-18-V-001F</t>
        </is>
      </c>
      <c r="C556" s="20" t="inlineStr">
        <is>
          <t>Glenair</t>
        </is>
      </c>
      <c r="E556" t="n">
        <v>42</v>
      </c>
      <c r="G556" s="230" t="n">
        <v>4423.44</v>
      </c>
      <c r="H556" t="inlineStr">
        <is>
          <t>WSSE021Z</t>
        </is>
      </c>
      <c r="I556" t="inlineStr">
        <is>
          <t>WSSEI021</t>
        </is>
      </c>
      <c r="J556" s="4" t="n">
        <v>43360</v>
      </c>
      <c r="K556" t="inlineStr">
        <is>
          <t>2F120374D5236300000001D2</t>
        </is>
      </c>
    </row>
    <row r="557">
      <c r="A557" t="n">
        <v>22</v>
      </c>
      <c r="B557" t="inlineStr">
        <is>
          <t>SPE7M0-18-V-050D</t>
        </is>
      </c>
      <c r="C557" s="20" t="inlineStr">
        <is>
          <t>Morriscrane</t>
        </is>
      </c>
      <c r="E557" t="n">
        <v>3</v>
      </c>
      <c r="G557" s="262" t="n">
        <v>916.83</v>
      </c>
      <c r="H557" t="inlineStr">
        <is>
          <t>WSSE022Z</t>
        </is>
      </c>
      <c r="I557" t="inlineStr">
        <is>
          <t>WSSEI022</t>
        </is>
      </c>
      <c r="J557" s="4" t="n">
        <v>43360</v>
      </c>
      <c r="K557" t="inlineStr">
        <is>
          <t>2F120374D5236300000001D3</t>
        </is>
      </c>
    </row>
    <row r="558">
      <c r="A558" t="n">
        <v>23</v>
      </c>
      <c r="B558" t="inlineStr">
        <is>
          <t>SPE7M5-18-V-069N</t>
        </is>
      </c>
      <c r="C558" s="20" t="inlineStr">
        <is>
          <t>Glenair</t>
        </is>
      </c>
      <c r="E558" t="n">
        <v>19</v>
      </c>
      <c r="G558" s="262" t="n">
        <v>3287</v>
      </c>
      <c r="H558" t="inlineStr">
        <is>
          <t>WSSE023Z</t>
        </is>
      </c>
      <c r="I558" t="inlineStr">
        <is>
          <t>WSSEI023</t>
        </is>
      </c>
      <c r="J558" s="4" t="n">
        <v>43362</v>
      </c>
      <c r="K558" t="inlineStr">
        <is>
          <t>2F120374D5236300000001D4</t>
        </is>
      </c>
    </row>
    <row r="559">
      <c r="A559" t="n">
        <v>24</v>
      </c>
      <c r="B559" t="inlineStr">
        <is>
          <t>SPE7MC-18-V-8087</t>
        </is>
      </c>
      <c r="C559" s="20" t="inlineStr">
        <is>
          <t>Glenair</t>
        </is>
      </c>
      <c r="E559" t="n">
        <v>8</v>
      </c>
      <c r="G559" s="262" t="n">
        <v>990.96</v>
      </c>
      <c r="H559" t="inlineStr">
        <is>
          <t>WSSE024Z</t>
        </is>
      </c>
      <c r="I559" t="inlineStr">
        <is>
          <t>WSSEI024</t>
        </is>
      </c>
      <c r="J559" s="4" t="n">
        <v>43362</v>
      </c>
      <c r="K559" t="inlineStr">
        <is>
          <t>2F120374D5236300000001D5</t>
        </is>
      </c>
    </row>
    <row r="560">
      <c r="A560" t="n">
        <v>25</v>
      </c>
      <c r="B560" t="inlineStr">
        <is>
          <t>SPE5EK-18-V-5636</t>
        </is>
      </c>
      <c r="C560" s="20" t="inlineStr">
        <is>
          <t>Glenair</t>
        </is>
      </c>
      <c r="E560" t="n">
        <v>20</v>
      </c>
      <c r="G560" s="263" t="n">
        <v>3036.4</v>
      </c>
      <c r="H560" t="inlineStr">
        <is>
          <t>WSSE025Z</t>
        </is>
      </c>
      <c r="I560" t="inlineStr">
        <is>
          <t>WSSEI025</t>
        </is>
      </c>
      <c r="J560" s="4" t="n">
        <v>43362</v>
      </c>
      <c r="K560" t="inlineStr">
        <is>
          <t>2F120374D5236300000001D6</t>
        </is>
      </c>
    </row>
    <row r="561">
      <c r="A561" t="n">
        <v>26</v>
      </c>
      <c r="B561" t="inlineStr">
        <is>
          <t>SPE7MC-18-V-9631</t>
        </is>
      </c>
      <c r="C561" s="20" t="inlineStr">
        <is>
          <t>DRUCK</t>
        </is>
      </c>
      <c r="E561" t="n">
        <v>3</v>
      </c>
      <c r="G561" s="230" t="n">
        <v>1439.49</v>
      </c>
      <c r="H561" t="inlineStr">
        <is>
          <t>WSSE026Z</t>
        </is>
      </c>
      <c r="I561" t="inlineStr">
        <is>
          <t>WSSEI026</t>
        </is>
      </c>
      <c r="J561" s="4" t="n"/>
      <c r="K561" t="inlineStr">
        <is>
          <t>2F120374D5236300000001D7</t>
        </is>
      </c>
    </row>
    <row r="562">
      <c r="A562" t="n">
        <v>27</v>
      </c>
      <c r="B562" t="inlineStr">
        <is>
          <t>SPE7M5-18-P-B604</t>
        </is>
      </c>
      <c r="C562" s="20" t="inlineStr">
        <is>
          <t>GEMS</t>
        </is>
      </c>
      <c r="E562" t="n">
        <v>3</v>
      </c>
      <c r="G562" s="230" t="n">
        <v>6276.24</v>
      </c>
      <c r="H562" t="inlineStr">
        <is>
          <t>WSSE027Z</t>
        </is>
      </c>
      <c r="I562" t="inlineStr">
        <is>
          <t>WSSEI027</t>
        </is>
      </c>
      <c r="J562" s="4" t="n">
        <v>43362</v>
      </c>
      <c r="K562" t="inlineStr">
        <is>
          <t>2F120374D5236300000001D8</t>
        </is>
      </c>
      <c r="M562" s="233">
        <f>+G547+G561</f>
        <v/>
      </c>
    </row>
    <row r="563">
      <c r="A563" t="n">
        <v>28</v>
      </c>
      <c r="B563" t="inlineStr">
        <is>
          <t>SPE5E7-18-P-2675</t>
        </is>
      </c>
      <c r="C563" s="20" t="inlineStr">
        <is>
          <t>NAFCO</t>
        </is>
      </c>
      <c r="E563" t="n">
        <v>10</v>
      </c>
      <c r="G563" s="262" t="n">
        <v>12280.2</v>
      </c>
      <c r="H563" t="inlineStr">
        <is>
          <t>WSSE028Z</t>
        </is>
      </c>
      <c r="I563" t="inlineStr">
        <is>
          <t>WSSEI028</t>
        </is>
      </c>
      <c r="J563" s="4" t="n">
        <v>43362</v>
      </c>
      <c r="K563" t="inlineStr">
        <is>
          <t>2F120374D5236300000001D9</t>
        </is>
      </c>
    </row>
    <row r="564">
      <c r="A564" t="n">
        <v>29</v>
      </c>
      <c r="B564" t="inlineStr">
        <is>
          <t>SPE4A4-18-V-9049</t>
        </is>
      </c>
      <c r="C564" s="20" t="inlineStr">
        <is>
          <t>GEMS</t>
        </is>
      </c>
      <c r="E564" t="n">
        <v>4</v>
      </c>
      <c r="G564" s="230" t="n">
        <v>6538.4</v>
      </c>
      <c r="H564" t="inlineStr">
        <is>
          <t>WSSE029</t>
        </is>
      </c>
      <c r="I564" t="inlineStr">
        <is>
          <t>WSSEI029</t>
        </is>
      </c>
      <c r="J564" s="4" t="n">
        <v>43363</v>
      </c>
      <c r="K564" t="inlineStr">
        <is>
          <t>2F120374D5236300000001DA</t>
        </is>
      </c>
    </row>
    <row r="565">
      <c r="A565" t="n">
        <v>30</v>
      </c>
      <c r="B565" t="inlineStr">
        <is>
          <t>SPE4A4-18-V-9049</t>
        </is>
      </c>
      <c r="C565" s="20" t="inlineStr">
        <is>
          <t>GEMS</t>
        </is>
      </c>
      <c r="E565" t="n">
        <v>4</v>
      </c>
      <c r="G565" s="230" t="n">
        <v>6538.4</v>
      </c>
      <c r="H565" t="inlineStr">
        <is>
          <t>WSSE030Z</t>
        </is>
      </c>
      <c r="I565" t="inlineStr">
        <is>
          <t>WSSEI030</t>
        </is>
      </c>
      <c r="J565" s="4" t="n">
        <v>43363</v>
      </c>
      <c r="K565" t="inlineStr">
        <is>
          <t>2F120374D5236300000001DB</t>
        </is>
      </c>
    </row>
    <row r="566">
      <c r="A566" t="n">
        <v>31</v>
      </c>
      <c r="B566" t="inlineStr">
        <is>
          <t>SPE7M1-18-V-075W</t>
        </is>
      </c>
      <c r="C566" s="20" t="inlineStr">
        <is>
          <t>DRUCK</t>
        </is>
      </c>
      <c r="E566" t="n">
        <v>3</v>
      </c>
      <c r="G566" s="230" t="n">
        <v>8553.540000000001</v>
      </c>
      <c r="H566" t="inlineStr">
        <is>
          <t>WSSE031Z</t>
        </is>
      </c>
      <c r="I566" t="inlineStr">
        <is>
          <t>WSSEI031</t>
        </is>
      </c>
      <c r="J566" s="4" t="n">
        <v>43367</v>
      </c>
      <c r="K566" t="inlineStr">
        <is>
          <t>2F120374D5236300000001DC</t>
        </is>
      </c>
    </row>
    <row r="567">
      <c r="A567" t="n">
        <v>32</v>
      </c>
      <c r="B567" t="inlineStr">
        <is>
          <t>SPE5E4-18-V-7103</t>
        </is>
      </c>
      <c r="C567" s="20" t="inlineStr">
        <is>
          <t>Avibank</t>
        </is>
      </c>
      <c r="E567" t="n">
        <v>26</v>
      </c>
      <c r="G567" s="263" t="n">
        <v>2908.88</v>
      </c>
      <c r="H567" t="inlineStr">
        <is>
          <t>WSSE032Z</t>
        </is>
      </c>
      <c r="I567" t="inlineStr">
        <is>
          <t>WSSEI032</t>
        </is>
      </c>
      <c r="J567" s="4" t="n">
        <v>43368</v>
      </c>
      <c r="K567" t="inlineStr">
        <is>
          <t>2F120374D5236300000001DD</t>
        </is>
      </c>
    </row>
    <row r="568">
      <c r="A568" t="n">
        <v>33</v>
      </c>
      <c r="B568" t="inlineStr">
        <is>
          <t>SPE4A4-18-V-7842</t>
        </is>
      </c>
      <c r="C568" s="20" t="inlineStr">
        <is>
          <t>East?West</t>
        </is>
      </c>
      <c r="E568" t="n">
        <v>5</v>
      </c>
      <c r="G568" s="263" t="n">
        <v>3389</v>
      </c>
      <c r="H568" t="inlineStr">
        <is>
          <t>WSSE033</t>
        </is>
      </c>
      <c r="I568" t="inlineStr">
        <is>
          <t>WSSEI033</t>
        </is>
      </c>
      <c r="J568" s="4" t="n">
        <v>43369</v>
      </c>
      <c r="K568" t="inlineStr">
        <is>
          <t>NO</t>
        </is>
      </c>
    </row>
    <row r="569">
      <c r="A569" t="n">
        <v>34</v>
      </c>
      <c r="B569" t="inlineStr">
        <is>
          <t>SPE4A4-18-V-7842</t>
        </is>
      </c>
      <c r="C569" s="20" t="inlineStr">
        <is>
          <t>East?West</t>
        </is>
      </c>
      <c r="E569" t="n">
        <v>5</v>
      </c>
      <c r="G569" s="263" t="n">
        <v>3389</v>
      </c>
      <c r="H569" t="inlineStr">
        <is>
          <t>WSSE034</t>
        </is>
      </c>
      <c r="I569" t="inlineStr">
        <is>
          <t>WSSEI034</t>
        </is>
      </c>
      <c r="J569" s="4" t="n">
        <v>43369</v>
      </c>
      <c r="K569" t="inlineStr">
        <is>
          <t>NO</t>
        </is>
      </c>
    </row>
    <row r="570">
      <c r="A570" t="n">
        <v>35</v>
      </c>
      <c r="B570" t="inlineStr">
        <is>
          <t>SPE4A4-18-V-7842</t>
        </is>
      </c>
      <c r="C570" s="20" t="inlineStr">
        <is>
          <t>East?West</t>
        </is>
      </c>
      <c r="E570" t="n">
        <v>5</v>
      </c>
      <c r="G570" s="263" t="n">
        <v>3389</v>
      </c>
      <c r="H570" t="inlineStr">
        <is>
          <t>WSSE035</t>
        </is>
      </c>
      <c r="I570" t="inlineStr">
        <is>
          <t>WSSEI035</t>
        </is>
      </c>
      <c r="J570" s="4" t="n">
        <v>43369</v>
      </c>
      <c r="K570" t="inlineStr">
        <is>
          <t>NO</t>
        </is>
      </c>
    </row>
    <row r="571">
      <c r="A571" t="n">
        <v>36</v>
      </c>
      <c r="B571" t="inlineStr">
        <is>
          <t>SPE4A4-18-V-7842</t>
        </is>
      </c>
      <c r="C571" s="20" t="inlineStr">
        <is>
          <t>East?West</t>
        </is>
      </c>
      <c r="E571" t="n">
        <v>6</v>
      </c>
      <c r="G571" s="230" t="n">
        <v>4066.8</v>
      </c>
      <c r="H571" t="inlineStr">
        <is>
          <t>WSSE036Z</t>
        </is>
      </c>
      <c r="I571" t="inlineStr">
        <is>
          <t>WSSEI036</t>
        </is>
      </c>
      <c r="J571" s="4" t="n">
        <v>43369</v>
      </c>
      <c r="K571" t="inlineStr">
        <is>
          <t>NO</t>
        </is>
      </c>
    </row>
    <row r="572">
      <c r="A572" t="n">
        <v>37</v>
      </c>
      <c r="B572" t="inlineStr">
        <is>
          <t>SPE7MC-18-V-9823</t>
        </is>
      </c>
      <c r="C572" s="20" t="inlineStr">
        <is>
          <t>Glenair</t>
        </is>
      </c>
      <c r="E572" t="n">
        <v>8</v>
      </c>
      <c r="G572" s="230" t="n">
        <v>3691.04</v>
      </c>
      <c r="H572" t="inlineStr">
        <is>
          <t>WSSE037Z</t>
        </is>
      </c>
      <c r="I572" t="inlineStr">
        <is>
          <t>WSSEI037</t>
        </is>
      </c>
      <c r="J572" s="4" t="n">
        <v>43369</v>
      </c>
      <c r="K572" t="inlineStr">
        <is>
          <t>2F120374D5236300000001DE</t>
        </is>
      </c>
    </row>
    <row r="573">
      <c r="A573" t="n">
        <v>38</v>
      </c>
      <c r="B573" t="inlineStr">
        <is>
          <t>SPE7M0-18-V-9958</t>
        </is>
      </c>
      <c r="C573" s="20" t="inlineStr">
        <is>
          <t>PBM</t>
        </is>
      </c>
      <c r="E573" s="51" t="n">
        <v>2</v>
      </c>
      <c r="G573" s="230" t="n">
        <v>6328</v>
      </c>
      <c r="H573" t="inlineStr">
        <is>
          <t>WSSE038Z</t>
        </is>
      </c>
      <c r="I573" t="inlineStr">
        <is>
          <t>WSSEI038</t>
        </is>
      </c>
      <c r="K573" t="inlineStr">
        <is>
          <t>NO</t>
        </is>
      </c>
    </row>
    <row r="574">
      <c r="A574" t="n">
        <v>39</v>
      </c>
      <c r="B574" t="inlineStr">
        <is>
          <t>SPE7MC-18-V-048T</t>
        </is>
      </c>
      <c r="C574" s="20" t="inlineStr">
        <is>
          <t>Indeco</t>
        </is>
      </c>
      <c r="E574" t="n">
        <v>25</v>
      </c>
      <c r="G574" s="230" t="n">
        <v>1244.5</v>
      </c>
      <c r="H574" t="inlineStr">
        <is>
          <t>WSSE039Z</t>
        </is>
      </c>
      <c r="I574" t="inlineStr">
        <is>
          <t>WSSEI039</t>
        </is>
      </c>
      <c r="J574" s="4" t="n">
        <v>43370</v>
      </c>
      <c r="K574" t="inlineStr">
        <is>
          <t>2F120374D5236300000001DF</t>
        </is>
      </c>
    </row>
    <row r="575">
      <c r="A575" t="n">
        <v>40</v>
      </c>
      <c r="B575" t="inlineStr">
        <is>
          <t>SPE7M8-18-P-2873</t>
        </is>
      </c>
      <c r="C575" s="20" t="inlineStr">
        <is>
          <t>GEMS</t>
        </is>
      </c>
      <c r="E575" t="n">
        <v>3</v>
      </c>
      <c r="G575" s="230" t="n">
        <v>10799.46</v>
      </c>
      <c r="H575" t="inlineStr">
        <is>
          <t>WSSE040Z</t>
        </is>
      </c>
      <c r="I575" t="inlineStr">
        <is>
          <t>WSSEI040</t>
        </is>
      </c>
      <c r="J575" s="4" t="n">
        <v>43370</v>
      </c>
      <c r="K575" t="inlineStr">
        <is>
          <t>2F120374D5236300000001E0</t>
        </is>
      </c>
    </row>
    <row r="576">
      <c r="A576" t="n">
        <v>41</v>
      </c>
      <c r="B576" t="inlineStr">
        <is>
          <t>SPE7M8-18-V-1542</t>
        </is>
      </c>
      <c r="C576" s="20" t="inlineStr">
        <is>
          <t>Cole</t>
        </is>
      </c>
      <c r="E576" t="n">
        <v>106</v>
      </c>
      <c r="G576" s="230" t="n">
        <v>23359.22</v>
      </c>
      <c r="H576" t="inlineStr">
        <is>
          <t>WSSE041Z</t>
        </is>
      </c>
      <c r="I576" t="inlineStr">
        <is>
          <t>WSSEI041</t>
        </is>
      </c>
      <c r="J576" s="4" t="n">
        <v>43370</v>
      </c>
      <c r="K576" t="inlineStr">
        <is>
          <t>2F120374D5236300000001E1</t>
        </is>
      </c>
    </row>
    <row r="577">
      <c r="A577" t="n">
        <v>42</v>
      </c>
      <c r="B577" t="inlineStr">
        <is>
          <t>SPE4A4-18-V-090R</t>
        </is>
      </c>
      <c r="C577" s="20" t="inlineStr">
        <is>
          <t>National</t>
        </is>
      </c>
      <c r="E577" t="n">
        <v>25</v>
      </c>
      <c r="G577" s="230" t="n">
        <v>16047.25</v>
      </c>
      <c r="H577" t="inlineStr">
        <is>
          <t>WSSE042Z</t>
        </is>
      </c>
      <c r="I577" t="inlineStr">
        <is>
          <t>WSSEI042</t>
        </is>
      </c>
      <c r="J577" s="4" t="n">
        <v>43371</v>
      </c>
      <c r="K577" t="inlineStr">
        <is>
          <t>2F120374D5236300000001E2</t>
        </is>
      </c>
    </row>
    <row r="578">
      <c r="A578" t="n">
        <v>43</v>
      </c>
      <c r="B578" t="inlineStr">
        <is>
          <t>SPE7M2-18-V-1771</t>
        </is>
      </c>
      <c r="C578" s="20" t="inlineStr">
        <is>
          <t>Glenair</t>
        </is>
      </c>
      <c r="E578" t="n">
        <v>5</v>
      </c>
      <c r="G578" s="230" t="n">
        <v>1282.15</v>
      </c>
      <c r="H578" t="inlineStr">
        <is>
          <t>WSSE043</t>
        </is>
      </c>
      <c r="I578" t="inlineStr">
        <is>
          <t>WSSEI043</t>
        </is>
      </c>
      <c r="J578" s="4" t="n">
        <v>43371</v>
      </c>
      <c r="K578" t="inlineStr">
        <is>
          <t>2F120374D5236300000001E3</t>
        </is>
      </c>
    </row>
    <row r="579">
      <c r="A579" t="n">
        <v>44</v>
      </c>
      <c r="B579" t="inlineStr">
        <is>
          <t>SPE7M5-18-V-097G</t>
        </is>
      </c>
      <c r="C579" s="20" t="inlineStr">
        <is>
          <t>Glenair</t>
        </is>
      </c>
      <c r="E579" t="n">
        <v>1</v>
      </c>
      <c r="G579" s="230" t="n">
        <v>289.78</v>
      </c>
      <c r="H579" t="inlineStr">
        <is>
          <t>WSSE044Z</t>
        </is>
      </c>
      <c r="I579" t="inlineStr">
        <is>
          <t>WSSEI044</t>
        </is>
      </c>
      <c r="J579" s="4" t="n">
        <v>43371</v>
      </c>
      <c r="K579" t="inlineStr">
        <is>
          <t>2F120374D5236300000001E4</t>
        </is>
      </c>
    </row>
    <row r="580">
      <c r="A580" t="n">
        <v>45</v>
      </c>
      <c r="B580" t="inlineStr">
        <is>
          <t>SPE7M0-18-P-4360</t>
        </is>
      </c>
      <c r="C580" s="20" t="inlineStr">
        <is>
          <t>Glenair</t>
        </is>
      </c>
      <c r="E580" t="n">
        <v>1</v>
      </c>
      <c r="G580" s="230" t="n">
        <v>549.42</v>
      </c>
      <c r="H580" t="inlineStr">
        <is>
          <t>WSSE045Z</t>
        </is>
      </c>
      <c r="I580" t="inlineStr">
        <is>
          <t>WSSEI045</t>
        </is>
      </c>
      <c r="J580" s="4" t="n">
        <v>43371</v>
      </c>
    </row>
    <row r="581">
      <c r="G581" s="240">
        <f>SUM(G536:G580)</f>
        <v/>
      </c>
    </row>
    <row r="582"/>
    <row r="583">
      <c r="A583" t="n">
        <v>1</v>
      </c>
      <c r="B583" t="inlineStr">
        <is>
          <t>SPE5E8-18-V-4646</t>
        </is>
      </c>
      <c r="C583" s="20" t="inlineStr">
        <is>
          <t>Avibank</t>
        </is>
      </c>
      <c r="E583" t="n">
        <v>61</v>
      </c>
      <c r="G583" s="230" t="n">
        <v>7294.38</v>
      </c>
      <c r="H583" t="inlineStr">
        <is>
          <t>WSOC001Z</t>
        </is>
      </c>
      <c r="I583" t="inlineStr">
        <is>
          <t>WSOSI001</t>
        </is>
      </c>
      <c r="J583" s="4" t="n">
        <v>43375</v>
      </c>
      <c r="K583" t="inlineStr">
        <is>
          <t>2F120374D5236300000001E6</t>
        </is>
      </c>
    </row>
    <row r="584">
      <c r="A584" t="n">
        <v>2</v>
      </c>
      <c r="B584" t="inlineStr">
        <is>
          <t>SPE5E2-18-V-6199</t>
        </is>
      </c>
      <c r="C584" s="20" t="inlineStr">
        <is>
          <t>Avibank</t>
        </is>
      </c>
      <c r="E584" t="n">
        <v>65</v>
      </c>
      <c r="G584" s="230" t="n">
        <v>13611</v>
      </c>
      <c r="H584" t="inlineStr">
        <is>
          <t>WSOC002Z</t>
        </is>
      </c>
      <c r="I584" t="inlineStr">
        <is>
          <t>WSOSI002</t>
        </is>
      </c>
      <c r="J584" s="4" t="n">
        <v>43375</v>
      </c>
      <c r="K584" t="inlineStr">
        <is>
          <t>2F120374D5236300000001E7</t>
        </is>
      </c>
    </row>
    <row r="585">
      <c r="A585" t="n">
        <v>3</v>
      </c>
      <c r="B585" t="inlineStr">
        <is>
          <t>SPE7M9-18-P-1077</t>
        </is>
      </c>
      <c r="C585" t="inlineStr">
        <is>
          <t>Clean Seal</t>
        </is>
      </c>
      <c r="G585" s="230" t="n">
        <v>959.3099999999999</v>
      </c>
      <c r="H585" t="inlineStr">
        <is>
          <t>WSOC003Z</t>
        </is>
      </c>
      <c r="I585" t="inlineStr">
        <is>
          <t>WSOCI003</t>
        </is>
      </c>
      <c r="J585" s="4" t="n">
        <v>43377</v>
      </c>
      <c r="K585" t="inlineStr">
        <is>
          <t>2F120374D5236300000001E8</t>
        </is>
      </c>
    </row>
    <row r="586">
      <c r="A586" t="n">
        <v>4</v>
      </c>
      <c r="B586" t="inlineStr">
        <is>
          <t>SPE5E2-18-V-7779</t>
        </is>
      </c>
      <c r="C586" s="20" t="inlineStr">
        <is>
          <t>Avibank</t>
        </is>
      </c>
      <c r="E586" t="n">
        <v>20</v>
      </c>
      <c r="G586" s="262" t="n">
        <v>4072.8</v>
      </c>
      <c r="H586" t="inlineStr">
        <is>
          <t>WSOC004Z</t>
        </is>
      </c>
      <c r="I586" t="inlineStr">
        <is>
          <t>WSOCI004</t>
        </is>
      </c>
      <c r="J586" s="4" t="n">
        <v>43377</v>
      </c>
      <c r="K586" t="inlineStr">
        <is>
          <t>2F120374D5236300000001E9</t>
        </is>
      </c>
    </row>
    <row r="587">
      <c r="A587" t="n">
        <v>5</v>
      </c>
      <c r="B587" t="inlineStr">
        <is>
          <t>SPE4A6-18-P-K799</t>
        </is>
      </c>
      <c r="C587" s="20" t="inlineStr">
        <is>
          <t>GEMS</t>
        </is>
      </c>
      <c r="E587" t="n">
        <v>1</v>
      </c>
      <c r="G587" s="236" t="n">
        <v>2956.6</v>
      </c>
      <c r="H587" t="inlineStr">
        <is>
          <t>WSOC005Z</t>
        </is>
      </c>
      <c r="I587" t="inlineStr">
        <is>
          <t>WSOCI005</t>
        </is>
      </c>
      <c r="J587" s="4" t="n">
        <v>43378</v>
      </c>
    </row>
    <row r="588">
      <c r="A588" t="n">
        <v>6</v>
      </c>
      <c r="B588" t="inlineStr">
        <is>
          <t>SPE4A4-18-V-8788</t>
        </is>
      </c>
      <c r="C588" s="51" t="n"/>
      <c r="E588" t="n">
        <v>9</v>
      </c>
      <c r="G588" s="230" t="n"/>
      <c r="H588" t="inlineStr">
        <is>
          <t>WSOC006Z</t>
        </is>
      </c>
      <c r="I588" t="inlineStr">
        <is>
          <t>WSOCI006</t>
        </is>
      </c>
      <c r="J588" s="4" t="n">
        <v>43378</v>
      </c>
      <c r="K588" t="inlineStr">
        <is>
          <t>Void</t>
        </is>
      </c>
    </row>
    <row r="589">
      <c r="A589" t="n">
        <v>7</v>
      </c>
      <c r="B589" t="inlineStr">
        <is>
          <t>SPE5E3-18-V-9163</t>
        </is>
      </c>
      <c r="C589" s="20" t="inlineStr">
        <is>
          <t>LEESPRING</t>
        </is>
      </c>
      <c r="E589" t="n">
        <v>69</v>
      </c>
      <c r="G589" s="230" t="n">
        <v>129.03</v>
      </c>
      <c r="H589" t="inlineStr">
        <is>
          <t>WSOC007Z</t>
        </is>
      </c>
      <c r="I589" t="inlineStr">
        <is>
          <t>WSOCI007</t>
        </is>
      </c>
      <c r="J589" s="4" t="n">
        <v>43378</v>
      </c>
    </row>
    <row r="590">
      <c r="A590" t="n">
        <v>8</v>
      </c>
      <c r="B590" t="inlineStr">
        <is>
          <t>SPE5EJ-18-V-7973</t>
        </is>
      </c>
      <c r="C590" s="20" t="inlineStr">
        <is>
          <t>TIMKEN</t>
        </is>
      </c>
      <c r="E590" t="n">
        <v>31</v>
      </c>
      <c r="G590" s="230" t="n">
        <v>1729.49</v>
      </c>
      <c r="H590" t="inlineStr">
        <is>
          <t>WSOC008Z</t>
        </is>
      </c>
      <c r="I590" t="inlineStr">
        <is>
          <t>WSOCI008</t>
        </is>
      </c>
      <c r="J590" s="4" t="n">
        <v>43378</v>
      </c>
      <c r="K590" t="inlineStr">
        <is>
          <t>2F120374D5236300000001EB</t>
        </is>
      </c>
    </row>
    <row r="591">
      <c r="A591" t="n">
        <v>9</v>
      </c>
      <c r="B591" t="inlineStr">
        <is>
          <t>SPE4A4-18-V-8788</t>
        </is>
      </c>
      <c r="C591" s="20" t="inlineStr">
        <is>
          <t>GEMS</t>
        </is>
      </c>
      <c r="E591" t="n">
        <v>3</v>
      </c>
      <c r="G591" s="230" t="n">
        <v>5299.65</v>
      </c>
      <c r="H591" t="inlineStr">
        <is>
          <t>WSOC009</t>
        </is>
      </c>
      <c r="I591" t="inlineStr">
        <is>
          <t>WSOCI009</t>
        </is>
      </c>
      <c r="J591" s="4" t="n">
        <v>43378</v>
      </c>
      <c r="K591" t="inlineStr">
        <is>
          <t>2F120374D5236300000001EC</t>
        </is>
      </c>
    </row>
    <row r="592">
      <c r="A592" t="n">
        <v>10</v>
      </c>
      <c r="B592" t="inlineStr">
        <is>
          <t>SPE4A4-18-V-8788</t>
        </is>
      </c>
      <c r="C592" s="20" t="inlineStr">
        <is>
          <t>GEMS</t>
        </is>
      </c>
      <c r="E592" t="n">
        <v>3</v>
      </c>
      <c r="G592" s="230" t="n">
        <v>5299.65</v>
      </c>
      <c r="H592" t="inlineStr">
        <is>
          <t>WSOC010</t>
        </is>
      </c>
      <c r="I592" t="inlineStr">
        <is>
          <t>WSOCI010</t>
        </is>
      </c>
      <c r="J592" s="4" t="n">
        <v>43378</v>
      </c>
      <c r="K592" t="inlineStr">
        <is>
          <t>2F120374D5236300000001ED</t>
        </is>
      </c>
    </row>
    <row r="593">
      <c r="A593" t="n">
        <v>11</v>
      </c>
      <c r="B593" t="inlineStr">
        <is>
          <t>SPE4A4-18-V-8788</t>
        </is>
      </c>
      <c r="C593" s="20" t="inlineStr">
        <is>
          <t>GEMS</t>
        </is>
      </c>
      <c r="E593" t="n">
        <v>3</v>
      </c>
      <c r="G593" s="230" t="n">
        <v>5299.65</v>
      </c>
      <c r="H593" t="inlineStr">
        <is>
          <t>WSOC011Z</t>
        </is>
      </c>
      <c r="I593" t="inlineStr">
        <is>
          <t>WSOCI011</t>
        </is>
      </c>
      <c r="J593" s="4" t="n">
        <v>43378</v>
      </c>
      <c r="K593" t="inlineStr">
        <is>
          <t>2F120374D5236300000001EE</t>
        </is>
      </c>
    </row>
    <row r="594">
      <c r="A594" t="n">
        <v>12</v>
      </c>
      <c r="B594" t="inlineStr">
        <is>
          <t>SPE5E8-18-V-7865</t>
        </is>
      </c>
      <c r="C594" s="20" t="inlineStr">
        <is>
          <t>Avibank</t>
        </is>
      </c>
      <c r="E594" t="n">
        <v>677</v>
      </c>
      <c r="G594" s="230" t="n">
        <v>19693.93</v>
      </c>
      <c r="H594" t="inlineStr">
        <is>
          <t>WSOC012Z</t>
        </is>
      </c>
      <c r="I594" t="inlineStr">
        <is>
          <t>WSOCI012</t>
        </is>
      </c>
      <c r="J594" s="4" t="n">
        <v>43382</v>
      </c>
      <c r="K594" t="inlineStr">
        <is>
          <t>2F120374D5236300000001EF</t>
        </is>
      </c>
    </row>
    <row r="595">
      <c r="A595" t="n">
        <v>13</v>
      </c>
      <c r="B595" t="inlineStr">
        <is>
          <t>SPE8ED-18-V-0562</t>
        </is>
      </c>
      <c r="C595" s="20" t="inlineStr">
        <is>
          <t>C&amp;S</t>
        </is>
      </c>
      <c r="E595" t="n">
        <v>27</v>
      </c>
      <c r="G595" s="230" t="n">
        <v>3323.7</v>
      </c>
      <c r="H595" t="inlineStr">
        <is>
          <t>WSOC013Z</t>
        </is>
      </c>
      <c r="I595" t="inlineStr">
        <is>
          <t>WSOCI013</t>
        </is>
      </c>
      <c r="J595" s="4" t="n">
        <v>43382</v>
      </c>
      <c r="K595" t="inlineStr">
        <is>
          <t>2F120374D5236300000001F0</t>
        </is>
      </c>
    </row>
    <row r="596">
      <c r="A596" t="n">
        <v>14</v>
      </c>
      <c r="B596" t="inlineStr">
        <is>
          <t>SPE7MC-18-V-063E</t>
        </is>
      </c>
      <c r="C596" s="20" t="inlineStr">
        <is>
          <t>Pauli</t>
        </is>
      </c>
      <c r="E596" t="n">
        <v>3</v>
      </c>
      <c r="G596" s="263" t="n">
        <v>311.64</v>
      </c>
      <c r="H596" t="inlineStr">
        <is>
          <t>WSOC014Z</t>
        </is>
      </c>
      <c r="I596" t="inlineStr">
        <is>
          <t>WSOCI014</t>
        </is>
      </c>
      <c r="J596" s="4" t="n">
        <v>43382</v>
      </c>
      <c r="K596" t="inlineStr">
        <is>
          <t>2F120374D5236300000001F1</t>
        </is>
      </c>
    </row>
    <row r="597">
      <c r="A597" t="n">
        <v>15</v>
      </c>
      <c r="B597" t="inlineStr">
        <is>
          <t>SPE7M2-18-V-1623</t>
        </is>
      </c>
      <c r="C597" s="20" t="inlineStr">
        <is>
          <t>Glenair</t>
        </is>
      </c>
      <c r="E597" t="n">
        <v>37</v>
      </c>
      <c r="G597" s="230" t="n">
        <v>11629.84</v>
      </c>
      <c r="H597" t="inlineStr">
        <is>
          <t>WSOC015Z</t>
        </is>
      </c>
      <c r="I597" t="inlineStr">
        <is>
          <t>WSOCI015</t>
        </is>
      </c>
      <c r="J597" s="4" t="n">
        <v>43382</v>
      </c>
      <c r="K597" t="inlineStr">
        <is>
          <t>2F120374D5236300000001F2</t>
        </is>
      </c>
    </row>
    <row r="598">
      <c r="A598" t="n">
        <v>16</v>
      </c>
      <c r="B598" t="inlineStr">
        <is>
          <t>SPE7M8-18-P-3233</t>
        </is>
      </c>
      <c r="C598" s="20" t="inlineStr">
        <is>
          <t>GEMS</t>
        </is>
      </c>
      <c r="E598" t="n">
        <v>4</v>
      </c>
      <c r="G598" s="230" t="n">
        <v>24715.36</v>
      </c>
      <c r="H598" t="inlineStr">
        <is>
          <t>WSOC016Z</t>
        </is>
      </c>
      <c r="I598" t="inlineStr">
        <is>
          <t>WSOCI016</t>
        </is>
      </c>
      <c r="J598" s="4" t="n">
        <v>43385</v>
      </c>
      <c r="K598" t="inlineStr">
        <is>
          <t>2F120374D5236300000001F3</t>
        </is>
      </c>
    </row>
    <row r="599">
      <c r="A599" t="n">
        <v>17</v>
      </c>
      <c r="B599" t="inlineStr">
        <is>
          <t>SPE7M8-19-V-0065</t>
        </is>
      </c>
      <c r="C599" s="20" t="inlineStr">
        <is>
          <t>HIAB</t>
        </is>
      </c>
      <c r="E599" t="n">
        <v>1</v>
      </c>
      <c r="G599" s="263" t="n">
        <v>2418.74</v>
      </c>
      <c r="H599" t="inlineStr">
        <is>
          <t>WSOC017Z</t>
        </is>
      </c>
      <c r="I599" t="inlineStr">
        <is>
          <t>WSOCI017</t>
        </is>
      </c>
      <c r="J599" s="4" t="n">
        <v>43388</v>
      </c>
      <c r="K599" t="inlineStr">
        <is>
          <t>2F120374D5236300000001F4</t>
        </is>
      </c>
    </row>
    <row r="600">
      <c r="A600" t="n">
        <v>18</v>
      </c>
      <c r="B600" t="inlineStr">
        <is>
          <t>SPE7M8-18-V-1980</t>
        </is>
      </c>
      <c r="C600" s="20" t="inlineStr">
        <is>
          <t>GEMS</t>
        </is>
      </c>
      <c r="E600" t="n">
        <v>5</v>
      </c>
      <c r="G600" s="230" t="n">
        <v>15937.1</v>
      </c>
      <c r="H600" t="inlineStr">
        <is>
          <t>WSOC018Z</t>
        </is>
      </c>
      <c r="I600" t="inlineStr">
        <is>
          <t>WSOCI018</t>
        </is>
      </c>
      <c r="J600" s="4" t="n">
        <v>43388</v>
      </c>
      <c r="K600" t="inlineStr">
        <is>
          <t>2F120374D5236300000001F5</t>
        </is>
      </c>
    </row>
    <row r="601">
      <c r="A601" t="n">
        <v>19</v>
      </c>
      <c r="B601" t="inlineStr">
        <is>
          <t>SPE4A6-18-V-487E</t>
        </is>
      </c>
      <c r="C601" s="20" t="inlineStr">
        <is>
          <t>Olympus</t>
        </is>
      </c>
      <c r="E601" t="n">
        <v>10</v>
      </c>
      <c r="G601" s="230" t="n">
        <v>2169.3</v>
      </c>
      <c r="H601" t="inlineStr">
        <is>
          <t>WSOC019Z</t>
        </is>
      </c>
      <c r="I601" t="inlineStr">
        <is>
          <t>WSOCI019</t>
        </is>
      </c>
      <c r="J601" s="4" t="n">
        <v>43390</v>
      </c>
      <c r="K601" t="inlineStr">
        <is>
          <t>2F120374D5236300000001F6</t>
        </is>
      </c>
    </row>
    <row r="602">
      <c r="A602" t="n">
        <v>20</v>
      </c>
      <c r="B602" t="inlineStr">
        <is>
          <t>SPE7L3-18-V-8790</t>
        </is>
      </c>
      <c r="C602" s="20" t="inlineStr">
        <is>
          <t>TIMPRICE</t>
        </is>
      </c>
      <c r="E602" t="n">
        <v>1</v>
      </c>
      <c r="G602" s="230" t="n">
        <v>3042.55</v>
      </c>
      <c r="H602" t="inlineStr">
        <is>
          <t>WSOC020Z</t>
        </is>
      </c>
      <c r="I602" t="inlineStr">
        <is>
          <t>WSOCI020</t>
        </is>
      </c>
      <c r="J602" s="4" t="n">
        <v>43390</v>
      </c>
      <c r="K602" t="inlineStr">
        <is>
          <t>2F120374D5236300000001F7</t>
        </is>
      </c>
    </row>
    <row r="603">
      <c r="A603" t="n">
        <v>21</v>
      </c>
      <c r="B603" t="inlineStr">
        <is>
          <t>SPE7M5-18-V-096M</t>
        </is>
      </c>
      <c r="C603" s="20" t="inlineStr">
        <is>
          <t>Glenair</t>
        </is>
      </c>
      <c r="E603" t="n">
        <v>95</v>
      </c>
      <c r="G603" s="230" t="n">
        <v>6931.2</v>
      </c>
      <c r="H603" t="inlineStr">
        <is>
          <t>WSOC021Z</t>
        </is>
      </c>
      <c r="I603" t="inlineStr">
        <is>
          <t>WSOCI021</t>
        </is>
      </c>
      <c r="J603" s="4" t="n">
        <v>43391</v>
      </c>
      <c r="K603" t="inlineStr">
        <is>
          <t>2F120374D5236300000001F8</t>
        </is>
      </c>
    </row>
    <row r="604">
      <c r="A604" t="n">
        <v>22</v>
      </c>
      <c r="B604" t="inlineStr">
        <is>
          <t>SPE4A4-18-V-061A</t>
        </is>
      </c>
      <c r="C604" s="20" t="inlineStr">
        <is>
          <t>GEMS</t>
        </is>
      </c>
      <c r="E604" t="n">
        <v>14</v>
      </c>
      <c r="G604" s="230" t="n">
        <v>11667.6</v>
      </c>
      <c r="H604" t="inlineStr">
        <is>
          <t>WSOC022Z</t>
        </is>
      </c>
      <c r="I604" t="inlineStr">
        <is>
          <t>WSOCI022</t>
        </is>
      </c>
      <c r="J604" s="4" t="n">
        <v>43391</v>
      </c>
      <c r="K604" t="inlineStr">
        <is>
          <t>2F120374D5236300000001F9</t>
        </is>
      </c>
    </row>
    <row r="605">
      <c r="A605" t="n">
        <v>23</v>
      </c>
      <c r="B605" t="inlineStr">
        <is>
          <t>SPE4A4-18-V-008G</t>
        </is>
      </c>
      <c r="C605" s="20" t="inlineStr">
        <is>
          <t>GEMS</t>
        </is>
      </c>
      <c r="E605" t="n">
        <v>7</v>
      </c>
      <c r="G605" s="230" t="n">
        <v>8258.459999999999</v>
      </c>
      <c r="H605" t="inlineStr">
        <is>
          <t>WSOC023Z</t>
        </is>
      </c>
      <c r="I605" t="inlineStr">
        <is>
          <t>WSOCI023</t>
        </is>
      </c>
      <c r="J605" s="4" t="n">
        <v>43391</v>
      </c>
      <c r="K605" t="inlineStr">
        <is>
          <t>2F120374D5236300000001FA</t>
        </is>
      </c>
    </row>
    <row r="606">
      <c r="A606" t="n">
        <v>24</v>
      </c>
      <c r="B606" t="inlineStr">
        <is>
          <t>SPE5E9-18-P-2626</t>
        </is>
      </c>
      <c r="C606" s="20" t="inlineStr">
        <is>
          <t>Avibank</t>
        </is>
      </c>
      <c r="E606" t="n">
        <v>20</v>
      </c>
      <c r="G606" s="232" t="n">
        <v>1484.2</v>
      </c>
      <c r="H606" t="inlineStr">
        <is>
          <t>WSOC024Z</t>
        </is>
      </c>
      <c r="I606" t="inlineStr">
        <is>
          <t>WSOCI024</t>
        </is>
      </c>
      <c r="J606" s="4" t="n">
        <v>43395</v>
      </c>
      <c r="K606" t="inlineStr">
        <is>
          <t>2F120374D5236300000001FB</t>
        </is>
      </c>
    </row>
    <row r="607">
      <c r="A607" t="n">
        <v>25</v>
      </c>
      <c r="B607" t="inlineStr">
        <is>
          <t>SPE7M3-18-V-4255</t>
        </is>
      </c>
      <c r="C607" s="20" t="inlineStr">
        <is>
          <t>AEROFIT</t>
        </is>
      </c>
      <c r="E607" s="5" t="n">
        <v>114</v>
      </c>
      <c r="G607" s="230" t="n">
        <v>26436.6</v>
      </c>
      <c r="H607" t="inlineStr">
        <is>
          <t>WSOC025Z</t>
        </is>
      </c>
      <c r="I607" t="inlineStr">
        <is>
          <t>WSOCI025</t>
        </is>
      </c>
      <c r="J607" s="4" t="n">
        <v>43396</v>
      </c>
      <c r="K607" t="inlineStr">
        <is>
          <t>2F120374D5236300000001FC</t>
        </is>
      </c>
    </row>
    <row r="608">
      <c r="A608" t="n">
        <v>26</v>
      </c>
      <c r="B608" t="inlineStr">
        <is>
          <t>SPE7M5-18-P-7931</t>
        </is>
      </c>
      <c r="C608" s="20" t="inlineStr">
        <is>
          <t>ITT</t>
        </is>
      </c>
      <c r="E608" s="5" t="n">
        <v>2</v>
      </c>
      <c r="G608" s="230" t="n">
        <v>2189.28</v>
      </c>
      <c r="H608" t="inlineStr">
        <is>
          <t>WSOC026Z</t>
        </is>
      </c>
      <c r="I608" t="inlineStr">
        <is>
          <t>WSOCI026</t>
        </is>
      </c>
      <c r="J608" s="4" t="n">
        <v>43396</v>
      </c>
      <c r="K608" t="inlineStr">
        <is>
          <t>2F120374D5236300000001FD</t>
        </is>
      </c>
    </row>
    <row r="609">
      <c r="A609" t="n">
        <v>27</v>
      </c>
      <c r="B609" t="inlineStr">
        <is>
          <t>SPE5EK-18-V-5401</t>
        </is>
      </c>
      <c r="C609" s="20" t="inlineStr">
        <is>
          <t>FLOWLINE</t>
        </is>
      </c>
      <c r="E609" t="n">
        <v>5</v>
      </c>
      <c r="G609" s="230" t="n">
        <v>2147.1</v>
      </c>
      <c r="H609" t="inlineStr">
        <is>
          <t>WSOC027Z</t>
        </is>
      </c>
      <c r="I609" t="inlineStr">
        <is>
          <t>WSOCI027</t>
        </is>
      </c>
      <c r="J609" s="4" t="n">
        <v>43396</v>
      </c>
      <c r="K609" t="inlineStr">
        <is>
          <t>2F120374D5236300000001FE</t>
        </is>
      </c>
    </row>
    <row r="610">
      <c r="A610" t="n">
        <v>28</v>
      </c>
      <c r="B610" t="inlineStr">
        <is>
          <t>SPE7MC-18-V-055B</t>
        </is>
      </c>
      <c r="C610" s="20" t="inlineStr">
        <is>
          <t>Glenair</t>
        </is>
      </c>
      <c r="G610" s="230" t="n">
        <v>3370.72</v>
      </c>
      <c r="H610" t="inlineStr">
        <is>
          <t>WSOC028Z</t>
        </is>
      </c>
      <c r="I610" t="inlineStr">
        <is>
          <t>WSOCI028</t>
        </is>
      </c>
      <c r="K610" t="inlineStr">
        <is>
          <t>2F120374D5236300000001FF</t>
        </is>
      </c>
    </row>
    <row r="611">
      <c r="A611" t="n">
        <v>29</v>
      </c>
      <c r="B611" t="inlineStr">
        <is>
          <t>SPE7M0-18-V-047D</t>
        </is>
      </c>
      <c r="C611" s="20" t="inlineStr">
        <is>
          <t>Druck</t>
        </is>
      </c>
      <c r="E611" t="n">
        <v>1</v>
      </c>
      <c r="G611" s="262" t="n">
        <v>1462.46</v>
      </c>
      <c r="H611" t="inlineStr">
        <is>
          <t>WSOC029Z</t>
        </is>
      </c>
      <c r="I611" t="inlineStr">
        <is>
          <t>WSOCI029</t>
        </is>
      </c>
    </row>
    <row r="612">
      <c r="A612" t="n">
        <v>30</v>
      </c>
      <c r="B612" t="inlineStr">
        <is>
          <t>SPE7MC-18-V-020N</t>
        </is>
      </c>
      <c r="C612" s="20" t="inlineStr">
        <is>
          <t>Glenair</t>
        </is>
      </c>
      <c r="E612" t="n">
        <v>384</v>
      </c>
      <c r="G612" s="230" t="n">
        <v>6923.52</v>
      </c>
      <c r="H612" t="inlineStr">
        <is>
          <t>WSOC029Z</t>
        </is>
      </c>
      <c r="I612" t="inlineStr">
        <is>
          <t>WSOCI030</t>
        </is>
      </c>
      <c r="J612" s="4" t="n">
        <v>43402</v>
      </c>
      <c r="K612" t="inlineStr">
        <is>
          <t>2F120374D523630000000200</t>
        </is>
      </c>
    </row>
    <row r="613">
      <c r="A613" t="n">
        <v>31</v>
      </c>
      <c r="B613" t="inlineStr">
        <is>
          <t>SPE5EJ-18-V-8066</t>
        </is>
      </c>
      <c r="C613" s="20" t="inlineStr">
        <is>
          <t>KTSDI</t>
        </is>
      </c>
      <c r="E613" t="n">
        <v>4</v>
      </c>
      <c r="G613" s="230" t="n">
        <v>1671.32</v>
      </c>
      <c r="H613" t="inlineStr">
        <is>
          <t>WSOC031Z</t>
        </is>
      </c>
      <c r="I613" t="inlineStr">
        <is>
          <t>WSOCI031</t>
        </is>
      </c>
      <c r="J613" s="4" t="n">
        <v>43402</v>
      </c>
      <c r="K613" t="inlineStr">
        <is>
          <t>2F120374D523630000000201</t>
        </is>
      </c>
    </row>
    <row r="614">
      <c r="A614" t="n">
        <v>32</v>
      </c>
      <c r="B614" t="inlineStr">
        <is>
          <t>SPE7M3-18-V-4633</t>
        </is>
      </c>
      <c r="C614" s="20" t="inlineStr">
        <is>
          <t>FLOWLINE</t>
        </is>
      </c>
      <c r="E614" t="n">
        <v>19</v>
      </c>
      <c r="G614" s="230" t="n">
        <v>1470.6</v>
      </c>
      <c r="H614" t="inlineStr">
        <is>
          <t>WSOC032Z</t>
        </is>
      </c>
      <c r="I614" t="inlineStr">
        <is>
          <t>WSOCI032</t>
        </is>
      </c>
      <c r="K614" t="inlineStr">
        <is>
          <t>2F120374D523630000000202</t>
        </is>
      </c>
    </row>
    <row r="615">
      <c r="A615" t="n">
        <v>33</v>
      </c>
      <c r="B615" t="inlineStr">
        <is>
          <t>SPE7M8-18-P-3238</t>
        </is>
      </c>
      <c r="C615" s="20" t="inlineStr">
        <is>
          <t>GEMS</t>
        </is>
      </c>
      <c r="E615" t="n">
        <v>1</v>
      </c>
      <c r="G615" s="230" t="n">
        <v>1058</v>
      </c>
      <c r="H615" t="inlineStr">
        <is>
          <t>WSOC033Z</t>
        </is>
      </c>
      <c r="I615" t="inlineStr">
        <is>
          <t>WSOCI033</t>
        </is>
      </c>
      <c r="J615" s="4" t="n">
        <v>43402</v>
      </c>
      <c r="K615" t="inlineStr">
        <is>
          <t>2F120374D523630000000203</t>
        </is>
      </c>
    </row>
    <row r="616">
      <c r="A616" t="n">
        <v>34</v>
      </c>
      <c r="B616" t="inlineStr">
        <is>
          <t>SPE4A4-18-V-9929</t>
        </is>
      </c>
      <c r="C616" s="20" t="inlineStr">
        <is>
          <t>Glenair</t>
        </is>
      </c>
      <c r="E616" t="n">
        <v>15</v>
      </c>
      <c r="F616" s="5" t="n"/>
      <c r="G616" s="230" t="n">
        <v>5769</v>
      </c>
      <c r="H616" t="inlineStr">
        <is>
          <t>WSOC034Z</t>
        </is>
      </c>
      <c r="I616" t="inlineStr">
        <is>
          <t>WSOCI034</t>
        </is>
      </c>
      <c r="J616" s="4" t="n">
        <v>43402</v>
      </c>
      <c r="K616" t="inlineStr">
        <is>
          <t>2F120374D523630000000204</t>
        </is>
      </c>
    </row>
    <row r="617">
      <c r="A617" t="n">
        <v>35</v>
      </c>
      <c r="B617" t="inlineStr">
        <is>
          <t>SPE7L2-18-V-2074</t>
        </is>
      </c>
      <c r="C617" s="20" t="inlineStr">
        <is>
          <t>KTSDI</t>
        </is>
      </c>
      <c r="E617" t="n">
        <v>3</v>
      </c>
      <c r="G617" s="230" t="n">
        <v>1669.29</v>
      </c>
      <c r="H617" t="inlineStr">
        <is>
          <t>WSOC035Z</t>
        </is>
      </c>
      <c r="I617" t="inlineStr">
        <is>
          <t>WSOCI035</t>
        </is>
      </c>
      <c r="J617" s="4" t="n">
        <v>43402</v>
      </c>
      <c r="K617" t="inlineStr">
        <is>
          <t>2F120374D523630000000205</t>
        </is>
      </c>
    </row>
    <row r="618">
      <c r="A618" t="n">
        <v>36</v>
      </c>
      <c r="B618" t="inlineStr">
        <is>
          <t>SPE7M5-18-V-094L</t>
        </is>
      </c>
      <c r="C618" s="20" t="inlineStr">
        <is>
          <t>LAIRD</t>
        </is>
      </c>
      <c r="E618" t="n">
        <v>12</v>
      </c>
      <c r="G618" s="230" t="n">
        <v>8140.68</v>
      </c>
      <c r="H618" t="inlineStr">
        <is>
          <t>WSOC036Z</t>
        </is>
      </c>
      <c r="I618" t="inlineStr">
        <is>
          <t>WSOCI036</t>
        </is>
      </c>
      <c r="J618" s="4" t="n">
        <v>43403</v>
      </c>
      <c r="K618" t="inlineStr">
        <is>
          <t>2F120374D523630000000206</t>
        </is>
      </c>
    </row>
    <row r="619">
      <c r="A619" t="n">
        <v>37</v>
      </c>
      <c r="B619" t="inlineStr">
        <is>
          <t>SPE7M5-18-P-7931</t>
        </is>
      </c>
      <c r="C619" s="20" t="inlineStr">
        <is>
          <t>ITT</t>
        </is>
      </c>
      <c r="E619" t="n">
        <v>13</v>
      </c>
      <c r="G619" s="230" t="n">
        <v>14230.32</v>
      </c>
      <c r="H619" t="inlineStr">
        <is>
          <t>WSOC037</t>
        </is>
      </c>
      <c r="I619" t="inlineStr">
        <is>
          <t>WSOCI037</t>
        </is>
      </c>
      <c r="J619" s="4" t="n">
        <v>43403</v>
      </c>
      <c r="K619" t="inlineStr">
        <is>
          <t>2F120374D523630000000207</t>
        </is>
      </c>
    </row>
    <row r="620">
      <c r="A620" t="n">
        <v>38</v>
      </c>
      <c r="B620" t="inlineStr">
        <is>
          <t>SPE7M5-18-V-134A</t>
        </is>
      </c>
      <c r="C620" s="20" t="inlineStr">
        <is>
          <t>Glenair</t>
        </is>
      </c>
      <c r="E620" t="n">
        <v>13</v>
      </c>
      <c r="G620" s="230" t="n">
        <v>4694.82</v>
      </c>
      <c r="H620" t="inlineStr">
        <is>
          <t>WSOC038Z</t>
        </is>
      </c>
      <c r="I620" t="inlineStr">
        <is>
          <t>WSOCI038</t>
        </is>
      </c>
      <c r="J620" s="4" t="n">
        <v>43403</v>
      </c>
      <c r="K620" t="inlineStr">
        <is>
          <t>2F120374D523630000000208</t>
        </is>
      </c>
    </row>
    <row r="621">
      <c r="A621" t="n">
        <v>39</v>
      </c>
      <c r="B621" t="inlineStr">
        <is>
          <t>SPE5E2-18-V-8004</t>
        </is>
      </c>
      <c r="C621" s="20" t="inlineStr">
        <is>
          <t>Avibank</t>
        </is>
      </c>
      <c r="E621" t="n">
        <v>59</v>
      </c>
      <c r="G621" s="230" t="n">
        <v>6409.76</v>
      </c>
      <c r="H621" t="inlineStr">
        <is>
          <t>WSOC039Z</t>
        </is>
      </c>
      <c r="I621" t="inlineStr">
        <is>
          <t>WSOCI039</t>
        </is>
      </c>
      <c r="J621" s="4" t="n">
        <v>43403</v>
      </c>
      <c r="K621" t="inlineStr">
        <is>
          <t>2F120374D523630000000209</t>
        </is>
      </c>
    </row>
    <row r="622">
      <c r="A622" t="n">
        <v>40</v>
      </c>
      <c r="B622" t="inlineStr">
        <is>
          <t>SPE7M5-18-P-E650</t>
        </is>
      </c>
      <c r="C622" s="20" t="inlineStr">
        <is>
          <t>Tim Price</t>
        </is>
      </c>
      <c r="E622" t="n">
        <v>11</v>
      </c>
      <c r="G622" s="263" t="n">
        <v>6450.29</v>
      </c>
      <c r="H622" t="inlineStr">
        <is>
          <t>WSOC040Z</t>
        </is>
      </c>
      <c r="I622" t="inlineStr">
        <is>
          <t>WSOCI040</t>
        </is>
      </c>
      <c r="J622" s="4" t="n">
        <v>43403</v>
      </c>
      <c r="K622" t="inlineStr">
        <is>
          <t>2F120374D52363000000020A</t>
        </is>
      </c>
    </row>
    <row r="623">
      <c r="A623" t="n">
        <v>41</v>
      </c>
      <c r="B623" t="inlineStr">
        <is>
          <t>SPE7M8-18-V-2315</t>
        </is>
      </c>
      <c r="C623" s="20" t="inlineStr">
        <is>
          <t>GEMS</t>
        </is>
      </c>
      <c r="E623" t="n">
        <v>6</v>
      </c>
      <c r="G623" s="230" t="n">
        <v>9345.48</v>
      </c>
      <c r="H623" t="inlineStr">
        <is>
          <t>WSOC041Z</t>
        </is>
      </c>
      <c r="I623" t="inlineStr">
        <is>
          <t>WSOCI041</t>
        </is>
      </c>
      <c r="J623" s="4" t="n">
        <v>43404</v>
      </c>
      <c r="K623" t="inlineStr">
        <is>
          <t>2F120374D52363000000020B</t>
        </is>
      </c>
    </row>
    <row r="624">
      <c r="G624" s="231">
        <f>SUM(G583:G623)</f>
        <v/>
      </c>
      <c r="J624" s="4" t="n"/>
    </row>
    <row r="625">
      <c r="A625" t="n">
        <v>1</v>
      </c>
      <c r="B625" t="inlineStr">
        <is>
          <t>SPE5EK-18-V-6312</t>
        </is>
      </c>
      <c r="C625" s="20" t="inlineStr">
        <is>
          <t>Glenair</t>
        </is>
      </c>
      <c r="E625" t="n">
        <v>32</v>
      </c>
      <c r="G625" s="230" t="n">
        <v>2029.76</v>
      </c>
      <c r="H625" t="inlineStr">
        <is>
          <t>WSOC042Z</t>
        </is>
      </c>
      <c r="I625" t="inlineStr">
        <is>
          <t>WSOCI042</t>
        </is>
      </c>
      <c r="J625" s="4" t="n">
        <v>43405</v>
      </c>
      <c r="K625" t="inlineStr">
        <is>
          <t>2F120374D52363000000020C</t>
        </is>
      </c>
    </row>
    <row r="626">
      <c r="A626" t="n">
        <v>2</v>
      </c>
      <c r="B626" t="inlineStr">
        <is>
          <t>SPE7MC-18-V-029B</t>
        </is>
      </c>
      <c r="C626" s="20" t="inlineStr">
        <is>
          <t>Glenair</t>
        </is>
      </c>
      <c r="E626" t="n">
        <v>40</v>
      </c>
      <c r="G626" s="230" t="n">
        <v>5266.8</v>
      </c>
      <c r="H626" t="inlineStr">
        <is>
          <t>WSOC043Z</t>
        </is>
      </c>
      <c r="I626" t="inlineStr">
        <is>
          <t>WSOCI043</t>
        </is>
      </c>
      <c r="J626" s="4" t="n">
        <v>43406</v>
      </c>
      <c r="K626" t="inlineStr">
        <is>
          <t>2F120374D52363000000020D</t>
        </is>
      </c>
    </row>
    <row r="627">
      <c r="A627" t="n">
        <v>3</v>
      </c>
      <c r="B627" t="inlineStr">
        <is>
          <t>SPE7M8-18-V-1984</t>
        </is>
      </c>
      <c r="C627" s="20" t="inlineStr">
        <is>
          <t>GEMS</t>
        </is>
      </c>
      <c r="E627" t="n">
        <v>7</v>
      </c>
      <c r="G627" s="230" t="n">
        <v>12240.69</v>
      </c>
      <c r="H627" t="inlineStr">
        <is>
          <t>WSOC044Z</t>
        </is>
      </c>
      <c r="I627" t="inlineStr">
        <is>
          <t>WSOCI044</t>
        </is>
      </c>
      <c r="J627" s="4" t="n">
        <v>43406</v>
      </c>
      <c r="K627" t="inlineStr">
        <is>
          <t>2F120374D52363000000020E</t>
        </is>
      </c>
    </row>
    <row r="628">
      <c r="A628" t="n">
        <v>4</v>
      </c>
      <c r="B628" t="inlineStr">
        <is>
          <t>SPE7M5-18-V-097K</t>
        </is>
      </c>
      <c r="C628" s="20" t="inlineStr">
        <is>
          <t>Glenair</t>
        </is>
      </c>
      <c r="E628" t="n">
        <v>1</v>
      </c>
      <c r="G628" s="230" t="n">
        <v>519.64</v>
      </c>
      <c r="H628" t="inlineStr">
        <is>
          <t>WSOC045Z</t>
        </is>
      </c>
      <c r="I628" t="inlineStr">
        <is>
          <t>WSOCI045</t>
        </is>
      </c>
      <c r="J628" s="4" t="n">
        <v>43406</v>
      </c>
      <c r="K628" t="inlineStr">
        <is>
          <t>2F120374D52363000000020F</t>
        </is>
      </c>
    </row>
    <row r="629">
      <c r="A629" t="n">
        <v>5</v>
      </c>
      <c r="B629" t="inlineStr">
        <is>
          <t>SPE7M2-18-V-1771</t>
        </is>
      </c>
      <c r="C629" s="20" t="inlineStr">
        <is>
          <t>Glenair</t>
        </is>
      </c>
      <c r="E629" t="n">
        <v>5</v>
      </c>
      <c r="G629" s="263" t="n">
        <v>1282.15</v>
      </c>
      <c r="H629" t="inlineStr">
        <is>
          <t>WSOC046Z</t>
        </is>
      </c>
      <c r="I629" t="inlineStr">
        <is>
          <t>WSOCI046</t>
        </is>
      </c>
      <c r="J629" s="4" t="n">
        <v>43406</v>
      </c>
      <c r="K629" t="inlineStr">
        <is>
          <t>2F120374D523630000000210</t>
        </is>
      </c>
    </row>
    <row r="630">
      <c r="A630" t="n">
        <v>6</v>
      </c>
      <c r="B630" t="inlineStr">
        <is>
          <t>SPE4A4-19-V-0839</t>
        </is>
      </c>
      <c r="C630" s="20" t="inlineStr">
        <is>
          <t>Glenair</t>
        </is>
      </c>
      <c r="E630" t="n">
        <v>17</v>
      </c>
      <c r="G630" s="230" t="n">
        <v>5026.73</v>
      </c>
      <c r="H630" t="inlineStr">
        <is>
          <t>WSOC047Z</t>
        </is>
      </c>
      <c r="I630" t="inlineStr">
        <is>
          <t>WSOCI047</t>
        </is>
      </c>
      <c r="J630" s="4" t="n">
        <v>43406</v>
      </c>
      <c r="K630" t="inlineStr">
        <is>
          <t>2F120374D523630000000211</t>
        </is>
      </c>
    </row>
    <row r="631">
      <c r="A631" t="n">
        <v>7</v>
      </c>
      <c r="B631" t="inlineStr">
        <is>
          <t>SPE4A6-18-P-Q659</t>
        </is>
      </c>
      <c r="C631" s="20" t="inlineStr">
        <is>
          <t>MORPAC</t>
        </is>
      </c>
      <c r="E631" t="n">
        <v>10</v>
      </c>
      <c r="G631" s="230" t="n">
        <v>8682.4</v>
      </c>
      <c r="H631" t="inlineStr">
        <is>
          <t>WSOC048Z</t>
        </is>
      </c>
      <c r="I631" t="inlineStr">
        <is>
          <t>WSOCI048</t>
        </is>
      </c>
      <c r="J631" s="4" t="n">
        <v>43411</v>
      </c>
      <c r="K631" t="inlineStr">
        <is>
          <t>2F120374D523630000000212</t>
        </is>
      </c>
    </row>
    <row r="632">
      <c r="A632" t="n">
        <v>8</v>
      </c>
      <c r="B632" t="inlineStr">
        <is>
          <t>SPE7M5-18-V-131G</t>
        </is>
      </c>
      <c r="C632" s="20" t="inlineStr">
        <is>
          <t>Glenair</t>
        </is>
      </c>
      <c r="E632" t="n">
        <v>5</v>
      </c>
      <c r="G632" s="230" t="n">
        <v>2492.9</v>
      </c>
      <c r="H632" t="inlineStr">
        <is>
          <t>WSNV008Z</t>
        </is>
      </c>
      <c r="I632" t="inlineStr">
        <is>
          <t>WSNVI008</t>
        </is>
      </c>
      <c r="J632" s="4" t="n">
        <v>43411</v>
      </c>
      <c r="K632" t="inlineStr">
        <is>
          <t>2F120374D523630000000213</t>
        </is>
      </c>
    </row>
    <row r="633">
      <c r="A633" t="n">
        <v>9</v>
      </c>
      <c r="B633" t="inlineStr">
        <is>
          <t>SPE7M5-18-P-C176</t>
        </is>
      </c>
      <c r="C633" s="20" t="inlineStr">
        <is>
          <t>ITT</t>
        </is>
      </c>
      <c r="E633" t="n">
        <v>74</v>
      </c>
      <c r="G633" s="230" t="n">
        <v>1710.14</v>
      </c>
      <c r="H633" t="inlineStr">
        <is>
          <t>WSNV009Z</t>
        </is>
      </c>
      <c r="I633" t="inlineStr">
        <is>
          <t>WSNVI009</t>
        </is>
      </c>
      <c r="J633" s="4" t="n">
        <v>43411</v>
      </c>
      <c r="K633" t="inlineStr">
        <is>
          <t>2F120374D523630000000214</t>
        </is>
      </c>
    </row>
    <row r="634">
      <c r="A634" t="n">
        <v>10</v>
      </c>
      <c r="B634" t="inlineStr">
        <is>
          <t>SPE7L0-19-V-0222</t>
        </is>
      </c>
      <c r="C634" s="20" t="inlineStr">
        <is>
          <t>HIAB</t>
        </is>
      </c>
      <c r="E634" t="n">
        <v>1</v>
      </c>
      <c r="G634" s="230" t="n">
        <v>298</v>
      </c>
      <c r="H634" t="inlineStr">
        <is>
          <t>WSNV010Z</t>
        </is>
      </c>
      <c r="I634" t="inlineStr">
        <is>
          <t>WSNVI010</t>
        </is>
      </c>
      <c r="J634" s="4" t="n">
        <v>43411</v>
      </c>
      <c r="K634" t="inlineStr">
        <is>
          <t>no</t>
        </is>
      </c>
    </row>
    <row r="635">
      <c r="A635" t="n">
        <v>11</v>
      </c>
      <c r="B635" t="inlineStr">
        <is>
          <t>SPE7M5-18-P-E909</t>
        </is>
      </c>
      <c r="C635" s="20" t="inlineStr">
        <is>
          <t>ITT</t>
        </is>
      </c>
      <c r="E635" t="n">
        <v>19</v>
      </c>
      <c r="G635" s="230" t="n">
        <v>15534.97</v>
      </c>
      <c r="H635" t="inlineStr">
        <is>
          <t>WSNV011</t>
        </is>
      </c>
      <c r="I635" t="inlineStr">
        <is>
          <t>WSNVI011</t>
        </is>
      </c>
      <c r="J635" s="4" t="n">
        <v>43412</v>
      </c>
      <c r="K635" t="inlineStr">
        <is>
          <t>no</t>
        </is>
      </c>
    </row>
    <row r="636">
      <c r="A636" t="n">
        <v>12</v>
      </c>
      <c r="B636" t="inlineStr">
        <is>
          <t>SPE7M8-18-V-2573</t>
        </is>
      </c>
      <c r="C636" s="20" t="inlineStr">
        <is>
          <t>CPI</t>
        </is>
      </c>
      <c r="E636" t="n">
        <v>21</v>
      </c>
      <c r="G636" s="230" t="n">
        <v>16672.74</v>
      </c>
      <c r="H636" t="inlineStr">
        <is>
          <t>WSNV012Z</t>
        </is>
      </c>
      <c r="I636" t="inlineStr">
        <is>
          <t>WSNVI012</t>
        </is>
      </c>
      <c r="J636" s="4" t="n">
        <v>43413</v>
      </c>
      <c r="K636" t="inlineStr">
        <is>
          <t>2F120374D523630000000215</t>
        </is>
      </c>
    </row>
    <row r="637">
      <c r="A637" t="n">
        <v>13</v>
      </c>
      <c r="B637" t="inlineStr">
        <is>
          <t>SPE7M5-18-V-133Z</t>
        </is>
      </c>
      <c r="C637" s="20" t="inlineStr">
        <is>
          <t>DRUCK</t>
        </is>
      </c>
      <c r="E637" t="n">
        <v>6</v>
      </c>
      <c r="G637" s="230" t="n">
        <v>4273.68</v>
      </c>
      <c r="H637" t="inlineStr">
        <is>
          <t>WSNV013Z</t>
        </is>
      </c>
      <c r="I637" t="inlineStr">
        <is>
          <t>WSNVI013</t>
        </is>
      </c>
      <c r="J637" s="4" t="n">
        <v>43415</v>
      </c>
      <c r="K637" t="inlineStr">
        <is>
          <t>2F120374D523630000000216</t>
        </is>
      </c>
    </row>
    <row r="638">
      <c r="A638" t="n">
        <v>14</v>
      </c>
      <c r="B638" t="inlineStr">
        <is>
          <t>SPE7M8-18-V-2294</t>
        </is>
      </c>
      <c r="C638" s="20" t="inlineStr">
        <is>
          <t>GEMS</t>
        </is>
      </c>
      <c r="E638" t="n">
        <v>20</v>
      </c>
      <c r="G638" s="230" t="n">
        <v>23617.6</v>
      </c>
      <c r="H638" t="inlineStr">
        <is>
          <t>WSNV014Z</t>
        </is>
      </c>
      <c r="I638" t="inlineStr">
        <is>
          <t>WSNVI014</t>
        </is>
      </c>
      <c r="J638" s="4" t="n">
        <v>43415</v>
      </c>
      <c r="K638" t="inlineStr">
        <is>
          <t>2F120374D523630000000217</t>
        </is>
      </c>
    </row>
    <row r="639">
      <c r="A639" t="n">
        <v>15</v>
      </c>
      <c r="B639" t="inlineStr">
        <is>
          <t>SPE4A6-18-V-553L</t>
        </is>
      </c>
      <c r="C639" s="20" t="inlineStr">
        <is>
          <t>Glenair</t>
        </is>
      </c>
      <c r="E639" t="n">
        <v>44</v>
      </c>
      <c r="G639" s="230" t="n">
        <v>7868.52</v>
      </c>
      <c r="H639" t="inlineStr">
        <is>
          <t>WSNV015</t>
        </is>
      </c>
      <c r="I639" t="inlineStr">
        <is>
          <t>WSNVI015</t>
        </is>
      </c>
      <c r="J639" s="4" t="n">
        <v>43416</v>
      </c>
      <c r="K639" t="inlineStr">
        <is>
          <t>2F120374D523630000000218</t>
        </is>
      </c>
    </row>
    <row r="640">
      <c r="A640" t="n">
        <v>16</v>
      </c>
      <c r="B640" t="inlineStr">
        <is>
          <t>SPE7M0-19-V-0369</t>
        </is>
      </c>
      <c r="C640" s="20" t="inlineStr">
        <is>
          <t>Morriscrane</t>
        </is>
      </c>
      <c r="E640" t="n">
        <v>5</v>
      </c>
      <c r="G640" s="230" t="n">
        <v>1629.45</v>
      </c>
      <c r="H640" t="inlineStr">
        <is>
          <t>WSNV016Z</t>
        </is>
      </c>
      <c r="I640" t="inlineStr">
        <is>
          <t>WSNVI016</t>
        </is>
      </c>
      <c r="J640" s="4" t="n">
        <v>43418</v>
      </c>
      <c r="K640" t="inlineStr">
        <is>
          <t>2F120374D523630000000219</t>
        </is>
      </c>
    </row>
    <row r="641">
      <c r="A641" t="n">
        <v>17</v>
      </c>
      <c r="B641" t="inlineStr">
        <is>
          <t>SPE5EM-18-V-7897</t>
        </is>
      </c>
      <c r="C641" s="20" t="inlineStr">
        <is>
          <t>W.Nugent</t>
        </is>
      </c>
      <c r="E641" s="58" t="n">
        <v>100</v>
      </c>
      <c r="G641" s="230" t="n">
        <v>6109</v>
      </c>
      <c r="H641" t="inlineStr">
        <is>
          <t>WSNV017Z</t>
        </is>
      </c>
      <c r="I641" t="inlineStr">
        <is>
          <t>WSNVI017</t>
        </is>
      </c>
      <c r="J641" s="4" t="n">
        <v>43418</v>
      </c>
      <c r="K641" t="inlineStr">
        <is>
          <t>2F120374D52363000000021A</t>
        </is>
      </c>
    </row>
    <row r="642">
      <c r="A642" t="n">
        <v>18</v>
      </c>
      <c r="B642" t="inlineStr">
        <is>
          <t>SPE7M5-18-P-A062</t>
        </is>
      </c>
      <c r="C642" s="20" t="inlineStr">
        <is>
          <t>ITT</t>
        </is>
      </c>
      <c r="E642" s="58" t="n">
        <v>15</v>
      </c>
      <c r="G642" s="230" t="n">
        <v>16026</v>
      </c>
      <c r="H642" t="inlineStr">
        <is>
          <t>WSNV018</t>
        </is>
      </c>
      <c r="I642" t="inlineStr">
        <is>
          <t>WSNVI018</t>
        </is>
      </c>
      <c r="J642" s="4" t="n">
        <v>43419</v>
      </c>
      <c r="K642" t="inlineStr">
        <is>
          <t>2F120374D52363000000021B</t>
        </is>
      </c>
    </row>
    <row r="643">
      <c r="A643" t="n">
        <v>19</v>
      </c>
      <c r="B643" t="inlineStr">
        <is>
          <t>SPE7L0-18-V-4049</t>
        </is>
      </c>
      <c r="C643" s="20" t="inlineStr">
        <is>
          <t>TIMKEN</t>
        </is>
      </c>
      <c r="E643" s="58" t="n">
        <v>1</v>
      </c>
      <c r="G643" s="230" t="n">
        <v>11493.76</v>
      </c>
      <c r="H643" t="inlineStr">
        <is>
          <t>WSNV019</t>
        </is>
      </c>
      <c r="I643" t="inlineStr">
        <is>
          <t>WSNVI019</t>
        </is>
      </c>
      <c r="J643" s="4" t="n">
        <v>43423</v>
      </c>
      <c r="K643" t="inlineStr">
        <is>
          <t>2F120374D52363000000021C</t>
        </is>
      </c>
    </row>
    <row r="644">
      <c r="A644" t="n">
        <v>20</v>
      </c>
      <c r="B644" t="inlineStr">
        <is>
          <t>SPE7L0-18-V-4049</t>
        </is>
      </c>
      <c r="C644" s="20" t="inlineStr">
        <is>
          <t>TIMKEN</t>
        </is>
      </c>
      <c r="E644" s="58" t="n">
        <v>1</v>
      </c>
      <c r="G644" s="230" t="n">
        <v>11493.76</v>
      </c>
      <c r="H644" t="inlineStr">
        <is>
          <t>WSNV020</t>
        </is>
      </c>
      <c r="I644" t="inlineStr">
        <is>
          <t>WSNVI029</t>
        </is>
      </c>
      <c r="J644" s="4" t="n">
        <v>43430</v>
      </c>
      <c r="K644" t="inlineStr">
        <is>
          <t>2F120374D52363000000021D</t>
        </is>
      </c>
    </row>
    <row r="645">
      <c r="A645" t="n">
        <v>21</v>
      </c>
      <c r="B645" t="inlineStr">
        <is>
          <t>SPE7L0-18-V-4049</t>
        </is>
      </c>
      <c r="C645" s="20" t="inlineStr">
        <is>
          <t>TIMKEN</t>
        </is>
      </c>
      <c r="E645" s="58" t="n">
        <v>1</v>
      </c>
      <c r="G645" s="230" t="n">
        <v>11493.76</v>
      </c>
      <c r="H645" t="inlineStr">
        <is>
          <t>WSNV021</t>
        </is>
      </c>
      <c r="I645" t="inlineStr">
        <is>
          <t>WSNVI027</t>
        </is>
      </c>
      <c r="J645" s="4" t="n">
        <v>43430</v>
      </c>
      <c r="K645" t="inlineStr">
        <is>
          <t>2F120374D52363000000021E</t>
        </is>
      </c>
    </row>
    <row r="646">
      <c r="A646" t="n">
        <v>22</v>
      </c>
      <c r="B646" t="inlineStr">
        <is>
          <t>SPE7L0-18-V-4049</t>
        </is>
      </c>
      <c r="C646" s="20" t="inlineStr">
        <is>
          <t>TIMKEN</t>
        </is>
      </c>
      <c r="E646" s="58" t="n">
        <v>1</v>
      </c>
      <c r="G646" s="230" t="n">
        <v>11493.76</v>
      </c>
      <c r="H646" t="inlineStr">
        <is>
          <t>WSNV022Z</t>
        </is>
      </c>
      <c r="I646" t="inlineStr">
        <is>
          <t>WSNVI028</t>
        </is>
      </c>
      <c r="J646" s="4" t="n">
        <v>43430</v>
      </c>
      <c r="K646" t="inlineStr">
        <is>
          <t>2F120374D52363000000021F</t>
        </is>
      </c>
    </row>
    <row r="647">
      <c r="A647" t="n">
        <v>23</v>
      </c>
      <c r="B647" t="inlineStr">
        <is>
          <t>SPE7M5-18-V-051X</t>
        </is>
      </c>
      <c r="C647" s="20" t="inlineStr">
        <is>
          <t>Konsberg</t>
        </is>
      </c>
      <c r="E647" s="58" t="n">
        <v>151</v>
      </c>
      <c r="G647" s="230" t="n">
        <v>1389.2</v>
      </c>
      <c r="H647" t="inlineStr">
        <is>
          <t>WSNV023Z</t>
        </is>
      </c>
      <c r="I647" t="inlineStr">
        <is>
          <t>WSNVI020</t>
        </is>
      </c>
      <c r="J647" s="4" t="n">
        <v>43423</v>
      </c>
      <c r="K647" t="inlineStr">
        <is>
          <t>2F120374D523630000000220</t>
        </is>
      </c>
      <c r="L647" s="233">
        <f>+G660+G660</f>
        <v/>
      </c>
    </row>
    <row r="648">
      <c r="A648" t="n">
        <v>24</v>
      </c>
      <c r="B648" t="inlineStr">
        <is>
          <t>SPE8E8-19-V-0083</t>
        </is>
      </c>
      <c r="C648" s="20" t="inlineStr">
        <is>
          <t>Munter</t>
        </is>
      </c>
      <c r="E648" t="n">
        <v>30</v>
      </c>
      <c r="G648" s="230" t="n">
        <v>3746.4</v>
      </c>
      <c r="H648" t="inlineStr">
        <is>
          <t>WSNV024</t>
        </is>
      </c>
      <c r="I648" t="inlineStr">
        <is>
          <t>WSNVI021</t>
        </is>
      </c>
      <c r="J648" s="4" t="n">
        <v>43423</v>
      </c>
      <c r="K648" t="inlineStr">
        <is>
          <t>2F120374D523630000000221</t>
        </is>
      </c>
    </row>
    <row r="649">
      <c r="A649" t="n">
        <v>25</v>
      </c>
      <c r="B649" t="inlineStr">
        <is>
          <t>SPE8E8-19-V-0083</t>
        </is>
      </c>
      <c r="C649" s="20" t="inlineStr">
        <is>
          <t>Munter</t>
        </is>
      </c>
      <c r="E649" t="n">
        <v>24</v>
      </c>
      <c r="G649" s="230" t="n">
        <v>2997.12</v>
      </c>
      <c r="H649" t="inlineStr">
        <is>
          <t>WSNV025</t>
        </is>
      </c>
      <c r="I649" t="inlineStr">
        <is>
          <t>WSNVI022</t>
        </is>
      </c>
      <c r="J649" s="4" t="n">
        <v>43423</v>
      </c>
      <c r="K649" t="inlineStr">
        <is>
          <t>2F120374D523630000000222</t>
        </is>
      </c>
    </row>
    <row r="650">
      <c r="A650" t="n">
        <v>26</v>
      </c>
      <c r="B650" t="inlineStr">
        <is>
          <t>SPE8E8-19-V-0083</t>
        </is>
      </c>
      <c r="C650" s="20" t="inlineStr">
        <is>
          <t>Munter</t>
        </is>
      </c>
      <c r="E650" t="n">
        <v>24</v>
      </c>
      <c r="G650" s="230" t="n">
        <v>2997.12</v>
      </c>
      <c r="H650" t="inlineStr">
        <is>
          <t>WSNV026Z</t>
        </is>
      </c>
      <c r="I650" t="inlineStr">
        <is>
          <t>WSNVI023</t>
        </is>
      </c>
      <c r="J650" s="4" t="n">
        <v>43423</v>
      </c>
      <c r="K650" t="inlineStr">
        <is>
          <t>2F120374D523630000000223</t>
        </is>
      </c>
    </row>
    <row r="651">
      <c r="A651" t="n">
        <v>27</v>
      </c>
      <c r="B651" t="inlineStr">
        <is>
          <t>SPE7M1-18-P-6544</t>
        </is>
      </c>
      <c r="C651" s="20" t="inlineStr">
        <is>
          <t>GEMS</t>
        </is>
      </c>
      <c r="E651" t="n">
        <v>6</v>
      </c>
      <c r="G651" s="230" t="n">
        <v>5558.4</v>
      </c>
      <c r="H651" t="inlineStr">
        <is>
          <t>WSNV027Z</t>
        </is>
      </c>
      <c r="I651" t="inlineStr">
        <is>
          <t>WSNVI024</t>
        </is>
      </c>
      <c r="J651" s="4" t="n">
        <v>43423</v>
      </c>
      <c r="K651" t="inlineStr">
        <is>
          <t>2F120374D523630000000224</t>
        </is>
      </c>
    </row>
    <row r="652">
      <c r="A652" t="n">
        <v>28</v>
      </c>
      <c r="B652" t="inlineStr">
        <is>
          <t>SPE4A4-18-V-058Z</t>
        </is>
      </c>
      <c r="C652" s="20" t="inlineStr">
        <is>
          <t>GEMS</t>
        </is>
      </c>
      <c r="E652" t="n">
        <v>1</v>
      </c>
      <c r="G652" s="230" t="n">
        <v>4366</v>
      </c>
      <c r="H652" t="inlineStr">
        <is>
          <t>WSNV028Z</t>
        </is>
      </c>
      <c r="I652" t="inlineStr">
        <is>
          <t>WSNVI025</t>
        </is>
      </c>
      <c r="J652" s="4" t="n">
        <v>43423</v>
      </c>
      <c r="K652" t="inlineStr">
        <is>
          <t>2F120374D523630000000225</t>
        </is>
      </c>
    </row>
    <row r="653">
      <c r="A653" t="n">
        <v>29</v>
      </c>
      <c r="B653" t="inlineStr">
        <is>
          <t>SPE5E8-18-V-7865</t>
        </is>
      </c>
      <c r="C653" s="20" t="inlineStr">
        <is>
          <t>Avibank</t>
        </is>
      </c>
      <c r="E653" t="n">
        <v>138</v>
      </c>
      <c r="G653" s="230" t="n">
        <v>4014.42</v>
      </c>
      <c r="H653" t="inlineStr">
        <is>
          <t>WSNV029Z</t>
        </is>
      </c>
      <c r="I653" t="inlineStr">
        <is>
          <t>WSNVI026</t>
        </is>
      </c>
      <c r="J653" s="4" t="n">
        <v>43424</v>
      </c>
      <c r="K653" t="inlineStr">
        <is>
          <t>2F120374D523630000000226</t>
        </is>
      </c>
    </row>
    <row r="654">
      <c r="A654" t="n">
        <v>30</v>
      </c>
      <c r="B654" t="inlineStr">
        <is>
          <t>SPE7M1-19-V-0154</t>
        </is>
      </c>
      <c r="C654" s="20" t="inlineStr">
        <is>
          <t>Indeco</t>
        </is>
      </c>
      <c r="E654" t="n">
        <v>1</v>
      </c>
      <c r="G654" s="230" t="n">
        <v>2326.84</v>
      </c>
      <c r="H654" t="inlineStr">
        <is>
          <t>WSNV030Z</t>
        </is>
      </c>
      <c r="I654" t="inlineStr">
        <is>
          <t>WSNVI030</t>
        </is>
      </c>
      <c r="J654" s="4" t="n">
        <v>43424</v>
      </c>
      <c r="K654" t="inlineStr">
        <is>
          <t>2F120374D523630000000227</t>
        </is>
      </c>
    </row>
    <row r="655">
      <c r="A655" t="n">
        <v>31</v>
      </c>
      <c r="B655" t="inlineStr">
        <is>
          <t>SPE7M5-18-V-172C</t>
        </is>
      </c>
      <c r="C655" s="20" t="inlineStr">
        <is>
          <t>Glenair</t>
        </is>
      </c>
      <c r="E655" t="n">
        <v>259</v>
      </c>
      <c r="G655" s="230" t="n">
        <v>14864.01</v>
      </c>
      <c r="H655" t="inlineStr">
        <is>
          <t>WSNV031Z</t>
        </is>
      </c>
      <c r="I655" t="inlineStr">
        <is>
          <t>WSNVI031</t>
        </is>
      </c>
      <c r="K655" t="inlineStr">
        <is>
          <t>2F120374D523630000000228</t>
        </is>
      </c>
    </row>
    <row r="656">
      <c r="A656" t="n">
        <v>32</v>
      </c>
      <c r="B656" t="inlineStr">
        <is>
          <t>SPE7M5-18-V-064J</t>
        </is>
      </c>
      <c r="C656" s="20" t="inlineStr">
        <is>
          <t>Phenoix</t>
        </is>
      </c>
      <c r="E656" t="n">
        <v>32</v>
      </c>
      <c r="G656" s="230" t="n">
        <v>21623.36</v>
      </c>
      <c r="H656" t="inlineStr">
        <is>
          <t>WSNV132Z</t>
        </is>
      </c>
      <c r="I656" t="inlineStr">
        <is>
          <t>WSNVI132</t>
        </is>
      </c>
      <c r="J656" s="4" t="n">
        <v>43431</v>
      </c>
      <c r="K656" t="inlineStr">
        <is>
          <t>2F120374D523630000000229</t>
        </is>
      </c>
    </row>
    <row r="657">
      <c r="A657" t="n">
        <v>33</v>
      </c>
      <c r="B657" t="inlineStr">
        <is>
          <t>SPE7M5-18-P-A062</t>
        </is>
      </c>
      <c r="C657" s="20" t="inlineStr">
        <is>
          <t>ITT</t>
        </is>
      </c>
      <c r="E657" t="n">
        <v>10</v>
      </c>
      <c r="G657" s="230" t="n">
        <v>10684</v>
      </c>
      <c r="H657" t="inlineStr">
        <is>
          <t>WSNV133Z</t>
        </is>
      </c>
      <c r="I657" t="inlineStr">
        <is>
          <t>WSNVI133</t>
        </is>
      </c>
      <c r="J657" s="4" t="n">
        <v>43431</v>
      </c>
      <c r="K657" t="inlineStr">
        <is>
          <t>2F120374D52363000000022A</t>
        </is>
      </c>
    </row>
    <row r="658">
      <c r="A658" t="n">
        <v>34</v>
      </c>
      <c r="B658" t="inlineStr">
        <is>
          <t>SPE7M5-18-P-7931</t>
        </is>
      </c>
      <c r="C658" s="20" t="inlineStr">
        <is>
          <t>ITT</t>
        </is>
      </c>
      <c r="E658" t="n">
        <v>5</v>
      </c>
      <c r="G658" s="230" t="n">
        <v>5473.2</v>
      </c>
      <c r="H658" t="inlineStr">
        <is>
          <t>WSNV134Z</t>
        </is>
      </c>
      <c r="I658" t="inlineStr">
        <is>
          <t>WSNVI134</t>
        </is>
      </c>
      <c r="J658" s="4" t="n">
        <v>43431</v>
      </c>
      <c r="K658" t="inlineStr">
        <is>
          <t>2F120374D52363000000022B</t>
        </is>
      </c>
    </row>
    <row r="659">
      <c r="A659" t="n">
        <v>35</v>
      </c>
      <c r="B659" t="inlineStr">
        <is>
          <t>SPE4A618V553L</t>
        </is>
      </c>
      <c r="C659" s="20" t="inlineStr">
        <is>
          <t>Glenair</t>
        </is>
      </c>
      <c r="E659" t="n">
        <v>14</v>
      </c>
      <c r="G659" s="230" t="n">
        <v>2503.62</v>
      </c>
      <c r="H659" t="inlineStr">
        <is>
          <t>WSNV135Z</t>
        </is>
      </c>
      <c r="I659" t="inlineStr">
        <is>
          <t>WSNVI135</t>
        </is>
      </c>
      <c r="J659" s="4" t="n">
        <v>43431</v>
      </c>
      <c r="K659" t="inlineStr">
        <is>
          <t>2F120374D52363000000022C</t>
        </is>
      </c>
    </row>
    <row r="660">
      <c r="A660" t="n">
        <v>36</v>
      </c>
      <c r="B660" t="inlineStr">
        <is>
          <t>SPE7M5-18-V-052L</t>
        </is>
      </c>
      <c r="C660" s="20" t="inlineStr">
        <is>
          <t>Konsberg</t>
        </is>
      </c>
      <c r="E660" t="n">
        <v>233</v>
      </c>
      <c r="G660" s="230" t="n">
        <v>1453.92</v>
      </c>
      <c r="H660" t="inlineStr">
        <is>
          <t>WSNV136Z</t>
        </is>
      </c>
      <c r="I660" t="inlineStr">
        <is>
          <t>WSNVI136</t>
        </is>
      </c>
      <c r="J660" s="4" t="n">
        <v>43431</v>
      </c>
      <c r="K660" t="inlineStr">
        <is>
          <t>2F120374D52363000000022D</t>
        </is>
      </c>
    </row>
    <row r="661">
      <c r="A661" t="n">
        <v>37</v>
      </c>
      <c r="B661" t="inlineStr">
        <is>
          <t>SPE7M5-19-V-0886</t>
        </is>
      </c>
      <c r="C661" s="20" t="inlineStr">
        <is>
          <t>Phenoix</t>
        </is>
      </c>
      <c r="E661" t="n">
        <v>62</v>
      </c>
      <c r="G661" s="230" t="n">
        <v>4288.54</v>
      </c>
      <c r="H661" t="inlineStr">
        <is>
          <t>WSNV137Z</t>
        </is>
      </c>
      <c r="I661" t="inlineStr">
        <is>
          <t>WSNVI137</t>
        </is>
      </c>
      <c r="J661" s="4" t="n">
        <v>43432</v>
      </c>
      <c r="K661" t="inlineStr">
        <is>
          <t>2F120374D5236300000001A1</t>
        </is>
      </c>
    </row>
    <row r="662">
      <c r="A662" t="n">
        <v>37</v>
      </c>
      <c r="B662" t="inlineStr">
        <is>
          <t>SPE7M5-18-V-064U</t>
        </is>
      </c>
      <c r="C662" s="20" t="inlineStr">
        <is>
          <t>Glenair</t>
        </is>
      </c>
      <c r="E662" t="n">
        <v>42</v>
      </c>
      <c r="F662" s="94" t="n"/>
      <c r="G662" s="230" t="n">
        <v>19978.56</v>
      </c>
      <c r="H662" t="inlineStr">
        <is>
          <t>WSNV138Z</t>
        </is>
      </c>
      <c r="I662" t="inlineStr">
        <is>
          <t>WSNVI138</t>
        </is>
      </c>
      <c r="J662" s="4" t="n">
        <v>43432</v>
      </c>
      <c r="K662" t="inlineStr">
        <is>
          <t>2F120374D5236300000001A6</t>
        </is>
      </c>
    </row>
    <row r="663">
      <c r="A663" t="n">
        <v>38</v>
      </c>
      <c r="B663" t="inlineStr">
        <is>
          <t>SPE7MC-18-V-057M</t>
        </is>
      </c>
      <c r="C663" s="20" t="inlineStr">
        <is>
          <t>Glenair</t>
        </is>
      </c>
      <c r="E663" t="n">
        <v>9</v>
      </c>
      <c r="G663" s="230" t="n">
        <v>3893.13</v>
      </c>
      <c r="H663" t="inlineStr">
        <is>
          <t>WSNV139Z</t>
        </is>
      </c>
      <c r="I663" t="inlineStr">
        <is>
          <t>WSNVI139</t>
        </is>
      </c>
      <c r="J663" s="4" t="n">
        <v>43432</v>
      </c>
      <c r="K663" t="inlineStr">
        <is>
          <t>2F120374D5236300000001E5</t>
        </is>
      </c>
    </row>
    <row r="664">
      <c r="A664" t="n">
        <v>39</v>
      </c>
      <c r="B664" t="inlineStr">
        <is>
          <t>SPE7M5-18-V-176U</t>
        </is>
      </c>
      <c r="C664" s="66" t="inlineStr">
        <is>
          <t>Glenair Pakgigng req</t>
        </is>
      </c>
      <c r="E664" t="n">
        <v>15</v>
      </c>
      <c r="G664" s="230" t="n">
        <v>2248.35</v>
      </c>
      <c r="H664" t="inlineStr">
        <is>
          <t>WSNV140Z</t>
        </is>
      </c>
      <c r="I664" t="inlineStr">
        <is>
          <t>WSNVI140</t>
        </is>
      </c>
      <c r="J664" s="4" t="n">
        <v>43432</v>
      </c>
      <c r="K664" t="inlineStr">
        <is>
          <t>2F120374D5236300000001EA</t>
        </is>
      </c>
    </row>
    <row r="665">
      <c r="A665" t="n">
        <v>40</v>
      </c>
      <c r="B665" t="inlineStr">
        <is>
          <t>SPE7M5-19-V-0034</t>
        </is>
      </c>
      <c r="C665" s="20" t="inlineStr">
        <is>
          <t>Phenoix</t>
        </is>
      </c>
      <c r="E665" t="n">
        <v>45</v>
      </c>
      <c r="G665" s="230" t="n">
        <v>6362.1</v>
      </c>
      <c r="H665" t="inlineStr">
        <is>
          <t>WSNV141Z</t>
        </is>
      </c>
      <c r="I665" t="inlineStr">
        <is>
          <t>WSNVI141</t>
        </is>
      </c>
      <c r="J665" s="4" t="n">
        <v>43433</v>
      </c>
      <c r="K665" t="inlineStr">
        <is>
          <t>2F120374D5236300000001EC</t>
        </is>
      </c>
    </row>
    <row r="666">
      <c r="A666" t="n">
        <v>41</v>
      </c>
      <c r="B666" t="inlineStr">
        <is>
          <t>SPE4A4-19-V-0488</t>
        </is>
      </c>
      <c r="C666" s="20" t="inlineStr">
        <is>
          <t>GEMS</t>
        </is>
      </c>
      <c r="E666" t="n">
        <v>4</v>
      </c>
      <c r="G666" s="230" t="n">
        <v>16672</v>
      </c>
      <c r="H666" t="inlineStr">
        <is>
          <t>WSNV142</t>
        </is>
      </c>
      <c r="I666" t="inlineStr">
        <is>
          <t>WSNVI142</t>
        </is>
      </c>
      <c r="J666" s="4" t="n">
        <v>43433</v>
      </c>
      <c r="K666" t="inlineStr">
        <is>
          <t>2F120374D52363000000022E</t>
        </is>
      </c>
    </row>
    <row r="667">
      <c r="A667" t="n">
        <v>42</v>
      </c>
      <c r="B667" t="inlineStr">
        <is>
          <t>SPE4A4-19-V-0488</t>
        </is>
      </c>
      <c r="C667" s="20" t="inlineStr">
        <is>
          <t>GEMS</t>
        </is>
      </c>
      <c r="E667" t="n">
        <v>4</v>
      </c>
      <c r="G667" s="230" t="n">
        <v>16672</v>
      </c>
      <c r="H667" t="inlineStr">
        <is>
          <t>WSNV143Z</t>
        </is>
      </c>
      <c r="I667" t="inlineStr">
        <is>
          <t>WSNVI143</t>
        </is>
      </c>
      <c r="J667" s="4" t="n">
        <v>43433</v>
      </c>
      <c r="K667" t="inlineStr">
        <is>
          <t>2F120374D52363000000022F</t>
        </is>
      </c>
    </row>
    <row r="668">
      <c r="G668" s="231">
        <f>SUM(G625:G667)</f>
        <v/>
      </c>
    </row>
    <row r="669">
      <c r="A669" t="n">
        <v>1</v>
      </c>
      <c r="B669" t="inlineStr">
        <is>
          <t>SPE7L3-18-V-063N</t>
        </is>
      </c>
      <c r="C669" s="20" t="inlineStr">
        <is>
          <t>MAFO</t>
        </is>
      </c>
      <c r="E669" t="n">
        <v>18</v>
      </c>
      <c r="G669" s="230" t="n">
        <v>4623.66</v>
      </c>
      <c r="H669" t="inlineStr">
        <is>
          <t>WSDE101</t>
        </is>
      </c>
      <c r="I669" t="inlineStr">
        <is>
          <t>WSDEI101</t>
        </is>
      </c>
      <c r="J669" s="4" t="n">
        <v>43437</v>
      </c>
      <c r="K669" t="inlineStr">
        <is>
          <t>2F120374D523630000000230</t>
        </is>
      </c>
    </row>
    <row r="670">
      <c r="A670" t="n">
        <v>2</v>
      </c>
      <c r="B670" t="inlineStr">
        <is>
          <t>SPE7L3-18-V-063N</t>
        </is>
      </c>
      <c r="C670" s="20" t="inlineStr">
        <is>
          <t>MAFO</t>
        </is>
      </c>
      <c r="E670" t="n">
        <v>18</v>
      </c>
      <c r="G670" s="230" t="n">
        <v>4623.66</v>
      </c>
      <c r="H670" t="inlineStr">
        <is>
          <t>WSDE102Z</t>
        </is>
      </c>
      <c r="I670" t="inlineStr">
        <is>
          <t>WSDEI102</t>
        </is>
      </c>
      <c r="J670" s="4" t="n">
        <v>43437</v>
      </c>
      <c r="K670" t="inlineStr">
        <is>
          <t>2F120374D523630000000231</t>
        </is>
      </c>
    </row>
    <row r="671">
      <c r="A671" t="n">
        <v>3</v>
      </c>
      <c r="B671" t="inlineStr">
        <is>
          <t>SPE7M5-18-V-180Y</t>
        </is>
      </c>
      <c r="C671" s="20" t="inlineStr">
        <is>
          <t>Glenair</t>
        </is>
      </c>
      <c r="E671" t="n">
        <v>7</v>
      </c>
      <c r="G671" s="230" t="n">
        <v>5837.28</v>
      </c>
      <c r="H671" t="inlineStr">
        <is>
          <t>WSDE103Z</t>
        </is>
      </c>
      <c r="I671" t="inlineStr">
        <is>
          <t>WSDEI103</t>
        </is>
      </c>
      <c r="J671" s="4" t="n">
        <v>43437</v>
      </c>
      <c r="K671" t="inlineStr">
        <is>
          <t>2F120374D523630000000232</t>
        </is>
      </c>
    </row>
    <row r="672">
      <c r="A672" t="n">
        <v>4</v>
      </c>
      <c r="B672" t="inlineStr">
        <is>
          <t>SPE7M4-18-V-6129</t>
        </is>
      </c>
      <c r="C672" s="20" t="inlineStr">
        <is>
          <t>DRUCK</t>
        </is>
      </c>
      <c r="E672" t="n">
        <v>8</v>
      </c>
      <c r="G672" s="230" t="n">
        <v>1471.04</v>
      </c>
      <c r="H672" t="inlineStr">
        <is>
          <t>WSDE104Z</t>
        </is>
      </c>
      <c r="I672" t="inlineStr">
        <is>
          <t>WSDEI104</t>
        </is>
      </c>
      <c r="J672" s="4" t="n">
        <v>43438</v>
      </c>
      <c r="K672" t="inlineStr">
        <is>
          <t>No</t>
        </is>
      </c>
    </row>
    <row r="673">
      <c r="A673" t="n">
        <v>5</v>
      </c>
      <c r="B673" t="inlineStr">
        <is>
          <t>SPE7M5-19-P-0693</t>
        </is>
      </c>
      <c r="C673" s="20" t="inlineStr">
        <is>
          <t>Glenair</t>
        </is>
      </c>
      <c r="E673" s="51" t="n">
        <v>65</v>
      </c>
      <c r="G673" s="230" t="n">
        <v>1941.55</v>
      </c>
      <c r="H673" t="inlineStr">
        <is>
          <t>WSDE105Z</t>
        </is>
      </c>
      <c r="I673" t="inlineStr">
        <is>
          <t>WSDEI105</t>
        </is>
      </c>
      <c r="J673" s="4" t="n">
        <v>43440</v>
      </c>
      <c r="K673" t="inlineStr">
        <is>
          <t>2F120374D523630000000233</t>
        </is>
      </c>
    </row>
    <row r="674">
      <c r="A674" t="n">
        <v>6</v>
      </c>
      <c r="B674" t="inlineStr">
        <is>
          <t>SPE7M3-19-V-0983</t>
        </is>
      </c>
      <c r="C674" s="20" t="inlineStr">
        <is>
          <t>General Rubber</t>
        </is>
      </c>
      <c r="E674" t="n">
        <v>4</v>
      </c>
      <c r="G674" s="230" t="n">
        <v>1051.36</v>
      </c>
      <c r="H674" t="inlineStr">
        <is>
          <t>WSDE106Z</t>
        </is>
      </c>
      <c r="I674" t="inlineStr">
        <is>
          <t>WSDEI106</t>
        </is>
      </c>
      <c r="J674" s="4" t="n">
        <v>43440</v>
      </c>
      <c r="K674" t="inlineStr">
        <is>
          <t>NO</t>
        </is>
      </c>
    </row>
    <row r="675">
      <c r="A675" t="n">
        <v>7</v>
      </c>
      <c r="B675" t="inlineStr">
        <is>
          <t>SPE7M5-18-V-160S</t>
        </is>
      </c>
      <c r="C675" s="20" t="inlineStr">
        <is>
          <t>Glenair</t>
        </is>
      </c>
      <c r="E675" t="n">
        <v>119</v>
      </c>
      <c r="G675" s="230" t="n">
        <v>25219.67</v>
      </c>
      <c r="H675" t="inlineStr">
        <is>
          <t>WSDE107Z</t>
        </is>
      </c>
      <c r="I675" t="inlineStr">
        <is>
          <t>WSDEI107</t>
        </is>
      </c>
      <c r="J675" s="4" t="n">
        <v>43441</v>
      </c>
      <c r="K675" t="inlineStr">
        <is>
          <t>2F120374D523630000000234</t>
        </is>
      </c>
    </row>
    <row r="676">
      <c r="A676" t="n">
        <v>8</v>
      </c>
      <c r="B676" t="inlineStr">
        <is>
          <t>SPE7L3-19-V-0001</t>
        </is>
      </c>
      <c r="C676" s="20" t="inlineStr">
        <is>
          <t>TIMKEN</t>
        </is>
      </c>
      <c r="E676" t="n">
        <v>2</v>
      </c>
      <c r="G676" s="230" t="n">
        <v>10125.64</v>
      </c>
      <c r="H676" t="inlineStr">
        <is>
          <t>WSDE108Z</t>
        </is>
      </c>
      <c r="I676" t="inlineStr">
        <is>
          <t>WSDEI108</t>
        </is>
      </c>
      <c r="J676" s="4" t="n">
        <v>43441</v>
      </c>
      <c r="K676" t="inlineStr">
        <is>
          <t>2F120374D523630000000235</t>
        </is>
      </c>
    </row>
    <row r="677">
      <c r="A677" t="n">
        <v>9</v>
      </c>
      <c r="B677" t="inlineStr">
        <is>
          <t>SPE5E2-18-V-047T</t>
        </is>
      </c>
      <c r="C677" s="20" t="inlineStr">
        <is>
          <t>Glenair</t>
        </is>
      </c>
      <c r="E677" s="51" t="n">
        <v>302</v>
      </c>
      <c r="G677" s="230" t="n">
        <v>7311.42</v>
      </c>
      <c r="H677" t="inlineStr">
        <is>
          <t>WSDE109Z</t>
        </is>
      </c>
      <c r="I677" t="inlineStr">
        <is>
          <t>WSDEI109</t>
        </is>
      </c>
      <c r="J677" s="4" t="n">
        <v>43441</v>
      </c>
      <c r="K677" t="inlineStr">
        <is>
          <t>2F120374D523630000000236</t>
        </is>
      </c>
    </row>
    <row r="678">
      <c r="A678" t="n">
        <v>10</v>
      </c>
      <c r="B678" t="inlineStr">
        <is>
          <t>SPE7M0-18-V-7235</t>
        </is>
      </c>
      <c r="C678" s="20" t="inlineStr">
        <is>
          <t>Timken</t>
        </is>
      </c>
      <c r="E678" t="n">
        <v>4</v>
      </c>
      <c r="G678" s="230" t="n">
        <v>15310.88</v>
      </c>
      <c r="H678" t="inlineStr">
        <is>
          <t>WSDE110Z</t>
        </is>
      </c>
      <c r="I678" t="inlineStr">
        <is>
          <t>WSDEI110</t>
        </is>
      </c>
      <c r="J678" s="4" t="n">
        <v>43441</v>
      </c>
      <c r="K678" t="inlineStr">
        <is>
          <t>2F120374D523630000000237</t>
        </is>
      </c>
    </row>
    <row r="679">
      <c r="A679" t="n">
        <v>11</v>
      </c>
      <c r="B679" s="51" t="inlineStr">
        <is>
          <t>SPE7MC-18-V-3627</t>
        </is>
      </c>
      <c r="C679" s="20" t="inlineStr">
        <is>
          <t>Munter</t>
        </is>
      </c>
      <c r="E679" t="n">
        <v>1</v>
      </c>
      <c r="G679" s="230" t="n">
        <v>17.57</v>
      </c>
      <c r="H679" t="inlineStr">
        <is>
          <t>WSDE11AZ</t>
        </is>
      </c>
      <c r="I679" t="inlineStr">
        <is>
          <t>WSDEI1A3</t>
        </is>
      </c>
      <c r="K679" t="inlineStr">
        <is>
          <t>2F120374D523630000000239</t>
        </is>
      </c>
    </row>
    <row r="680">
      <c r="A680" t="n">
        <v>12</v>
      </c>
      <c r="B680" t="inlineStr">
        <is>
          <t>SPE8E7-19-P-0125</t>
        </is>
      </c>
      <c r="C680" s="20" t="inlineStr">
        <is>
          <t>Tim price</t>
        </is>
      </c>
      <c r="E680" t="n">
        <v>1</v>
      </c>
      <c r="G680" s="230" t="n">
        <v>2121.87</v>
      </c>
      <c r="H680" t="inlineStr">
        <is>
          <t>WSDE111Z</t>
        </is>
      </c>
      <c r="I680" t="inlineStr">
        <is>
          <t>WSDEI111</t>
        </is>
      </c>
      <c r="J680" s="4" t="n">
        <v>43445</v>
      </c>
    </row>
    <row r="681">
      <c r="A681" t="n">
        <v>13</v>
      </c>
      <c r="B681" t="inlineStr">
        <is>
          <t>SPE5E7-19-V-1260</t>
        </is>
      </c>
      <c r="C681" s="20" t="inlineStr">
        <is>
          <t>HIAB</t>
        </is>
      </c>
      <c r="E681" s="51" t="n">
        <v>1</v>
      </c>
      <c r="G681" s="230" t="n">
        <v>441.39</v>
      </c>
      <c r="H681" t="inlineStr">
        <is>
          <t>WSDE112Z</t>
        </is>
      </c>
      <c r="I681" t="inlineStr">
        <is>
          <t>WSDEI112</t>
        </is>
      </c>
      <c r="J681" s="4" t="n">
        <v>43445</v>
      </c>
      <c r="K681" t="inlineStr">
        <is>
          <t>no</t>
        </is>
      </c>
    </row>
    <row r="682">
      <c r="A682" t="n">
        <v>14</v>
      </c>
      <c r="B682" t="inlineStr">
        <is>
          <t>SPE7MC-19-V-0345</t>
        </is>
      </c>
      <c r="C682" s="20" t="inlineStr">
        <is>
          <t>PBM</t>
        </is>
      </c>
      <c r="E682" t="n">
        <v>1</v>
      </c>
      <c r="G682" s="262" t="n">
        <v>954.87</v>
      </c>
      <c r="H682" t="inlineStr">
        <is>
          <t>WSDE113Z</t>
        </is>
      </c>
      <c r="I682" t="inlineStr">
        <is>
          <t>WSDEI113</t>
        </is>
      </c>
      <c r="J682" s="4" t="n">
        <v>43448</v>
      </c>
      <c r="K682" t="inlineStr">
        <is>
          <t>no</t>
        </is>
      </c>
    </row>
    <row r="683">
      <c r="A683" t="n">
        <v>15</v>
      </c>
      <c r="B683" t="inlineStr">
        <is>
          <t>SPE7MC-18-V-053V</t>
        </is>
      </c>
      <c r="C683" s="20" t="inlineStr">
        <is>
          <t>GEMS</t>
        </is>
      </c>
      <c r="E683" s="51" t="n">
        <v>6</v>
      </c>
      <c r="G683" s="230" t="n">
        <v>11399.28</v>
      </c>
      <c r="H683" t="inlineStr">
        <is>
          <t>WSDE115Z</t>
        </is>
      </c>
      <c r="I683" t="inlineStr">
        <is>
          <t>WSDEI115</t>
        </is>
      </c>
      <c r="J683" s="4" t="n">
        <v>43451</v>
      </c>
      <c r="K683" t="inlineStr">
        <is>
          <t>2F120374D523630000000238</t>
        </is>
      </c>
    </row>
    <row r="684">
      <c r="A684" t="n">
        <v>16</v>
      </c>
      <c r="B684" t="inlineStr">
        <is>
          <t>SPE7M0-18-V-026B</t>
        </is>
      </c>
      <c r="C684" s="20" t="inlineStr">
        <is>
          <t>GEMS</t>
        </is>
      </c>
      <c r="E684" t="n">
        <v>18</v>
      </c>
      <c r="G684" s="230" t="n">
        <v>31793.04</v>
      </c>
      <c r="H684" t="inlineStr">
        <is>
          <t>WSDE116Z</t>
        </is>
      </c>
      <c r="I684" t="inlineStr">
        <is>
          <t>WSDEI116</t>
        </is>
      </c>
      <c r="J684" s="4" t="n">
        <v>43451</v>
      </c>
      <c r="K684" t="inlineStr">
        <is>
          <t>2F120374D52363000000023A</t>
        </is>
      </c>
    </row>
    <row r="685">
      <c r="A685" t="n">
        <v>17</v>
      </c>
      <c r="B685" t="inlineStr">
        <is>
          <t>SPE7M8-18-V-2314</t>
        </is>
      </c>
      <c r="C685" s="20" t="inlineStr">
        <is>
          <t>GEMS</t>
        </is>
      </c>
      <c r="E685" s="51" t="n">
        <v>6</v>
      </c>
      <c r="G685" s="230" t="n">
        <v>6290.4</v>
      </c>
      <c r="H685" t="inlineStr">
        <is>
          <t>WSDE117Z</t>
        </is>
      </c>
      <c r="I685" t="inlineStr">
        <is>
          <t>WSDEI117</t>
        </is>
      </c>
      <c r="J685" s="4" t="n">
        <v>43451</v>
      </c>
      <c r="K685" t="inlineStr">
        <is>
          <t>2F120374D52363000000023B</t>
        </is>
      </c>
    </row>
    <row r="686">
      <c r="A686" t="n">
        <v>18</v>
      </c>
      <c r="B686" t="inlineStr">
        <is>
          <t>SPE7M8-18-V-2571</t>
        </is>
      </c>
      <c r="C686" s="20" t="inlineStr">
        <is>
          <t>GEMS MOP41</t>
        </is>
      </c>
      <c r="E686" s="51" t="n">
        <v>7</v>
      </c>
      <c r="G686" s="230" t="n">
        <v>11089.61</v>
      </c>
      <c r="H686" t="inlineStr">
        <is>
          <t>WSDE118Z</t>
        </is>
      </c>
      <c r="I686" t="inlineStr">
        <is>
          <t>WSDEI118</t>
        </is>
      </c>
      <c r="J686" s="4" t="n">
        <v>43451</v>
      </c>
      <c r="K686" t="inlineStr">
        <is>
          <t>2F120374D52363000000023C</t>
        </is>
      </c>
    </row>
    <row r="687">
      <c r="A687" t="n">
        <v>19</v>
      </c>
      <c r="B687" t="inlineStr">
        <is>
          <t>SPE7M8-18-P-3331</t>
        </is>
      </c>
      <c r="C687" s="20" t="inlineStr">
        <is>
          <t>GEMS</t>
        </is>
      </c>
      <c r="E687" s="51" t="n">
        <v>29</v>
      </c>
      <c r="G687" s="230" t="n">
        <v>20979.76</v>
      </c>
      <c r="H687" t="inlineStr">
        <is>
          <t>WSDE119Z</t>
        </is>
      </c>
      <c r="I687" t="inlineStr">
        <is>
          <t>WSDEI119</t>
        </is>
      </c>
      <c r="J687" s="4" t="n">
        <v>43451</v>
      </c>
      <c r="K687" t="inlineStr">
        <is>
          <t>2F120374D52363000000023D</t>
        </is>
      </c>
    </row>
    <row r="688">
      <c r="A688" t="n">
        <v>20</v>
      </c>
      <c r="B688" t="inlineStr">
        <is>
          <t>SPE7L3-19-P-1501</t>
        </is>
      </c>
      <c r="C688" s="20" t="inlineStr">
        <is>
          <t>MAFO</t>
        </is>
      </c>
      <c r="E688" t="n">
        <v>48</v>
      </c>
      <c r="G688" s="230" t="n">
        <v>7145.28</v>
      </c>
      <c r="H688" t="inlineStr">
        <is>
          <t>WSDE120</t>
        </is>
      </c>
      <c r="I688" t="inlineStr">
        <is>
          <t>WSDEI120</t>
        </is>
      </c>
      <c r="J688" s="4" t="n">
        <v>43452</v>
      </c>
      <c r="K688" t="inlineStr">
        <is>
          <t>2F120374D52363000000023E</t>
        </is>
      </c>
    </row>
    <row r="689">
      <c r="A689" t="n">
        <v>21</v>
      </c>
      <c r="B689" t="inlineStr">
        <is>
          <t>SPE7L3-19-P-1501</t>
        </is>
      </c>
      <c r="C689" s="20" t="inlineStr">
        <is>
          <t>MAFO</t>
        </is>
      </c>
      <c r="E689" t="n">
        <v>48</v>
      </c>
      <c r="G689" s="230" t="n">
        <v>7145.28</v>
      </c>
      <c r="H689" t="inlineStr">
        <is>
          <t>WSDE121</t>
        </is>
      </c>
      <c r="I689" t="inlineStr">
        <is>
          <t>WSDEI121</t>
        </is>
      </c>
      <c r="J689" s="4" t="n">
        <v>43452</v>
      </c>
      <c r="K689" t="inlineStr">
        <is>
          <t>2F120374D52363000000023F</t>
        </is>
      </c>
    </row>
    <row r="690">
      <c r="A690" t="n">
        <v>22</v>
      </c>
      <c r="B690" t="inlineStr">
        <is>
          <t>SPE7L3-19-P-1501</t>
        </is>
      </c>
      <c r="C690" s="20" t="inlineStr">
        <is>
          <t>MAFO</t>
        </is>
      </c>
      <c r="E690" t="n">
        <v>49</v>
      </c>
      <c r="G690" s="230" t="n">
        <v>7294.14</v>
      </c>
      <c r="H690" t="inlineStr">
        <is>
          <t>WSDE122Z</t>
        </is>
      </c>
      <c r="I690" t="inlineStr">
        <is>
          <t>WSDEI122</t>
        </is>
      </c>
      <c r="J690" s="4" t="n">
        <v>43452</v>
      </c>
      <c r="K690" t="inlineStr">
        <is>
          <t>2F120374D523630000000240</t>
        </is>
      </c>
    </row>
    <row r="691">
      <c r="A691" t="n">
        <v>23</v>
      </c>
      <c r="B691" t="inlineStr">
        <is>
          <t>SPE7M0-18-V-078B</t>
        </is>
      </c>
      <c r="C691" s="20" t="inlineStr">
        <is>
          <t>Cole</t>
        </is>
      </c>
      <c r="E691" t="n">
        <v>3</v>
      </c>
      <c r="G691" s="230" t="n">
        <v>1422.72</v>
      </c>
      <c r="H691" t="inlineStr">
        <is>
          <t>WSDE123Z</t>
        </is>
      </c>
      <c r="I691" t="inlineStr">
        <is>
          <t>WSDEI123</t>
        </is>
      </c>
      <c r="J691" s="4" t="n">
        <v>43452</v>
      </c>
      <c r="K691" t="inlineStr">
        <is>
          <t>2F120374D523630000000241</t>
        </is>
      </c>
    </row>
    <row r="692">
      <c r="A692" t="n">
        <v>24</v>
      </c>
      <c r="B692" t="inlineStr">
        <is>
          <t>SPE7M5-18-V-170H</t>
        </is>
      </c>
      <c r="C692" s="20" t="inlineStr">
        <is>
          <t>Glenair</t>
        </is>
      </c>
      <c r="E692" s="51" t="n">
        <v>33</v>
      </c>
      <c r="G692" s="230" t="n">
        <v>5937.36</v>
      </c>
      <c r="H692" t="inlineStr">
        <is>
          <t>WSDE124Z</t>
        </is>
      </c>
      <c r="I692" t="inlineStr">
        <is>
          <t>WSDEI124</t>
        </is>
      </c>
      <c r="J692" s="4" t="n">
        <v>43453</v>
      </c>
      <c r="K692" t="inlineStr">
        <is>
          <t>2F120374D523630000000242</t>
        </is>
      </c>
    </row>
    <row r="693">
      <c r="A693" t="n">
        <v>25</v>
      </c>
      <c r="B693" t="inlineStr">
        <is>
          <t>SPE7M5-19-V-0424</t>
        </is>
      </c>
      <c r="C693" s="20" t="inlineStr">
        <is>
          <t>Glenair</t>
        </is>
      </c>
      <c r="E693" s="51" t="n">
        <v>30</v>
      </c>
      <c r="G693" s="230" t="n">
        <v>4910.1</v>
      </c>
      <c r="H693" t="inlineStr">
        <is>
          <t>WSDE125Z</t>
        </is>
      </c>
      <c r="I693" t="inlineStr">
        <is>
          <t>WSDEI125</t>
        </is>
      </c>
      <c r="J693" s="4" t="n">
        <v>43453</v>
      </c>
      <c r="K693" t="inlineStr">
        <is>
          <t>2F120374D523630000000243</t>
        </is>
      </c>
    </row>
    <row r="694">
      <c r="A694" t="n">
        <v>26</v>
      </c>
      <c r="B694" t="inlineStr">
        <is>
          <t>SPE7M5-19-V-0399</t>
        </is>
      </c>
      <c r="C694" s="20" t="inlineStr">
        <is>
          <t>Glenair</t>
        </is>
      </c>
      <c r="E694" s="51" t="n">
        <v>8</v>
      </c>
      <c r="G694" s="230" t="n">
        <v>3414.16</v>
      </c>
      <c r="H694" t="inlineStr">
        <is>
          <t>WSDE126Z</t>
        </is>
      </c>
      <c r="I694" t="inlineStr">
        <is>
          <t>WSDEI126</t>
        </is>
      </c>
      <c r="J694" s="4" t="n">
        <v>43453</v>
      </c>
      <c r="K694" t="inlineStr">
        <is>
          <t>2F120374D523630000000244</t>
        </is>
      </c>
    </row>
    <row r="695">
      <c r="A695" t="n">
        <v>27</v>
      </c>
      <c r="B695" t="inlineStr">
        <is>
          <t>SPE5EJ-19-V-1032</t>
        </is>
      </c>
      <c r="C695" s="20" t="inlineStr">
        <is>
          <t>XYLEM</t>
        </is>
      </c>
      <c r="E695" t="n">
        <v>60</v>
      </c>
      <c r="G695" s="230" t="n">
        <v>5974.2</v>
      </c>
      <c r="H695" t="inlineStr">
        <is>
          <t>WSDE127</t>
        </is>
      </c>
      <c r="I695" t="inlineStr">
        <is>
          <t>WSDEI127</t>
        </is>
      </c>
      <c r="J695" s="4" t="n">
        <v>43455</v>
      </c>
      <c r="K695" t="inlineStr">
        <is>
          <t>2F120374D523630000000245</t>
        </is>
      </c>
    </row>
    <row r="696">
      <c r="A696" t="n">
        <v>28</v>
      </c>
      <c r="B696" t="inlineStr">
        <is>
          <t>SPE5EJ-19-V-1032</t>
        </is>
      </c>
      <c r="C696" s="20" t="inlineStr">
        <is>
          <t>XYLEM</t>
        </is>
      </c>
      <c r="E696" t="n">
        <v>43</v>
      </c>
      <c r="G696" s="230" t="n">
        <v>4281.51</v>
      </c>
      <c r="H696" t="inlineStr">
        <is>
          <t>WSDE128Z</t>
        </is>
      </c>
      <c r="I696" t="inlineStr">
        <is>
          <t>WSDEI128</t>
        </is>
      </c>
      <c r="J696" s="4" t="n">
        <v>43455</v>
      </c>
      <c r="K696" t="inlineStr">
        <is>
          <t>2F120374D523630000000246</t>
        </is>
      </c>
      <c r="M696" s="233" t="n"/>
    </row>
    <row r="697">
      <c r="A697" t="n">
        <v>29</v>
      </c>
      <c r="B697" t="inlineStr">
        <is>
          <t>SPE4A6-19-V-4814</t>
        </is>
      </c>
      <c r="C697" s="20" t="inlineStr">
        <is>
          <t>National</t>
        </is>
      </c>
      <c r="E697" s="51" t="n">
        <v>30</v>
      </c>
      <c r="G697" s="230" t="n">
        <v>3062.7</v>
      </c>
      <c r="H697" t="inlineStr">
        <is>
          <t>WSDE129Z</t>
        </is>
      </c>
      <c r="I697" t="inlineStr">
        <is>
          <t>WSDEI129</t>
        </is>
      </c>
      <c r="J697" s="4" t="n">
        <v>43455</v>
      </c>
      <c r="K697" t="inlineStr">
        <is>
          <t>2F120374D523630000000247</t>
        </is>
      </c>
    </row>
    <row r="698">
      <c r="A698" t="n">
        <v>30</v>
      </c>
      <c r="B698" t="inlineStr">
        <is>
          <t>SPE7M5-18-V-193S</t>
        </is>
      </c>
      <c r="C698" s="20" t="inlineStr">
        <is>
          <t>Glenair</t>
        </is>
      </c>
      <c r="E698" s="51" t="n">
        <v>31</v>
      </c>
      <c r="G698" s="230" t="n">
        <v>5216.37</v>
      </c>
      <c r="H698" t="inlineStr">
        <is>
          <t>WSDE130Z</t>
        </is>
      </c>
      <c r="I698" t="inlineStr">
        <is>
          <t>WSDEI130</t>
        </is>
      </c>
      <c r="J698" s="4" t="n">
        <v>43456</v>
      </c>
      <c r="K698" t="inlineStr">
        <is>
          <t>2F120374D523630000000248</t>
        </is>
      </c>
    </row>
    <row r="699">
      <c r="A699" t="n">
        <v>31</v>
      </c>
      <c r="B699" t="inlineStr">
        <is>
          <t>SPE7M1-18-V-145P</t>
        </is>
      </c>
      <c r="C699" s="20" t="inlineStr">
        <is>
          <t>Morpac</t>
        </is>
      </c>
      <c r="E699" s="51" t="n">
        <v>1</v>
      </c>
      <c r="G699" s="230" t="n">
        <v>4518</v>
      </c>
      <c r="H699" t="inlineStr">
        <is>
          <t>WSDE131</t>
        </is>
      </c>
      <c r="I699" t="inlineStr">
        <is>
          <t>WSDEI131</t>
        </is>
      </c>
      <c r="J699" s="4" t="n">
        <v>43456</v>
      </c>
      <c r="K699" t="inlineStr">
        <is>
          <t>2F120374D523630000000249</t>
        </is>
      </c>
    </row>
    <row r="700">
      <c r="A700" t="n">
        <v>32</v>
      </c>
      <c r="B700" t="inlineStr">
        <is>
          <t>SPE7MC-19-V-0323</t>
        </is>
      </c>
      <c r="C700" s="20" t="inlineStr">
        <is>
          <t>PBM</t>
        </is>
      </c>
      <c r="E700" t="n">
        <v>1</v>
      </c>
      <c r="G700" s="230" t="n">
        <v>926.48</v>
      </c>
      <c r="H700" t="inlineStr">
        <is>
          <t>WSDE132Z</t>
        </is>
      </c>
      <c r="I700" t="inlineStr">
        <is>
          <t>WSDEI132</t>
        </is>
      </c>
      <c r="J700" s="4" t="n">
        <v>43461</v>
      </c>
      <c r="K700" t="inlineStr">
        <is>
          <t>no</t>
        </is>
      </c>
    </row>
    <row r="701">
      <c r="A701" t="n">
        <v>33</v>
      </c>
      <c r="B701" t="inlineStr">
        <is>
          <t>SPE4A6-18-V-515C</t>
        </is>
      </c>
      <c r="C701" s="20" t="inlineStr">
        <is>
          <t>KDSTI</t>
        </is>
      </c>
      <c r="E701" t="n">
        <v>25</v>
      </c>
      <c r="G701" s="262" t="n">
        <v>9661.75</v>
      </c>
      <c r="H701" t="inlineStr">
        <is>
          <t>WSDE133Z</t>
        </is>
      </c>
      <c r="I701" t="inlineStr">
        <is>
          <t>WSDEI133</t>
        </is>
      </c>
      <c r="J701" s="4" t="n">
        <v>43460</v>
      </c>
      <c r="K701" t="inlineStr">
        <is>
          <t>2F120374D52363000000024A</t>
        </is>
      </c>
    </row>
    <row r="702">
      <c r="A702" t="n">
        <v>34</v>
      </c>
      <c r="B702" t="inlineStr">
        <is>
          <t>SPE7M5-19-V-1949</t>
        </is>
      </c>
      <c r="C702" s="20" t="inlineStr">
        <is>
          <t>DRUCK</t>
        </is>
      </c>
      <c r="E702" t="n">
        <v>27</v>
      </c>
      <c r="G702" s="230" t="n">
        <v>4509</v>
      </c>
      <c r="H702" t="inlineStr">
        <is>
          <t>WSDE134Z</t>
        </is>
      </c>
      <c r="I702" t="inlineStr">
        <is>
          <t>WSDEI134</t>
        </is>
      </c>
      <c r="J702" s="4" t="n">
        <v>43461</v>
      </c>
      <c r="K702" t="inlineStr">
        <is>
          <t>2F120374D52363000000024B</t>
        </is>
      </c>
    </row>
    <row r="703">
      <c r="A703" t="n">
        <v>35</v>
      </c>
      <c r="B703" t="inlineStr">
        <is>
          <t>SPE7M5-19-V-1949</t>
        </is>
      </c>
      <c r="C703" s="20" t="inlineStr">
        <is>
          <t>DRUCK</t>
        </is>
      </c>
      <c r="E703" s="51" t="n"/>
      <c r="G703" s="230" t="n">
        <v>6346</v>
      </c>
      <c r="H703" t="inlineStr">
        <is>
          <t>WSDE135</t>
        </is>
      </c>
      <c r="I703" t="inlineStr">
        <is>
          <t>WSDEI135</t>
        </is>
      </c>
      <c r="J703" s="4" t="n">
        <v>43461</v>
      </c>
      <c r="K703" t="inlineStr">
        <is>
          <t>2F120374D52363000000024C</t>
        </is>
      </c>
    </row>
    <row r="704">
      <c r="A704" t="n">
        <v>36</v>
      </c>
      <c r="B704" t="inlineStr">
        <is>
          <t>SPE7M1-18-V-145P</t>
        </is>
      </c>
      <c r="C704" s="20" t="inlineStr">
        <is>
          <t>Morpac</t>
        </is>
      </c>
      <c r="E704" s="51" t="n">
        <v>1</v>
      </c>
      <c r="G704" s="230" t="n">
        <v>4518</v>
      </c>
      <c r="H704" t="inlineStr">
        <is>
          <t>WSDE136</t>
        </is>
      </c>
      <c r="I704" t="inlineStr">
        <is>
          <t>WSDEI136</t>
        </is>
      </c>
      <c r="J704" s="4" t="n">
        <v>43461</v>
      </c>
      <c r="K704" t="inlineStr">
        <is>
          <t>2F120374D52363000000024D</t>
        </is>
      </c>
    </row>
    <row r="705">
      <c r="A705" t="n">
        <v>37</v>
      </c>
      <c r="B705" t="inlineStr">
        <is>
          <t>SPE7M1-18-V-145P</t>
        </is>
      </c>
      <c r="C705" s="20" t="inlineStr">
        <is>
          <t>Morpac</t>
        </is>
      </c>
      <c r="E705" s="51" t="n">
        <v>1</v>
      </c>
      <c r="G705" s="230" t="n">
        <v>4518</v>
      </c>
      <c r="H705" t="inlineStr">
        <is>
          <t>WSDE137Z</t>
        </is>
      </c>
      <c r="I705" t="inlineStr">
        <is>
          <t>WSDEI137</t>
        </is>
      </c>
      <c r="J705" s="4" t="n">
        <v>43461</v>
      </c>
      <c r="K705" t="inlineStr">
        <is>
          <t>2F120374D52363000000024E</t>
        </is>
      </c>
    </row>
    <row r="706">
      <c r="A706" t="n">
        <v>38</v>
      </c>
      <c r="B706" t="inlineStr">
        <is>
          <t>SPE7M8-18-P-3723</t>
        </is>
      </c>
      <c r="C706" s="20" t="inlineStr">
        <is>
          <t>GEMS</t>
        </is>
      </c>
      <c r="E706" s="51" t="n">
        <v>1</v>
      </c>
      <c r="G706" s="230" t="n">
        <v>6861.78</v>
      </c>
      <c r="H706" t="inlineStr">
        <is>
          <t>WSDE138Z</t>
        </is>
      </c>
      <c r="I706" t="inlineStr">
        <is>
          <t>WSDEI138</t>
        </is>
      </c>
      <c r="J706" s="4" t="n">
        <v>43461</v>
      </c>
      <c r="K706" t="inlineStr">
        <is>
          <t>2F120374D52363000000024F</t>
        </is>
      </c>
    </row>
    <row r="707">
      <c r="A707" t="n">
        <v>40</v>
      </c>
      <c r="B707" t="inlineStr">
        <is>
          <t>SPE7M8-19-V-0134</t>
        </is>
      </c>
      <c r="C707" s="20" t="inlineStr">
        <is>
          <t>GEMS</t>
        </is>
      </c>
      <c r="E707" s="51" t="n">
        <v>3</v>
      </c>
      <c r="G707" s="230" t="n">
        <v>6597</v>
      </c>
      <c r="H707" t="inlineStr">
        <is>
          <t>WSDE139</t>
        </is>
      </c>
      <c r="I707" t="inlineStr">
        <is>
          <t>WSDEI139</t>
        </is>
      </c>
      <c r="J707" s="4" t="n">
        <v>43462</v>
      </c>
      <c r="K707" t="inlineStr">
        <is>
          <t>2F120374D523630000000250</t>
        </is>
      </c>
    </row>
    <row r="708">
      <c r="A708" t="n">
        <v>41</v>
      </c>
      <c r="B708" t="inlineStr">
        <is>
          <t>SPE7M8-19-V-0134</t>
        </is>
      </c>
      <c r="C708" s="20" t="inlineStr">
        <is>
          <t>GEMS</t>
        </is>
      </c>
      <c r="E708" s="51" t="n">
        <v>3</v>
      </c>
      <c r="G708" s="230" t="n">
        <v>6597</v>
      </c>
      <c r="H708" t="inlineStr">
        <is>
          <t>WSDE140Z</t>
        </is>
      </c>
      <c r="I708" t="inlineStr">
        <is>
          <t>WSDEI140</t>
        </is>
      </c>
      <c r="J708" s="4" t="n">
        <v>43462</v>
      </c>
      <c r="K708" t="inlineStr">
        <is>
          <t>2F120374D523630000000251</t>
        </is>
      </c>
    </row>
    <row r="709">
      <c r="A709" t="n">
        <v>42</v>
      </c>
      <c r="B709" t="inlineStr">
        <is>
          <t>SPE7M1-18-V-103R</t>
        </is>
      </c>
      <c r="C709" s="20" t="inlineStr">
        <is>
          <t>Vetronix</t>
        </is>
      </c>
      <c r="E709" s="51" t="n">
        <v>3</v>
      </c>
      <c r="G709" s="230" t="n">
        <v>2909.28</v>
      </c>
      <c r="H709" t="inlineStr">
        <is>
          <t>WSDE141Z</t>
        </is>
      </c>
      <c r="I709" t="inlineStr">
        <is>
          <t>WSDEI141</t>
        </is>
      </c>
      <c r="J709" s="4" t="n">
        <v>43462</v>
      </c>
      <c r="K709" t="inlineStr">
        <is>
          <t>2F120374D523630000000252</t>
        </is>
      </c>
    </row>
    <row r="710">
      <c r="A710" t="n">
        <v>43</v>
      </c>
      <c r="B710" t="inlineStr">
        <is>
          <t>SPE7L3-19-V-0886</t>
        </is>
      </c>
      <c r="C710" s="20" t="inlineStr">
        <is>
          <t>HIAB</t>
        </is>
      </c>
      <c r="E710" s="51" t="n">
        <v>15</v>
      </c>
      <c r="G710" s="230" t="n">
        <v>6937.35</v>
      </c>
      <c r="H710" t="inlineStr">
        <is>
          <t>WSDE142Z</t>
        </is>
      </c>
      <c r="I710" t="inlineStr">
        <is>
          <t>WSDEI142</t>
        </is>
      </c>
      <c r="J710" s="4" t="n">
        <v>43462</v>
      </c>
      <c r="K710" t="inlineStr">
        <is>
          <t>2F120374D523630000000253</t>
        </is>
      </c>
    </row>
    <row r="711">
      <c r="G711" s="240">
        <f>SUM(G669:G710)</f>
        <v/>
      </c>
    </row>
    <row r="712">
      <c r="B712" s="5" t="inlineStr">
        <is>
          <t>Jan29019</t>
        </is>
      </c>
    </row>
    <row r="713">
      <c r="A713" t="n">
        <v>1</v>
      </c>
      <c r="B713" t="inlineStr">
        <is>
          <t>SPE8E8-19-V-0534</t>
        </is>
      </c>
      <c r="C713" s="20" t="inlineStr">
        <is>
          <t>INDECO</t>
        </is>
      </c>
      <c r="E713" s="51" t="n">
        <v>8</v>
      </c>
      <c r="G713" s="230" t="n">
        <v>2971.36</v>
      </c>
      <c r="H713" t="inlineStr">
        <is>
          <t>WJA1901Z</t>
        </is>
      </c>
      <c r="I713" t="inlineStr">
        <is>
          <t>WJAI1901</t>
        </is>
      </c>
      <c r="J713" s="4" t="n">
        <v>43467</v>
      </c>
      <c r="K713" t="inlineStr">
        <is>
          <t>no</t>
        </is>
      </c>
    </row>
    <row r="714">
      <c r="A714" t="n">
        <v>2</v>
      </c>
      <c r="B714" t="inlineStr">
        <is>
          <t>SPE5EK-19-V-1400</t>
        </is>
      </c>
      <c r="C714" s="20" t="inlineStr">
        <is>
          <t>LEE Spring</t>
        </is>
      </c>
      <c r="E714" t="n">
        <v>173</v>
      </c>
      <c r="G714" s="230" t="n">
        <v>212.79</v>
      </c>
      <c r="H714" t="inlineStr">
        <is>
          <t>WJA1902Z</t>
        </is>
      </c>
      <c r="I714" t="inlineStr">
        <is>
          <t>WJAI1902</t>
        </is>
      </c>
      <c r="J714" s="4" t="n">
        <v>43467</v>
      </c>
      <c r="K714" t="inlineStr">
        <is>
          <t>no</t>
        </is>
      </c>
    </row>
    <row r="715">
      <c r="A715" t="n">
        <v>3</v>
      </c>
      <c r="B715" t="inlineStr">
        <is>
          <t>SPE5E2-19-V-2092</t>
        </is>
      </c>
      <c r="C715" s="20" t="inlineStr">
        <is>
          <t>LEE Spring</t>
        </is>
      </c>
      <c r="E715" t="n">
        <v>83</v>
      </c>
      <c r="G715" s="230" t="n">
        <v>167.66</v>
      </c>
      <c r="H715" t="inlineStr">
        <is>
          <t>WJA1903Z</t>
        </is>
      </c>
      <c r="I715" t="inlineStr">
        <is>
          <t>WJAI1903</t>
        </is>
      </c>
      <c r="J715" s="4" t="n">
        <v>43467</v>
      </c>
      <c r="K715" t="inlineStr">
        <is>
          <t>no</t>
        </is>
      </c>
    </row>
    <row r="716">
      <c r="A716" t="n">
        <v>4</v>
      </c>
      <c r="B716" t="inlineStr">
        <is>
          <t>SPE7M0-19-V-2203</t>
        </is>
      </c>
      <c r="C716" s="20" t="inlineStr">
        <is>
          <t>Glenair</t>
        </is>
      </c>
      <c r="E716" s="51" t="n"/>
      <c r="G716" s="230" t="n">
        <v>483.77</v>
      </c>
      <c r="H716" t="inlineStr">
        <is>
          <t>WJA1904Z</t>
        </is>
      </c>
      <c r="I716" t="inlineStr">
        <is>
          <t>WJAI1904</t>
        </is>
      </c>
      <c r="J716" s="4" t="n">
        <v>43469</v>
      </c>
      <c r="K716" t="inlineStr">
        <is>
          <t>2F120374D523630000000254</t>
        </is>
      </c>
    </row>
    <row r="717">
      <c r="A717" t="n">
        <v>5</v>
      </c>
      <c r="B717" t="inlineStr">
        <is>
          <t>SPE7M0-19-V-1070</t>
        </is>
      </c>
      <c r="C717" s="20" t="inlineStr">
        <is>
          <t>Glenair</t>
        </is>
      </c>
      <c r="E717" s="51" t="n"/>
      <c r="G717" s="230" t="n">
        <v>1277.07</v>
      </c>
      <c r="H717" t="inlineStr">
        <is>
          <t>WJA1905Z</t>
        </is>
      </c>
      <c r="I717" t="inlineStr">
        <is>
          <t>WJAI1905</t>
        </is>
      </c>
      <c r="J717" s="4" t="n">
        <v>43469</v>
      </c>
      <c r="K717" t="inlineStr">
        <is>
          <t>2F120374D523630000000255</t>
        </is>
      </c>
    </row>
    <row r="718">
      <c r="A718" t="n">
        <v>6</v>
      </c>
      <c r="B718" t="inlineStr">
        <is>
          <t>SPE7M1-19-V-0386</t>
        </is>
      </c>
      <c r="C718" s="20" t="inlineStr">
        <is>
          <t>Glenair</t>
        </is>
      </c>
      <c r="E718" s="51" t="n">
        <v>15</v>
      </c>
      <c r="G718" s="230" t="n">
        <v>2950.5</v>
      </c>
      <c r="H718" t="inlineStr">
        <is>
          <t>WJA1906Z</t>
        </is>
      </c>
      <c r="I718" t="inlineStr">
        <is>
          <t>WJAI1906</t>
        </is>
      </c>
      <c r="J718" s="4" t="n">
        <v>43469</v>
      </c>
      <c r="K718" t="inlineStr">
        <is>
          <t>2F120374D523630000000256</t>
        </is>
      </c>
    </row>
    <row r="719">
      <c r="A719" t="n">
        <v>7</v>
      </c>
      <c r="B719" t="inlineStr">
        <is>
          <t>SPE7M5-18-V-082D</t>
        </is>
      </c>
      <c r="C719" s="20" t="inlineStr">
        <is>
          <t>Glenair</t>
        </is>
      </c>
      <c r="E719" s="51" t="n">
        <v>75</v>
      </c>
      <c r="G719" s="230" t="n">
        <v>3587.25</v>
      </c>
      <c r="H719" t="inlineStr">
        <is>
          <t>WJA1907Z</t>
        </is>
      </c>
      <c r="I719" t="inlineStr">
        <is>
          <t>WJAI1907</t>
        </is>
      </c>
      <c r="J719" s="4" t="n">
        <v>43469</v>
      </c>
      <c r="K719" t="inlineStr">
        <is>
          <t>2F120374D523630000000257</t>
        </is>
      </c>
    </row>
    <row r="720">
      <c r="A720" t="n">
        <v>8</v>
      </c>
      <c r="B720" t="inlineStr">
        <is>
          <t>SPE7M5-19-V-2578</t>
        </is>
      </c>
      <c r="C720" s="20" t="inlineStr">
        <is>
          <t>Molded</t>
        </is>
      </c>
      <c r="E720" s="51" t="n">
        <v>189</v>
      </c>
      <c r="G720" s="230" t="n">
        <v>1513.89</v>
      </c>
      <c r="H720" t="inlineStr">
        <is>
          <t>WJA1908Z</t>
        </is>
      </c>
      <c r="I720" t="inlineStr">
        <is>
          <t>WJAI1908</t>
        </is>
      </c>
      <c r="J720" s="4" t="n">
        <v>43469</v>
      </c>
      <c r="K720" t="inlineStr">
        <is>
          <t>2F120374D523630000000258</t>
        </is>
      </c>
    </row>
    <row r="721">
      <c r="A721" t="n">
        <v>9</v>
      </c>
      <c r="B721" t="inlineStr">
        <is>
          <t>SPE7M1-18-V-017B</t>
        </is>
      </c>
      <c r="C721" s="20" t="inlineStr">
        <is>
          <t>Morpac</t>
        </is>
      </c>
      <c r="E721" t="n">
        <v>73</v>
      </c>
      <c r="G721" s="230" t="n">
        <v>2260.08</v>
      </c>
      <c r="H721" t="inlineStr">
        <is>
          <t>WJA1909Z</t>
        </is>
      </c>
      <c r="I721" t="inlineStr">
        <is>
          <t>WJAI1909</t>
        </is>
      </c>
      <c r="J721" s="4" t="n">
        <v>43469</v>
      </c>
      <c r="K721" t="inlineStr">
        <is>
          <t>2F120374D523630000000259</t>
        </is>
      </c>
    </row>
    <row r="722">
      <c r="A722" t="n">
        <v>10</v>
      </c>
      <c r="B722" t="inlineStr">
        <is>
          <t>SPE4A6-18-V-561J</t>
        </is>
      </c>
      <c r="C722" s="20" t="inlineStr">
        <is>
          <t>CAMERON</t>
        </is>
      </c>
      <c r="E722" t="n">
        <v>2</v>
      </c>
      <c r="G722" s="230" t="n">
        <v>4565.08</v>
      </c>
      <c r="H722" t="inlineStr">
        <is>
          <t>WJA1910Z</t>
        </is>
      </c>
      <c r="I722" t="inlineStr">
        <is>
          <t>WJAI1910</t>
        </is>
      </c>
      <c r="J722" s="4" t="n">
        <v>43472</v>
      </c>
      <c r="K722" t="inlineStr">
        <is>
          <t>2F120374D52363000000025A</t>
        </is>
      </c>
    </row>
    <row r="723">
      <c r="A723" t="n">
        <v>11</v>
      </c>
      <c r="B723" t="inlineStr">
        <is>
          <t>SPE7M1-18-P-5926</t>
        </is>
      </c>
      <c r="C723" s="66" t="inlineStr">
        <is>
          <t>Glenair MOP41</t>
        </is>
      </c>
      <c r="E723" s="51" t="n">
        <v>8</v>
      </c>
      <c r="G723" s="230" t="n">
        <v>7638.24</v>
      </c>
      <c r="H723" t="inlineStr">
        <is>
          <t>WJA1911Z</t>
        </is>
      </c>
      <c r="I723" t="inlineStr">
        <is>
          <t>WJAI1911</t>
        </is>
      </c>
      <c r="J723" s="4" t="n">
        <v>43472</v>
      </c>
      <c r="K723" t="inlineStr">
        <is>
          <t>2F120374D52363000000025B</t>
        </is>
      </c>
      <c r="M723" s="263" t="n">
        <v>8179.08</v>
      </c>
    </row>
    <row r="724">
      <c r="A724" t="n">
        <v>12</v>
      </c>
      <c r="B724" t="inlineStr">
        <is>
          <t>SPE7M0-19-V-0310</t>
        </is>
      </c>
      <c r="C724" s="20" t="inlineStr">
        <is>
          <t>Glenair</t>
        </is>
      </c>
      <c r="E724" s="51" t="n">
        <v>7</v>
      </c>
      <c r="G724" s="230" t="n">
        <v>4318.58</v>
      </c>
      <c r="H724" t="inlineStr">
        <is>
          <t>WJA1912Z</t>
        </is>
      </c>
      <c r="I724" t="inlineStr">
        <is>
          <t>WJAI1912</t>
        </is>
      </c>
      <c r="J724" s="4" t="n">
        <v>43473</v>
      </c>
      <c r="K724" t="inlineStr">
        <is>
          <t>2F120374D52363000000025C</t>
        </is>
      </c>
      <c r="M724" s="230" t="n">
        <v>11546.7</v>
      </c>
    </row>
    <row r="725">
      <c r="A725" t="n">
        <v>13</v>
      </c>
      <c r="B725" t="inlineStr">
        <is>
          <t>SPE7M5-18-V-9065</t>
        </is>
      </c>
      <c r="C725" s="20" t="inlineStr">
        <is>
          <t>ITT</t>
        </is>
      </c>
      <c r="E725" t="n">
        <v>16</v>
      </c>
      <c r="G725" s="230" t="n">
        <v>3115.84</v>
      </c>
      <c r="H725" t="inlineStr">
        <is>
          <t>WJA1913</t>
        </is>
      </c>
      <c r="I725" t="inlineStr">
        <is>
          <t>WJAI1913</t>
        </is>
      </c>
      <c r="J725" s="4" t="n">
        <v>43473</v>
      </c>
      <c r="K725" t="inlineStr">
        <is>
          <t>2F120374D52363000000025D</t>
        </is>
      </c>
      <c r="M725" s="230" t="n">
        <v>4435.38</v>
      </c>
    </row>
    <row r="726">
      <c r="A726" t="n">
        <v>14</v>
      </c>
      <c r="B726" t="inlineStr">
        <is>
          <t>SPE7M5-18-V-9065</t>
        </is>
      </c>
      <c r="C726" s="20" t="inlineStr">
        <is>
          <t>ITT</t>
        </is>
      </c>
      <c r="E726" t="n">
        <v>42</v>
      </c>
      <c r="G726" s="263" t="n">
        <v>8179.08</v>
      </c>
      <c r="H726" t="inlineStr">
        <is>
          <t>WJA1914Z</t>
        </is>
      </c>
      <c r="I726" t="inlineStr">
        <is>
          <t>WJAI1914</t>
        </is>
      </c>
      <c r="J726" s="4" t="n">
        <v>43473</v>
      </c>
      <c r="K726" t="inlineStr">
        <is>
          <t>2F120374D52363000000025E</t>
        </is>
      </c>
      <c r="M726" s="230" t="n">
        <v>3818.62</v>
      </c>
    </row>
    <row r="727">
      <c r="A727" t="n">
        <v>15</v>
      </c>
      <c r="B727" t="inlineStr">
        <is>
          <t>SPE7L3-18-P-9546</t>
        </is>
      </c>
      <c r="C727" s="20" t="inlineStr">
        <is>
          <t>TIMKEN</t>
        </is>
      </c>
      <c r="E727" t="n">
        <v>15</v>
      </c>
      <c r="G727" s="230" t="n">
        <v>11546.7</v>
      </c>
      <c r="H727" t="inlineStr">
        <is>
          <t>WJA1915Z</t>
        </is>
      </c>
      <c r="I727" t="inlineStr">
        <is>
          <t>WJAI1915</t>
        </is>
      </c>
      <c r="J727" s="4" t="n">
        <v>43473</v>
      </c>
      <c r="K727" t="inlineStr">
        <is>
          <t>2F120374D52363000000025F</t>
        </is>
      </c>
      <c r="M727" s="233">
        <f>SUM(M723:M726)</f>
        <v/>
      </c>
    </row>
    <row r="728">
      <c r="A728" t="n">
        <v>16</v>
      </c>
      <c r="B728" t="inlineStr">
        <is>
          <t>SPE7M0-19-V-3085</t>
        </is>
      </c>
      <c r="C728" s="20" t="inlineStr">
        <is>
          <t>HIAB</t>
        </is>
      </c>
      <c r="E728" s="51" t="n">
        <v>1</v>
      </c>
      <c r="G728" s="230" t="n">
        <v>2457</v>
      </c>
      <c r="H728" t="inlineStr">
        <is>
          <t>WJA1916Z</t>
        </is>
      </c>
      <c r="I728" t="inlineStr">
        <is>
          <t>WJAI1916</t>
        </is>
      </c>
      <c r="J728" s="4" t="n">
        <v>43475</v>
      </c>
      <c r="K728" t="inlineStr">
        <is>
          <t>no</t>
        </is>
      </c>
    </row>
    <row r="729">
      <c r="A729" t="n">
        <v>17</v>
      </c>
      <c r="B729" t="inlineStr">
        <is>
          <t>SPE7M1-19-P-0157</t>
        </is>
      </c>
      <c r="C729" s="20" t="inlineStr">
        <is>
          <t>Gems</t>
        </is>
      </c>
      <c r="E729" s="51" t="n">
        <v>6</v>
      </c>
      <c r="G729" s="230" t="n">
        <v>4435.38</v>
      </c>
      <c r="H729" t="inlineStr">
        <is>
          <t>WJA1917Z</t>
        </is>
      </c>
      <c r="I729" t="inlineStr">
        <is>
          <t>WJAI1917</t>
        </is>
      </c>
      <c r="J729" s="4" t="n">
        <v>43475</v>
      </c>
      <c r="K729" t="inlineStr">
        <is>
          <t>2F120374D523630000000260</t>
        </is>
      </c>
    </row>
    <row r="730">
      <c r="A730" t="n">
        <v>18</v>
      </c>
      <c r="B730" t="inlineStr">
        <is>
          <t>SPE7M8-19-V-0763</t>
        </is>
      </c>
      <c r="C730" s="20" t="inlineStr">
        <is>
          <t>Glenair</t>
        </is>
      </c>
      <c r="E730" s="51" t="n">
        <v>13</v>
      </c>
      <c r="G730" s="230" t="n">
        <v>3818.62</v>
      </c>
      <c r="H730" t="inlineStr">
        <is>
          <t>WJA1917Z</t>
        </is>
      </c>
      <c r="I730" t="inlineStr">
        <is>
          <t>WJAI1917</t>
        </is>
      </c>
      <c r="J730" s="4" t="n">
        <v>43475</v>
      </c>
      <c r="K730" t="inlineStr">
        <is>
          <t>2F120374D523630000000261</t>
        </is>
      </c>
    </row>
    <row r="731">
      <c r="A731" t="n">
        <v>19</v>
      </c>
      <c r="B731" t="inlineStr">
        <is>
          <t>SPE5EK-19-V-1416</t>
        </is>
      </c>
      <c r="C731" s="20" t="inlineStr">
        <is>
          <t>C&amp;S</t>
        </is>
      </c>
      <c r="E731" t="n">
        <v>13</v>
      </c>
      <c r="G731" s="230" t="n">
        <v>1904.11</v>
      </c>
      <c r="H731" t="inlineStr">
        <is>
          <t>WJA1919Z</t>
        </is>
      </c>
      <c r="I731" t="inlineStr">
        <is>
          <t>WJAI1919</t>
        </is>
      </c>
      <c r="J731" s="4" t="n">
        <v>43479</v>
      </c>
      <c r="K731" t="inlineStr">
        <is>
          <t>2F120374D523630000000262</t>
        </is>
      </c>
    </row>
    <row r="732">
      <c r="A732" t="n">
        <v>20</v>
      </c>
      <c r="B732" t="inlineStr">
        <is>
          <t>SPE5EK-19-V-1827</t>
        </is>
      </c>
      <c r="C732" s="20" t="inlineStr">
        <is>
          <t>C&amp;S</t>
        </is>
      </c>
      <c r="E732" t="n">
        <v>10</v>
      </c>
      <c r="G732" s="230" t="n">
        <v>1579.4</v>
      </c>
      <c r="H732" t="inlineStr">
        <is>
          <t>WJA1920Z</t>
        </is>
      </c>
      <c r="I732" t="inlineStr">
        <is>
          <t>WJAI1920</t>
        </is>
      </c>
      <c r="J732" s="4" t="n">
        <v>43479</v>
      </c>
      <c r="K732" t="inlineStr">
        <is>
          <t>2F120374D523630000000263</t>
        </is>
      </c>
    </row>
    <row r="733">
      <c r="A733" t="n">
        <v>21</v>
      </c>
      <c r="B733" t="inlineStr">
        <is>
          <t>SPE5E8-19-V-2573</t>
        </is>
      </c>
      <c r="C733" s="20" t="inlineStr">
        <is>
          <t>KTSDI</t>
        </is>
      </c>
      <c r="E733" t="n">
        <v>3</v>
      </c>
      <c r="G733" s="230" t="n">
        <v>294</v>
      </c>
      <c r="H733" t="inlineStr">
        <is>
          <t>WJA1921Z</t>
        </is>
      </c>
      <c r="I733" t="inlineStr">
        <is>
          <t>WJAI1921</t>
        </is>
      </c>
      <c r="J733" s="4" t="n">
        <v>43479</v>
      </c>
      <c r="K733" t="inlineStr">
        <is>
          <t>2F120374D523630000000264</t>
        </is>
      </c>
    </row>
    <row r="734">
      <c r="A734" t="n">
        <v>22</v>
      </c>
      <c r="B734" t="inlineStr">
        <is>
          <t>SPE7MC-19-V-0312</t>
        </is>
      </c>
      <c r="C734" s="20" t="inlineStr">
        <is>
          <t>Gems</t>
        </is>
      </c>
      <c r="E734" s="51" t="n">
        <v>9</v>
      </c>
      <c r="G734" s="230" t="n">
        <v>10056.42</v>
      </c>
      <c r="H734" t="inlineStr">
        <is>
          <t>WJA1922Z</t>
        </is>
      </c>
      <c r="I734" t="inlineStr">
        <is>
          <t>WJAI1922</t>
        </is>
      </c>
      <c r="J734" s="4" t="n">
        <v>43479</v>
      </c>
      <c r="K734" t="inlineStr">
        <is>
          <t>2F120374D523630000000265</t>
        </is>
      </c>
    </row>
    <row r="735">
      <c r="A735" t="n">
        <v>23</v>
      </c>
      <c r="B735" t="inlineStr">
        <is>
          <t>SPE5E7-18-V-1591</t>
        </is>
      </c>
      <c r="C735" s="20" t="inlineStr">
        <is>
          <t>Nafco return</t>
        </is>
      </c>
      <c r="E735" t="n">
        <v>10</v>
      </c>
      <c r="G735" s="230" t="n">
        <v>0</v>
      </c>
      <c r="H735" t="inlineStr">
        <is>
          <t>WJA1923Z</t>
        </is>
      </c>
      <c r="I735" t="inlineStr">
        <is>
          <t>WJAI1923</t>
        </is>
      </c>
      <c r="J735" s="4" t="n">
        <v>43116</v>
      </c>
      <c r="K735" t="inlineStr">
        <is>
          <t>2F120374D523630000000266</t>
        </is>
      </c>
    </row>
    <row r="736">
      <c r="A736" t="n">
        <v>24</v>
      </c>
      <c r="B736" t="inlineStr">
        <is>
          <t>SPE7M1-19-V-1276</t>
        </is>
      </c>
      <c r="C736" s="20" t="inlineStr">
        <is>
          <t>Glenair</t>
        </is>
      </c>
      <c r="E736" s="51" t="n">
        <v>21</v>
      </c>
      <c r="G736" s="230" t="n">
        <v>1274.49</v>
      </c>
      <c r="H736" t="inlineStr">
        <is>
          <t>WJA1924Z</t>
        </is>
      </c>
      <c r="I736" t="inlineStr">
        <is>
          <t>WJAI1924</t>
        </is>
      </c>
      <c r="J736" s="4" t="n">
        <v>43116</v>
      </c>
      <c r="K736" t="inlineStr">
        <is>
          <t>2F120374D523630000000267</t>
        </is>
      </c>
    </row>
    <row r="737">
      <c r="A737" t="n">
        <v>25</v>
      </c>
      <c r="B737" t="inlineStr">
        <is>
          <t>SPE7M5-19-V-0503</t>
        </is>
      </c>
      <c r="C737" s="20" t="inlineStr">
        <is>
          <t>Glenair</t>
        </is>
      </c>
      <c r="E737" s="51" t="n">
        <v>19</v>
      </c>
      <c r="G737" s="230" t="n">
        <v>1074.26</v>
      </c>
      <c r="H737" t="inlineStr">
        <is>
          <t>WJA1925Z</t>
        </is>
      </c>
      <c r="I737" t="inlineStr">
        <is>
          <t>WJAI1925</t>
        </is>
      </c>
      <c r="J737" s="4" t="n">
        <v>43116</v>
      </c>
      <c r="K737" t="inlineStr">
        <is>
          <t>2F120374D523630000000268</t>
        </is>
      </c>
    </row>
    <row r="738">
      <c r="A738" t="n">
        <v>26</v>
      </c>
      <c r="B738" t="inlineStr">
        <is>
          <t>SPE5EM-18-V-8169</t>
        </is>
      </c>
      <c r="C738" s="20" t="inlineStr">
        <is>
          <t>Ace Spring</t>
        </is>
      </c>
      <c r="E738" t="n">
        <v>9</v>
      </c>
      <c r="G738" s="230" t="n">
        <v>4894.83</v>
      </c>
      <c r="H738" t="inlineStr">
        <is>
          <t>WJA1926Z</t>
        </is>
      </c>
      <c r="I738" t="inlineStr">
        <is>
          <t>WJAI1926</t>
        </is>
      </c>
      <c r="J738" s="4" t="n">
        <v>43482</v>
      </c>
      <c r="K738" t="inlineStr">
        <is>
          <t>NO</t>
        </is>
      </c>
    </row>
    <row r="739">
      <c r="A739" t="n">
        <v>27</v>
      </c>
      <c r="B739" t="inlineStr">
        <is>
          <t>SPE5EM-19-V-0037</t>
        </is>
      </c>
      <c r="C739" s="20" t="inlineStr">
        <is>
          <t>Ace Spring</t>
        </is>
      </c>
      <c r="E739" t="n">
        <v>10</v>
      </c>
      <c r="G739" s="230" t="n">
        <v>4966.5</v>
      </c>
      <c r="H739" t="inlineStr">
        <is>
          <t>WJA1927Z</t>
        </is>
      </c>
      <c r="I739" t="inlineStr">
        <is>
          <t>WJAI1927</t>
        </is>
      </c>
      <c r="J739" s="4" t="n">
        <v>43482</v>
      </c>
      <c r="K739" t="inlineStr">
        <is>
          <t>no</t>
        </is>
      </c>
    </row>
    <row r="740">
      <c r="A740" t="n">
        <v>28</v>
      </c>
      <c r="B740" t="inlineStr">
        <is>
          <t>SPE7MC-19-V-2823</t>
        </is>
      </c>
      <c r="C740" s="20" t="inlineStr">
        <is>
          <t>GEMS</t>
        </is>
      </c>
      <c r="E740" s="51" t="n">
        <v>6</v>
      </c>
      <c r="G740" s="230" t="n">
        <v>4598.88</v>
      </c>
      <c r="H740" t="inlineStr">
        <is>
          <t>WJA1928Z</t>
        </is>
      </c>
      <c r="I740" t="inlineStr">
        <is>
          <t>WJAI1928</t>
        </is>
      </c>
      <c r="J740" s="4" t="n">
        <v>43483</v>
      </c>
      <c r="K740" t="inlineStr">
        <is>
          <t>2F120374D523630000000269</t>
        </is>
      </c>
    </row>
    <row r="741">
      <c r="A741" t="n">
        <v>29</v>
      </c>
      <c r="B741" t="inlineStr">
        <is>
          <t>SPE7MC-19-V-1225</t>
        </is>
      </c>
      <c r="C741" s="20" t="inlineStr">
        <is>
          <t>Morpac</t>
        </is>
      </c>
      <c r="E741" s="51" t="n">
        <v>6</v>
      </c>
      <c r="G741" s="230" t="n">
        <v>11106</v>
      </c>
      <c r="H741" t="inlineStr">
        <is>
          <t>WJA1929Z</t>
        </is>
      </c>
      <c r="I741" t="inlineStr">
        <is>
          <t>WJAI1929</t>
        </is>
      </c>
      <c r="J741" s="4" t="n">
        <v>43484</v>
      </c>
      <c r="K741" t="inlineStr">
        <is>
          <t>2F120374D52363000000026A</t>
        </is>
      </c>
    </row>
    <row r="742">
      <c r="A742" t="n">
        <v>30</v>
      </c>
      <c r="B742" t="inlineStr">
        <is>
          <t>SPE7M0-19-V-3325</t>
        </is>
      </c>
      <c r="C742" t="inlineStr">
        <is>
          <t>Cameron</t>
        </is>
      </c>
      <c r="E742" t="n">
        <v>1</v>
      </c>
      <c r="G742" s="231" t="n">
        <v>97</v>
      </c>
      <c r="H742" t="inlineStr">
        <is>
          <t>WJA1930</t>
        </is>
      </c>
      <c r="I742" t="inlineStr">
        <is>
          <t>WJAI1930</t>
        </is>
      </c>
      <c r="J742" s="4" t="n">
        <v>43484</v>
      </c>
      <c r="K742" t="inlineStr">
        <is>
          <t>2F120374D52363000000026B</t>
        </is>
      </c>
    </row>
    <row r="743">
      <c r="A743" t="n">
        <v>31</v>
      </c>
      <c r="B743" t="inlineStr">
        <is>
          <t>SPE7M0-19-V-3325</t>
        </is>
      </c>
      <c r="C743" s="20" t="inlineStr">
        <is>
          <t>Cameron</t>
        </is>
      </c>
      <c r="E743" t="n">
        <v>1</v>
      </c>
      <c r="G743" s="230" t="n">
        <v>97</v>
      </c>
      <c r="H743" t="inlineStr">
        <is>
          <t>WJA1931</t>
        </is>
      </c>
      <c r="I743" t="inlineStr">
        <is>
          <t>WJAI1931</t>
        </is>
      </c>
      <c r="J743" s="4" t="n">
        <v>43484</v>
      </c>
      <c r="K743" t="inlineStr">
        <is>
          <t>2F120374D52363000000026C</t>
        </is>
      </c>
    </row>
    <row r="744">
      <c r="A744" t="n">
        <v>32</v>
      </c>
      <c r="B744" t="inlineStr">
        <is>
          <t>SPE7M0-19-V-3325</t>
        </is>
      </c>
      <c r="C744" t="inlineStr">
        <is>
          <t>Cameron</t>
        </is>
      </c>
      <c r="E744" t="n">
        <v>1</v>
      </c>
      <c r="G744" s="231" t="n">
        <v>97</v>
      </c>
      <c r="H744" t="inlineStr">
        <is>
          <t>WJA1932Z</t>
        </is>
      </c>
      <c r="I744" t="inlineStr">
        <is>
          <t>WJAI1932</t>
        </is>
      </c>
      <c r="J744" s="4" t="n">
        <v>43484</v>
      </c>
      <c r="K744" t="inlineStr">
        <is>
          <t>2F120374D52363000000026D</t>
        </is>
      </c>
    </row>
    <row r="745">
      <c r="A745" t="n">
        <v>33</v>
      </c>
      <c r="B745" t="inlineStr">
        <is>
          <t>SPE5E4-18-V-8477</t>
        </is>
      </c>
      <c r="C745" s="20" t="inlineStr">
        <is>
          <t>AVIBANK</t>
        </is>
      </c>
      <c r="E745" s="51" t="n">
        <v>13</v>
      </c>
      <c r="G745" s="262" t="n">
        <v>1036.62</v>
      </c>
      <c r="H745" t="inlineStr">
        <is>
          <t>WJA1933Z</t>
        </is>
      </c>
      <c r="I745" t="inlineStr">
        <is>
          <t>WJAI1933</t>
        </is>
      </c>
      <c r="J745" s="4" t="n">
        <v>43486</v>
      </c>
      <c r="K745" t="inlineStr">
        <is>
          <t>2F120374D52363000000026E</t>
        </is>
      </c>
    </row>
    <row r="746">
      <c r="A746" t="n">
        <v>34</v>
      </c>
      <c r="B746" t="inlineStr">
        <is>
          <t>SPE5E4-18-V-6102</t>
        </is>
      </c>
      <c r="C746" s="20" t="inlineStr">
        <is>
          <t>AVIBANK</t>
        </is>
      </c>
      <c r="E746" s="51" t="n">
        <v>15</v>
      </c>
      <c r="G746" s="230" t="n">
        <v>2516.55</v>
      </c>
      <c r="H746" t="inlineStr">
        <is>
          <t>WJA1934Z</t>
        </is>
      </c>
      <c r="I746" t="inlineStr">
        <is>
          <t>WJAI1934</t>
        </is>
      </c>
      <c r="J746" s="4" t="n">
        <v>43486</v>
      </c>
      <c r="K746" t="inlineStr">
        <is>
          <t>2F120374D52363000000026F</t>
        </is>
      </c>
    </row>
    <row r="747">
      <c r="A747" t="n">
        <v>35</v>
      </c>
      <c r="B747" t="inlineStr">
        <is>
          <t>SPE7MC-19-V-3200</t>
        </is>
      </c>
      <c r="C747" s="20" t="inlineStr">
        <is>
          <t>PBM</t>
        </is>
      </c>
      <c r="E747" s="51" t="n">
        <v>4</v>
      </c>
      <c r="G747" s="262" t="n">
        <v>669.4400000000001</v>
      </c>
      <c r="H747" t="inlineStr">
        <is>
          <t>WJA1935Z</t>
        </is>
      </c>
      <c r="I747" t="inlineStr">
        <is>
          <t>WJAI1935</t>
        </is>
      </c>
      <c r="J747" s="4" t="n">
        <v>43486</v>
      </c>
      <c r="K747" t="inlineStr">
        <is>
          <t>2F120374D523630000000270</t>
        </is>
      </c>
    </row>
    <row r="748">
      <c r="A748" t="n">
        <v>36</v>
      </c>
      <c r="B748" t="inlineStr">
        <is>
          <t>SPE4A6-19-P-2562</t>
        </is>
      </c>
      <c r="C748" s="20" t="inlineStr">
        <is>
          <t>Gems</t>
        </is>
      </c>
      <c r="E748" s="51" t="n">
        <v>4</v>
      </c>
      <c r="G748" s="230" t="n">
        <v>7301.52</v>
      </c>
      <c r="H748" t="inlineStr">
        <is>
          <t>WJA1936</t>
        </is>
      </c>
      <c r="I748" t="inlineStr">
        <is>
          <t>WJAI1936</t>
        </is>
      </c>
      <c r="J748" s="4" t="n">
        <v>43486</v>
      </c>
      <c r="K748" t="inlineStr">
        <is>
          <t>2F120374D523630000000271</t>
        </is>
      </c>
    </row>
    <row r="749">
      <c r="A749" t="n">
        <v>37</v>
      </c>
      <c r="B749" t="inlineStr">
        <is>
          <t>SPE4A6-19-P-2562</t>
        </is>
      </c>
      <c r="C749" s="20" t="inlineStr">
        <is>
          <t>Gems</t>
        </is>
      </c>
      <c r="E749" s="51" t="n">
        <v>4</v>
      </c>
      <c r="G749" s="230" t="n">
        <v>7301.52</v>
      </c>
      <c r="H749" t="inlineStr">
        <is>
          <t>WJA1937</t>
        </is>
      </c>
      <c r="I749" t="inlineStr">
        <is>
          <t>WJAI1937</t>
        </is>
      </c>
      <c r="J749" s="4" t="n">
        <v>43486</v>
      </c>
      <c r="K749" t="inlineStr">
        <is>
          <t>2F120374D523630000000272</t>
        </is>
      </c>
    </row>
    <row r="750">
      <c r="A750" t="n">
        <v>38</v>
      </c>
      <c r="B750" t="inlineStr">
        <is>
          <t>SPE4A6-19-P-2562</t>
        </is>
      </c>
      <c r="C750" s="20" t="inlineStr">
        <is>
          <t>Gems</t>
        </is>
      </c>
      <c r="E750" s="51" t="n">
        <v>3</v>
      </c>
      <c r="G750" s="230" t="n">
        <v>5476.14</v>
      </c>
      <c r="H750" t="inlineStr">
        <is>
          <t>WJA1938Z</t>
        </is>
      </c>
      <c r="I750" t="inlineStr">
        <is>
          <t>WJAI1938</t>
        </is>
      </c>
      <c r="J750" s="4" t="n">
        <v>43486</v>
      </c>
      <c r="K750" t="inlineStr">
        <is>
          <t>2F120374D523630000000273</t>
        </is>
      </c>
    </row>
    <row r="751">
      <c r="A751" t="n">
        <v>39</v>
      </c>
      <c r="B751" t="inlineStr">
        <is>
          <t>SPE7M1-19-V-0907</t>
        </is>
      </c>
      <c r="C751" s="20" t="inlineStr">
        <is>
          <t>Morpac</t>
        </is>
      </c>
      <c r="E751" s="51" t="n">
        <v>2</v>
      </c>
      <c r="G751" s="230" t="n">
        <v>9023.24</v>
      </c>
      <c r="H751" t="inlineStr">
        <is>
          <t>WJA1939</t>
        </is>
      </c>
      <c r="I751" t="inlineStr">
        <is>
          <t>WJAI1939</t>
        </is>
      </c>
      <c r="J751" s="4" t="n">
        <v>43487</v>
      </c>
      <c r="K751" t="inlineStr">
        <is>
          <t>2F120374D523630000000274</t>
        </is>
      </c>
    </row>
    <row r="752">
      <c r="A752" t="n">
        <v>40</v>
      </c>
      <c r="B752" t="inlineStr">
        <is>
          <t>SPE7M1-19-V-0907</t>
        </is>
      </c>
      <c r="C752" s="20" t="inlineStr">
        <is>
          <t>Morpac</t>
        </is>
      </c>
      <c r="E752" s="51" t="n">
        <v>2</v>
      </c>
      <c r="G752" s="230" t="n">
        <v>9023.24</v>
      </c>
      <c r="H752" t="inlineStr">
        <is>
          <t>WJA1940Z</t>
        </is>
      </c>
      <c r="I752" t="inlineStr">
        <is>
          <t>WJAI1940</t>
        </is>
      </c>
      <c r="J752" s="4" t="n">
        <v>43487</v>
      </c>
      <c r="K752" t="inlineStr">
        <is>
          <t>2F120374D523630000000275</t>
        </is>
      </c>
    </row>
    <row r="753">
      <c r="A753" t="n">
        <v>41</v>
      </c>
      <c r="B753" t="inlineStr">
        <is>
          <t>SPE7M0-19-V-3206</t>
        </is>
      </c>
      <c r="C753" s="20" t="inlineStr">
        <is>
          <t>HIAB</t>
        </is>
      </c>
      <c r="E753" s="51" t="n">
        <v>14</v>
      </c>
      <c r="G753" s="230" t="n">
        <v>1809.22</v>
      </c>
      <c r="H753" t="inlineStr">
        <is>
          <t>WJA1941Z</t>
        </is>
      </c>
      <c r="I753" t="inlineStr">
        <is>
          <t>WJAI1941</t>
        </is>
      </c>
      <c r="J753" s="4" t="n">
        <v>43124</v>
      </c>
      <c r="K753" t="inlineStr">
        <is>
          <t>2F120374D523630000000276</t>
        </is>
      </c>
    </row>
    <row r="754">
      <c r="A754" t="n">
        <v>42</v>
      </c>
      <c r="B754" t="inlineStr">
        <is>
          <t>SPE4A6-18-V-515Q</t>
        </is>
      </c>
      <c r="C754" s="20" t="inlineStr">
        <is>
          <t>AVIBANK</t>
        </is>
      </c>
      <c r="E754" s="51" t="n">
        <v>51</v>
      </c>
      <c r="G754" s="230" t="n">
        <v>584.46</v>
      </c>
      <c r="H754" t="inlineStr">
        <is>
          <t>WJA1942Z</t>
        </is>
      </c>
      <c r="I754" t="inlineStr">
        <is>
          <t>WJAI1942</t>
        </is>
      </c>
      <c r="J754" s="4" t="n">
        <v>43124</v>
      </c>
      <c r="K754" t="inlineStr">
        <is>
          <t>2F120374D523630000000277</t>
        </is>
      </c>
    </row>
    <row r="755">
      <c r="A755" t="n">
        <v>43</v>
      </c>
      <c r="B755" t="inlineStr">
        <is>
          <t>SPE7M5-18-V-151U</t>
        </is>
      </c>
      <c r="C755" s="20" t="inlineStr">
        <is>
          <t>Phenix</t>
        </is>
      </c>
      <c r="E755" s="51" t="n">
        <v>14</v>
      </c>
      <c r="G755" s="262" t="n">
        <v>1476.44</v>
      </c>
      <c r="H755" t="inlineStr">
        <is>
          <t>WJA1943Z</t>
        </is>
      </c>
      <c r="I755" t="inlineStr">
        <is>
          <t>WJAI1943</t>
        </is>
      </c>
      <c r="J755" s="4" t="n">
        <v>43124</v>
      </c>
      <c r="K755" t="inlineStr">
        <is>
          <t>2F120374D523630000000278</t>
        </is>
      </c>
    </row>
    <row r="756">
      <c r="A756" t="n">
        <v>44</v>
      </c>
      <c r="B756" t="inlineStr">
        <is>
          <t>SPE7M1-19-V-3033</t>
        </is>
      </c>
      <c r="C756" s="20" t="inlineStr">
        <is>
          <t>DRUCK</t>
        </is>
      </c>
      <c r="E756" s="51" t="n">
        <v>5</v>
      </c>
      <c r="G756" s="230" t="n">
        <v>4407.65</v>
      </c>
      <c r="H756" t="inlineStr">
        <is>
          <t>WJA1944Z</t>
        </is>
      </c>
      <c r="I756" t="inlineStr">
        <is>
          <t>WJAI1944</t>
        </is>
      </c>
      <c r="J756" s="4" t="n">
        <v>43124</v>
      </c>
      <c r="K756" t="inlineStr">
        <is>
          <t>2F120374D523630000000279</t>
        </is>
      </c>
    </row>
    <row r="757">
      <c r="A757" t="n">
        <v>45</v>
      </c>
      <c r="B757" t="inlineStr">
        <is>
          <t>SPE5E7-19-V-1811</t>
        </is>
      </c>
      <c r="C757" s="20" t="inlineStr">
        <is>
          <t>HIAB</t>
        </is>
      </c>
      <c r="E757" s="51" t="n">
        <v>1</v>
      </c>
      <c r="G757" s="230" t="n">
        <v>3251</v>
      </c>
      <c r="H757" t="inlineStr">
        <is>
          <t>WJA1945Z</t>
        </is>
      </c>
      <c r="I757" t="inlineStr">
        <is>
          <t>WJAI1945</t>
        </is>
      </c>
      <c r="J757" s="4" t="n">
        <v>43490</v>
      </c>
      <c r="K757" t="inlineStr">
        <is>
          <t>no</t>
        </is>
      </c>
    </row>
    <row r="758">
      <c r="A758" t="n">
        <v>46</v>
      </c>
      <c r="B758" t="inlineStr">
        <is>
          <t>SPE8E8-19-P-0195</t>
        </is>
      </c>
      <c r="C758" s="20" t="inlineStr">
        <is>
          <t>INDECO</t>
        </is>
      </c>
      <c r="E758" s="51" t="n">
        <v>6</v>
      </c>
      <c r="G758" s="262" t="n">
        <v>4666.74</v>
      </c>
      <c r="H758" t="inlineStr">
        <is>
          <t>WJA1946</t>
        </is>
      </c>
      <c r="I758" t="inlineStr">
        <is>
          <t>WJAI1946</t>
        </is>
      </c>
      <c r="J758" s="4" t="n">
        <v>43490</v>
      </c>
      <c r="K758" t="inlineStr">
        <is>
          <t>2F120374D52363000000027A</t>
        </is>
      </c>
    </row>
    <row r="759">
      <c r="A759" t="n">
        <v>47</v>
      </c>
      <c r="B759" t="inlineStr">
        <is>
          <t>SPE8E8-19-P-0195</t>
        </is>
      </c>
      <c r="C759" s="20" t="inlineStr">
        <is>
          <t>INDECO</t>
        </is>
      </c>
      <c r="E759" s="51" t="n">
        <v>6</v>
      </c>
      <c r="G759" s="262" t="n">
        <v>4666.74</v>
      </c>
      <c r="H759" t="inlineStr">
        <is>
          <t>WJA1947Z</t>
        </is>
      </c>
      <c r="I759" t="inlineStr">
        <is>
          <t>WJAI1947</t>
        </is>
      </c>
      <c r="J759" s="4" t="n">
        <v>43493</v>
      </c>
      <c r="K759" t="inlineStr">
        <is>
          <t>2F120374D52363000000027B</t>
        </is>
      </c>
    </row>
    <row r="760">
      <c r="A760" t="n">
        <v>48</v>
      </c>
      <c r="B760" t="inlineStr">
        <is>
          <t>SPE7M1-19-V-1816</t>
        </is>
      </c>
      <c r="C760" s="20" t="inlineStr">
        <is>
          <t>MORPAC</t>
        </is>
      </c>
      <c r="E760" s="51" t="n">
        <v>1</v>
      </c>
      <c r="G760" s="262" t="n">
        <v>4556</v>
      </c>
      <c r="H760" t="inlineStr">
        <is>
          <t>WJA1948</t>
        </is>
      </c>
      <c r="I760" t="inlineStr">
        <is>
          <t>WJAI1948</t>
        </is>
      </c>
      <c r="J760" s="4" t="n">
        <v>43490</v>
      </c>
      <c r="K760" t="inlineStr">
        <is>
          <t>2F120374D52363000000027C</t>
        </is>
      </c>
    </row>
    <row r="761">
      <c r="A761" t="n">
        <v>49</v>
      </c>
      <c r="B761" t="inlineStr">
        <is>
          <t>SPE7M1-19-V-1816</t>
        </is>
      </c>
      <c r="C761" s="20" t="inlineStr">
        <is>
          <t>MORPAC</t>
        </is>
      </c>
      <c r="E761" s="51" t="n">
        <v>1</v>
      </c>
      <c r="G761" s="262" t="n">
        <v>4556</v>
      </c>
      <c r="H761" t="inlineStr">
        <is>
          <t>WJA1949Z</t>
        </is>
      </c>
      <c r="I761" t="inlineStr">
        <is>
          <t>WJAI1949</t>
        </is>
      </c>
      <c r="J761" s="4" t="n">
        <v>43490</v>
      </c>
      <c r="K761" t="inlineStr">
        <is>
          <t>2F120374D52363000000027D</t>
        </is>
      </c>
    </row>
    <row r="762">
      <c r="A762" t="n">
        <v>50</v>
      </c>
      <c r="B762" t="inlineStr">
        <is>
          <t>SPE4A6-19-V-2008</t>
        </is>
      </c>
      <c r="C762" s="20" t="inlineStr">
        <is>
          <t>INDECO</t>
        </is>
      </c>
      <c r="E762" s="51" t="n">
        <v>2</v>
      </c>
      <c r="G762" s="262" t="n">
        <v>192.96</v>
      </c>
      <c r="H762" t="inlineStr">
        <is>
          <t>WJA1950Z</t>
        </is>
      </c>
      <c r="I762" t="inlineStr">
        <is>
          <t>WJAI1950</t>
        </is>
      </c>
      <c r="J762" s="4" t="n">
        <v>43493</v>
      </c>
      <c r="K762" t="inlineStr">
        <is>
          <t>no</t>
        </is>
      </c>
    </row>
    <row r="763">
      <c r="A763" t="n">
        <v>51</v>
      </c>
      <c r="B763" t="inlineStr">
        <is>
          <t>SPE4A6-19-P-5782</t>
        </is>
      </c>
      <c r="C763" s="20" t="inlineStr">
        <is>
          <t>INDECO</t>
        </is>
      </c>
      <c r="E763" s="51" t="n">
        <v>1</v>
      </c>
      <c r="G763" s="262" t="n">
        <v>98.72</v>
      </c>
      <c r="H763" t="inlineStr">
        <is>
          <t>WJA1951Z</t>
        </is>
      </c>
      <c r="I763" t="inlineStr">
        <is>
          <t>WJAI1951</t>
        </is>
      </c>
      <c r="J763" s="4" t="n">
        <v>43493</v>
      </c>
      <c r="K763" t="inlineStr">
        <is>
          <t>no</t>
        </is>
      </c>
    </row>
    <row r="764">
      <c r="A764" t="n">
        <v>52</v>
      </c>
      <c r="B764" t="inlineStr">
        <is>
          <t>SPE7M5-19-V-0118</t>
        </is>
      </c>
      <c r="C764" s="20" t="inlineStr">
        <is>
          <t>Glenair</t>
        </is>
      </c>
      <c r="E764" s="51" t="n">
        <v>35</v>
      </c>
      <c r="G764" s="230" t="n">
        <v>5735.45</v>
      </c>
      <c r="H764" t="inlineStr">
        <is>
          <t>WJA1952Z</t>
        </is>
      </c>
      <c r="I764" t="inlineStr">
        <is>
          <t>WJAI1952</t>
        </is>
      </c>
      <c r="J764" s="4" t="n">
        <v>43493</v>
      </c>
      <c r="K764" t="inlineStr">
        <is>
          <t>2F120374D52363000000027E</t>
        </is>
      </c>
    </row>
    <row r="765">
      <c r="A765" t="n">
        <v>53</v>
      </c>
      <c r="B765" t="inlineStr">
        <is>
          <t>SPE5E9-18-P-2332</t>
        </is>
      </c>
      <c r="C765" s="20" t="inlineStr">
        <is>
          <t>AVIBANK</t>
        </is>
      </c>
      <c r="E765" s="51" t="n">
        <v>8</v>
      </c>
      <c r="G765" s="262" t="n">
        <v>879.84</v>
      </c>
      <c r="H765" t="inlineStr">
        <is>
          <t>WJA1953Z</t>
        </is>
      </c>
      <c r="I765" t="inlineStr">
        <is>
          <t>WJAI1953</t>
        </is>
      </c>
      <c r="J765" s="4" t="n">
        <v>43493</v>
      </c>
      <c r="K765" t="inlineStr">
        <is>
          <t>no</t>
        </is>
      </c>
    </row>
    <row r="766">
      <c r="A766" t="n">
        <v>54</v>
      </c>
      <c r="B766" t="inlineStr">
        <is>
          <t>SPE4A0-18-V-1442</t>
        </is>
      </c>
      <c r="C766" s="20" t="inlineStr">
        <is>
          <t>AVIBANK</t>
        </is>
      </c>
      <c r="E766" s="51" t="n">
        <v>9</v>
      </c>
      <c r="G766" s="262" t="n">
        <v>672.12</v>
      </c>
      <c r="H766" t="inlineStr">
        <is>
          <t>WJA1954Z</t>
        </is>
      </c>
      <c r="I766" t="inlineStr">
        <is>
          <t>WJAI1954</t>
        </is>
      </c>
      <c r="J766" s="4" t="n">
        <v>43493</v>
      </c>
    </row>
    <row r="767">
      <c r="A767" t="n">
        <v>55</v>
      </c>
      <c r="B767" t="inlineStr">
        <is>
          <t>SPE4A6-19-V-2772</t>
        </is>
      </c>
      <c r="C767" s="20" t="inlineStr">
        <is>
          <t>KONSBERG</t>
        </is>
      </c>
      <c r="E767" s="51" t="n">
        <v>11</v>
      </c>
      <c r="G767" s="230" t="n">
        <v>9168.059999999999</v>
      </c>
      <c r="H767" t="inlineStr">
        <is>
          <t>WJA1955Z</t>
        </is>
      </c>
      <c r="I767" t="inlineStr">
        <is>
          <t>WJAI1955</t>
        </is>
      </c>
      <c r="J767" s="4" t="n">
        <v>43493</v>
      </c>
      <c r="K767" t="inlineStr">
        <is>
          <t>2F120374D52363000000027F</t>
        </is>
      </c>
    </row>
    <row r="768">
      <c r="A768" t="n">
        <v>56</v>
      </c>
      <c r="B768" t="inlineStr">
        <is>
          <t>SPE7M1-19-V-3044</t>
        </is>
      </c>
      <c r="C768" s="20" t="inlineStr">
        <is>
          <t>PBM</t>
        </is>
      </c>
      <c r="E768" s="51" t="n">
        <v>2</v>
      </c>
      <c r="G768" s="262" t="n">
        <v>997.38</v>
      </c>
      <c r="H768" t="inlineStr">
        <is>
          <t>WJA1956Z</t>
        </is>
      </c>
      <c r="I768" t="inlineStr">
        <is>
          <t>WJAI1956</t>
        </is>
      </c>
      <c r="J768" s="4" t="n">
        <v>43494</v>
      </c>
      <c r="K768" t="inlineStr">
        <is>
          <t>2F120374D523630000000280</t>
        </is>
      </c>
    </row>
    <row r="769">
      <c r="A769" t="n">
        <v>57</v>
      </c>
      <c r="B769" t="inlineStr">
        <is>
          <t>SPE7M1-19-V-0399</t>
        </is>
      </c>
      <c r="C769" s="20" t="inlineStr">
        <is>
          <t>Glenair</t>
        </is>
      </c>
      <c r="E769" s="51" t="n">
        <v>2</v>
      </c>
      <c r="G769" s="230" t="n">
        <v>1325.58</v>
      </c>
      <c r="H769" t="inlineStr">
        <is>
          <t>WJA1957Z</t>
        </is>
      </c>
      <c r="I769" t="inlineStr">
        <is>
          <t>WJAI1957</t>
        </is>
      </c>
      <c r="J769" s="4" t="n">
        <v>43494</v>
      </c>
      <c r="K769" t="inlineStr">
        <is>
          <t>2F120374D523630000000281</t>
        </is>
      </c>
    </row>
    <row r="770">
      <c r="A770" t="n">
        <v>58</v>
      </c>
      <c r="B770" t="inlineStr">
        <is>
          <t>SPE7M5-19-V-3573</t>
        </is>
      </c>
      <c r="C770" s="20" t="inlineStr">
        <is>
          <t>Glenair</t>
        </is>
      </c>
      <c r="E770" s="51" t="n">
        <v>13</v>
      </c>
      <c r="G770" s="230" t="n">
        <v>2598.96</v>
      </c>
      <c r="H770" t="inlineStr">
        <is>
          <t>WJA1958Z</t>
        </is>
      </c>
      <c r="I770" t="inlineStr">
        <is>
          <t>WJAI1958</t>
        </is>
      </c>
      <c r="J770" s="4" t="n">
        <v>43494</v>
      </c>
      <c r="K770" t="inlineStr">
        <is>
          <t>2F120374D523630000000282</t>
        </is>
      </c>
    </row>
    <row r="771">
      <c r="A771" t="n">
        <v>59</v>
      </c>
      <c r="B771" t="inlineStr">
        <is>
          <t>SPE7M5-18-V-157G</t>
        </is>
      </c>
      <c r="C771" s="20" t="inlineStr">
        <is>
          <t>Glenair</t>
        </is>
      </c>
      <c r="E771" s="51" t="n">
        <v>432</v>
      </c>
      <c r="G771" s="230" t="n">
        <v>9482.4</v>
      </c>
      <c r="H771" t="inlineStr">
        <is>
          <t>WJA1959Z</t>
        </is>
      </c>
      <c r="I771" t="inlineStr">
        <is>
          <t>WJAI1959</t>
        </is>
      </c>
      <c r="J771" s="4" t="n">
        <v>43495</v>
      </c>
      <c r="K771" t="inlineStr">
        <is>
          <t>2F120374D523630000000283</t>
        </is>
      </c>
    </row>
    <row r="772">
      <c r="A772" t="n">
        <v>60</v>
      </c>
      <c r="B772" t="inlineStr">
        <is>
          <t>SPE7M5-18-V-140Z</t>
        </is>
      </c>
      <c r="C772" s="20" t="inlineStr">
        <is>
          <t>Phenix</t>
        </is>
      </c>
      <c r="E772" s="51" t="n">
        <v>167</v>
      </c>
      <c r="G772" s="230" t="n">
        <v>9417.129999999999</v>
      </c>
      <c r="H772" t="inlineStr">
        <is>
          <t>WJA1960Z</t>
        </is>
      </c>
      <c r="I772" t="inlineStr">
        <is>
          <t>WJAI1960</t>
        </is>
      </c>
      <c r="J772" s="4" t="n">
        <v>43496</v>
      </c>
      <c r="K772" t="inlineStr">
        <is>
          <t>2F120374D523630000000284</t>
        </is>
      </c>
    </row>
    <row r="773">
      <c r="E773" s="51" t="n"/>
      <c r="G773" s="264">
        <f>SUM(G713:G772)</f>
        <v/>
      </c>
      <c r="J773" s="4" t="n"/>
    </row>
    <row r="774">
      <c r="B774" s="164" t="n">
        <v>43497</v>
      </c>
      <c r="E774" s="51" t="n"/>
      <c r="G774" s="46" t="n"/>
      <c r="J774" s="4" t="n"/>
    </row>
    <row r="775">
      <c r="A775" t="n">
        <v>1</v>
      </c>
      <c r="B775" t="inlineStr">
        <is>
          <t>SPE7MC-18-V-070R</t>
        </is>
      </c>
      <c r="C775" s="20" t="inlineStr">
        <is>
          <t>ERA</t>
        </is>
      </c>
      <c r="E775" s="51" t="n">
        <v>7</v>
      </c>
      <c r="G775" s="230" t="n">
        <v>9790.83</v>
      </c>
      <c r="H775" t="inlineStr">
        <is>
          <t>WJA1961Z</t>
        </is>
      </c>
      <c r="I775" t="inlineStr">
        <is>
          <t>WJAI1961</t>
        </is>
      </c>
      <c r="J775" s="4" t="n">
        <v>43497</v>
      </c>
      <c r="K775" t="inlineStr">
        <is>
          <t>2F120374D523630000000285</t>
        </is>
      </c>
    </row>
    <row r="776">
      <c r="A776" t="n">
        <v>2</v>
      </c>
      <c r="B776" t="inlineStr">
        <is>
          <t>SPE7M5-19-V-1575</t>
        </is>
      </c>
      <c r="C776" s="20" t="inlineStr">
        <is>
          <t>Glenair</t>
        </is>
      </c>
      <c r="E776" s="51" t="n">
        <v>14</v>
      </c>
      <c r="G776" s="230" t="n">
        <v>4446.68</v>
      </c>
      <c r="H776" t="inlineStr">
        <is>
          <t>WJA1962Z</t>
        </is>
      </c>
      <c r="I776" t="inlineStr">
        <is>
          <t>WJAI1962</t>
        </is>
      </c>
      <c r="J776" s="4" t="n">
        <v>43497</v>
      </c>
      <c r="K776" t="inlineStr">
        <is>
          <t>2F120374D523630000000286</t>
        </is>
      </c>
    </row>
    <row r="777">
      <c r="A777" t="n">
        <v>3</v>
      </c>
      <c r="B777" t="inlineStr">
        <is>
          <t>SPE7M1-19-V-2669</t>
        </is>
      </c>
      <c r="C777" s="20" t="inlineStr">
        <is>
          <t>The Lee</t>
        </is>
      </c>
      <c r="E777" s="51" t="n">
        <v>11</v>
      </c>
      <c r="G777" s="230" t="n">
        <v>6853</v>
      </c>
      <c r="H777" t="inlineStr">
        <is>
          <t>WJA1963Z</t>
        </is>
      </c>
      <c r="I777" t="inlineStr">
        <is>
          <t>WJAI1963</t>
        </is>
      </c>
      <c r="J777" s="4" t="n">
        <v>43501</v>
      </c>
      <c r="K777" t="inlineStr">
        <is>
          <t>2F120374D523630000000287</t>
        </is>
      </c>
    </row>
    <row r="778">
      <c r="A778" t="n">
        <v>4</v>
      </c>
      <c r="B778" t="inlineStr">
        <is>
          <t>SPE7L5-19-V-0376</t>
        </is>
      </c>
      <c r="C778" s="20" t="inlineStr">
        <is>
          <t>PG</t>
        </is>
      </c>
      <c r="E778" s="51" t="n">
        <v>31</v>
      </c>
      <c r="G778" s="230" t="n">
        <v>11244.94</v>
      </c>
      <c r="H778" t="inlineStr">
        <is>
          <t>WJA1964Z</t>
        </is>
      </c>
      <c r="I778" t="inlineStr">
        <is>
          <t>WJAI1964</t>
        </is>
      </c>
      <c r="J778" s="4" t="n">
        <v>43504</v>
      </c>
      <c r="K778" t="inlineStr">
        <is>
          <t>2F120374D523630000000288</t>
        </is>
      </c>
    </row>
    <row r="779">
      <c r="A779" t="n">
        <v>5</v>
      </c>
      <c r="B779" t="inlineStr">
        <is>
          <t>SPE7M8-19-V-0763</t>
        </is>
      </c>
      <c r="C779" s="20" t="inlineStr">
        <is>
          <t>Glenair</t>
        </is>
      </c>
      <c r="E779" s="51" t="n">
        <v>25</v>
      </c>
      <c r="G779" s="230" t="n">
        <v>7343.5</v>
      </c>
      <c r="H779" t="inlineStr">
        <is>
          <t>WJA1965Z</t>
        </is>
      </c>
      <c r="I779" t="inlineStr">
        <is>
          <t>WJAI1965</t>
        </is>
      </c>
      <c r="K779" t="inlineStr">
        <is>
          <t>2F120374D523630000000289</t>
        </is>
      </c>
    </row>
    <row r="780">
      <c r="A780" t="n">
        <v>6</v>
      </c>
      <c r="B780" t="inlineStr">
        <is>
          <t>SPE7M9-18-V-0722</t>
        </is>
      </c>
      <c r="C780" s="20" t="inlineStr">
        <is>
          <t>Glenair</t>
        </is>
      </c>
      <c r="E780" s="51" t="n">
        <v>8</v>
      </c>
      <c r="G780" s="230" t="n">
        <v>33825.28</v>
      </c>
      <c r="H780" t="inlineStr">
        <is>
          <t>WJA1966Z</t>
        </is>
      </c>
      <c r="I780" t="inlineStr">
        <is>
          <t>WJAI1966</t>
        </is>
      </c>
      <c r="J780" s="4" t="n">
        <v>43503</v>
      </c>
      <c r="K780" t="inlineStr">
        <is>
          <t>2F120374D52363000000028A</t>
        </is>
      </c>
    </row>
    <row r="781">
      <c r="A781" t="n">
        <v>7</v>
      </c>
      <c r="B781" t="inlineStr">
        <is>
          <t>SPE5EM-18-P-1770</t>
        </is>
      </c>
      <c r="C781" s="20" t="inlineStr">
        <is>
          <t>MorrisCrane</t>
        </is>
      </c>
      <c r="E781" s="51" t="n">
        <v>10</v>
      </c>
      <c r="G781" s="230" t="n">
        <v>1108.6</v>
      </c>
      <c r="H781" t="inlineStr">
        <is>
          <t>WJA1967Z</t>
        </is>
      </c>
      <c r="I781" t="inlineStr">
        <is>
          <t>WJAI1967</t>
        </is>
      </c>
      <c r="J781" s="4" t="n">
        <v>43504</v>
      </c>
      <c r="K781" t="inlineStr">
        <is>
          <t>2F120374D52363000000028B</t>
        </is>
      </c>
    </row>
    <row r="782">
      <c r="A782" t="n">
        <v>8</v>
      </c>
      <c r="B782" t="inlineStr">
        <is>
          <t>SPE7M5-19-V-4861</t>
        </is>
      </c>
      <c r="C782" s="20" t="inlineStr">
        <is>
          <t>C&amp;S</t>
        </is>
      </c>
      <c r="E782" s="51" t="n">
        <v>9</v>
      </c>
      <c r="G782" s="230" t="n">
        <v>2546.1</v>
      </c>
      <c r="H782" t="inlineStr">
        <is>
          <t>WJA1968Z</t>
        </is>
      </c>
      <c r="I782" t="inlineStr">
        <is>
          <t>WJAI1969</t>
        </is>
      </c>
      <c r="J782" s="4" t="n">
        <v>43507</v>
      </c>
      <c r="K782" t="inlineStr">
        <is>
          <t>2F120374D52363000000028C</t>
        </is>
      </c>
    </row>
    <row r="783">
      <c r="A783" t="n">
        <v>9</v>
      </c>
      <c r="B783" t="inlineStr">
        <is>
          <t>SPE7M1-18-P-6931</t>
        </is>
      </c>
      <c r="C783" s="20" t="inlineStr">
        <is>
          <t>GEMS</t>
        </is>
      </c>
      <c r="E783" s="51" t="n">
        <v>1</v>
      </c>
      <c r="G783" s="263" t="n">
        <v>6862.89</v>
      </c>
      <c r="H783" t="inlineStr">
        <is>
          <t>WJA1968Z</t>
        </is>
      </c>
      <c r="I783" t="inlineStr">
        <is>
          <t>WJAI1970</t>
        </is>
      </c>
      <c r="J783" s="4" t="n">
        <v>43507</v>
      </c>
      <c r="K783" t="inlineStr">
        <is>
          <t>2F120374D52363000000028D</t>
        </is>
      </c>
    </row>
    <row r="784">
      <c r="A784" t="n">
        <v>10</v>
      </c>
      <c r="B784" t="inlineStr">
        <is>
          <t>SPE7M8-19-P-0704</t>
        </is>
      </c>
      <c r="C784" s="20" t="inlineStr">
        <is>
          <t>GEMS</t>
        </is>
      </c>
      <c r="E784" s="51" t="n">
        <v>6</v>
      </c>
      <c r="G784" s="230" t="n">
        <v>5519.82</v>
      </c>
      <c r="H784" t="inlineStr">
        <is>
          <t>WJA1970Z</t>
        </is>
      </c>
      <c r="I784" t="inlineStr">
        <is>
          <t>WJAI1968</t>
        </is>
      </c>
      <c r="J784" s="4" t="n">
        <v>43507</v>
      </c>
      <c r="K784" t="inlineStr">
        <is>
          <t>2F120374D52363000000028E</t>
        </is>
      </c>
    </row>
    <row r="785">
      <c r="A785" t="n">
        <v>11</v>
      </c>
      <c r="B785" t="inlineStr">
        <is>
          <t>SPE7M3-19-V-1532</t>
        </is>
      </c>
      <c r="C785" s="20" t="inlineStr">
        <is>
          <t>General Rubber</t>
        </is>
      </c>
      <c r="E785" s="51" t="n">
        <v>11</v>
      </c>
      <c r="G785" s="230" t="n">
        <v>3127.96</v>
      </c>
      <c r="H785" t="inlineStr">
        <is>
          <t>WJA1971Z</t>
        </is>
      </c>
      <c r="I785" t="inlineStr">
        <is>
          <t>WJAI1969</t>
        </is>
      </c>
      <c r="J785" s="4" t="n">
        <v>43508</v>
      </c>
      <c r="K785" t="inlineStr">
        <is>
          <t>2F120374D52363000000028F</t>
        </is>
      </c>
    </row>
    <row r="786">
      <c r="A786" t="n">
        <v>12</v>
      </c>
      <c r="B786" t="inlineStr">
        <is>
          <t>SPE5EK-19-V-1672</t>
        </is>
      </c>
      <c r="C786" s="20" t="inlineStr">
        <is>
          <t>Tim Price</t>
        </is>
      </c>
      <c r="E786" s="51" t="n">
        <v>4</v>
      </c>
      <c r="G786" s="230" t="n">
        <v>2826.92</v>
      </c>
      <c r="H786" t="inlineStr">
        <is>
          <t>WJA1972Z</t>
        </is>
      </c>
      <c r="I786" t="inlineStr">
        <is>
          <t>WJAI1972</t>
        </is>
      </c>
      <c r="J786" s="4" t="n">
        <v>43508</v>
      </c>
      <c r="K786" t="inlineStr">
        <is>
          <t>2F120374D523630000000290</t>
        </is>
      </c>
    </row>
    <row r="787">
      <c r="A787" t="n">
        <v>13</v>
      </c>
      <c r="B787" t="inlineStr">
        <is>
          <t>SPE7M8-19-P-1289</t>
        </is>
      </c>
      <c r="C787" s="49" t="inlineStr">
        <is>
          <t>Indeco</t>
        </is>
      </c>
      <c r="E787" s="51" t="n">
        <v>8</v>
      </c>
      <c r="G787" s="230" t="n">
        <v>538.4</v>
      </c>
      <c r="H787" t="inlineStr">
        <is>
          <t>WJA1972Z</t>
        </is>
      </c>
      <c r="I787" t="inlineStr">
        <is>
          <t>WJAI1973</t>
        </is>
      </c>
      <c r="J787" s="4" t="n">
        <v>43508</v>
      </c>
      <c r="K787" t="inlineStr">
        <is>
          <t>2F120374D523630000000291</t>
        </is>
      </c>
    </row>
    <row r="788">
      <c r="A788" t="n">
        <v>14</v>
      </c>
      <c r="B788" t="inlineStr">
        <is>
          <t>SPE7L7-19-V-0436</t>
        </is>
      </c>
      <c r="C788" s="20" t="inlineStr">
        <is>
          <t>Ultavolt</t>
        </is>
      </c>
      <c r="E788" s="51" t="n">
        <v>3</v>
      </c>
      <c r="G788" s="230" t="n">
        <v>3963</v>
      </c>
      <c r="H788" t="inlineStr">
        <is>
          <t>WJA1974Z</t>
        </is>
      </c>
      <c r="I788" t="inlineStr">
        <is>
          <t>WJAI1974</t>
        </is>
      </c>
      <c r="J788" s="4" t="n">
        <v>43508</v>
      </c>
      <c r="K788" t="inlineStr">
        <is>
          <t>2F120374D523630000000292</t>
        </is>
      </c>
    </row>
    <row r="789">
      <c r="A789" t="n">
        <v>15</v>
      </c>
      <c r="B789" t="inlineStr">
        <is>
          <t>SPE5EJ-19-V-0919</t>
        </is>
      </c>
      <c r="C789" s="20" t="inlineStr">
        <is>
          <t>KDTSI</t>
        </is>
      </c>
      <c r="E789" s="51" t="n">
        <v>1</v>
      </c>
      <c r="G789" s="230" t="n">
        <v>456.64</v>
      </c>
      <c r="H789" t="inlineStr">
        <is>
          <t>WJA1975Z</t>
        </is>
      </c>
      <c r="I789" t="inlineStr">
        <is>
          <t>WJAI1975</t>
        </is>
      </c>
      <c r="J789" s="4" t="n">
        <v>43508</v>
      </c>
      <c r="K789" t="inlineStr">
        <is>
          <t>2F120374D523630000000293</t>
        </is>
      </c>
    </row>
    <row r="790">
      <c r="A790" t="n">
        <v>16</v>
      </c>
      <c r="B790" t="inlineStr">
        <is>
          <t>SPE7M1-19-V-1865</t>
        </is>
      </c>
      <c r="C790" s="20" t="inlineStr">
        <is>
          <t>Indeco</t>
        </is>
      </c>
      <c r="E790" s="51" t="n">
        <v>3</v>
      </c>
      <c r="G790" s="230" t="n">
        <v>2170.17</v>
      </c>
      <c r="H790" t="inlineStr">
        <is>
          <t>WJA1976Z</t>
        </is>
      </c>
      <c r="I790" t="inlineStr">
        <is>
          <t>WJAI1976</t>
        </is>
      </c>
      <c r="J790" s="4" t="n">
        <v>43509</v>
      </c>
      <c r="K790" t="inlineStr">
        <is>
          <t>2F120374D523630000000294</t>
        </is>
      </c>
    </row>
    <row r="791">
      <c r="A791" t="n">
        <v>17</v>
      </c>
      <c r="B791" t="inlineStr">
        <is>
          <t>SPE7L3-19-V-3785</t>
        </is>
      </c>
      <c r="C791" s="20" t="inlineStr">
        <is>
          <t>MAFO</t>
        </is>
      </c>
      <c r="E791" s="51" t="n">
        <v>49</v>
      </c>
      <c r="G791" s="230" t="n">
        <v>7565.11</v>
      </c>
      <c r="H791" t="inlineStr">
        <is>
          <t>WJA1977Z</t>
        </is>
      </c>
      <c r="I791" t="inlineStr">
        <is>
          <t>WJAI1977</t>
        </is>
      </c>
      <c r="J791" s="4" t="n">
        <v>43510</v>
      </c>
      <c r="K791" t="inlineStr">
        <is>
          <t>2F120374D523630000000295</t>
        </is>
      </c>
    </row>
    <row r="792">
      <c r="A792" t="n">
        <v>18</v>
      </c>
      <c r="B792" t="inlineStr">
        <is>
          <t>SPE4A6-18-V-485F</t>
        </is>
      </c>
      <c r="C792" s="20" t="inlineStr">
        <is>
          <t>Glenair</t>
        </is>
      </c>
      <c r="E792" s="51" t="n">
        <v>6</v>
      </c>
      <c r="G792" s="230" t="n">
        <v>5672.28</v>
      </c>
      <c r="H792" t="inlineStr">
        <is>
          <t>WJA1978Z</t>
        </is>
      </c>
      <c r="I792" t="inlineStr">
        <is>
          <t>WJAI1978</t>
        </is>
      </c>
      <c r="J792" s="4" t="n">
        <v>43510</v>
      </c>
      <c r="K792" t="inlineStr">
        <is>
          <t>2F120374D523630000000296</t>
        </is>
      </c>
    </row>
    <row r="793">
      <c r="A793" t="n">
        <v>19</v>
      </c>
      <c r="B793" t="inlineStr">
        <is>
          <t>SPE7M1-19-V-2266</t>
        </is>
      </c>
      <c r="C793" s="20" t="inlineStr">
        <is>
          <t>Indeco</t>
        </is>
      </c>
      <c r="E793" s="51" t="n">
        <v>5</v>
      </c>
      <c r="G793" s="230" t="n">
        <v>11545.65</v>
      </c>
      <c r="H793" t="inlineStr">
        <is>
          <t>WJA1979Z</t>
        </is>
      </c>
      <c r="I793" t="inlineStr">
        <is>
          <t>WJAI1979</t>
        </is>
      </c>
      <c r="J793" s="4" t="n">
        <v>43510</v>
      </c>
      <c r="K793" t="inlineStr">
        <is>
          <t>2F120374D523630000000297</t>
        </is>
      </c>
    </row>
    <row r="794">
      <c r="A794" t="n">
        <v>20</v>
      </c>
      <c r="B794" t="inlineStr">
        <is>
          <t>SPE5E9-19-V-2112</t>
        </is>
      </c>
      <c r="C794" s="20" t="inlineStr">
        <is>
          <t>HIAB</t>
        </is>
      </c>
      <c r="E794" s="51" t="n">
        <v>2</v>
      </c>
      <c r="G794" s="230" t="n">
        <v>902</v>
      </c>
      <c r="H794" t="inlineStr">
        <is>
          <t>WJA1980Z</t>
        </is>
      </c>
      <c r="I794" t="inlineStr">
        <is>
          <t>WJAI1980</t>
        </is>
      </c>
      <c r="J794" s="4" t="n">
        <v>43511</v>
      </c>
      <c r="K794" t="inlineStr">
        <is>
          <t>NO</t>
        </is>
      </c>
    </row>
    <row r="795">
      <c r="A795" t="n">
        <v>21</v>
      </c>
      <c r="B795" t="inlineStr">
        <is>
          <t>SPE7L7-19-P-1309</t>
        </is>
      </c>
      <c r="C795" s="20" t="inlineStr">
        <is>
          <t>GEMS</t>
        </is>
      </c>
      <c r="E795" s="51" t="n">
        <v>1</v>
      </c>
      <c r="G795" s="230" t="n">
        <v>2546</v>
      </c>
      <c r="H795" t="inlineStr">
        <is>
          <t>WJA1981Z</t>
        </is>
      </c>
      <c r="I795" t="inlineStr">
        <is>
          <t>WJAI1981</t>
        </is>
      </c>
      <c r="J795" s="4" t="n">
        <v>43511</v>
      </c>
      <c r="K795" t="inlineStr">
        <is>
          <t>2F120374D523630000000298</t>
        </is>
      </c>
    </row>
    <row r="796">
      <c r="A796" t="n">
        <v>22</v>
      </c>
      <c r="B796" t="inlineStr">
        <is>
          <t>SPE4A4-19-V-2367</t>
        </is>
      </c>
      <c r="C796" s="20" t="inlineStr">
        <is>
          <t>GEMS</t>
        </is>
      </c>
      <c r="E796" s="51" t="n">
        <v>4</v>
      </c>
      <c r="G796" s="230" t="n">
        <v>2989.56</v>
      </c>
      <c r="H796" t="inlineStr">
        <is>
          <t>WJA1982Z</t>
        </is>
      </c>
      <c r="I796" t="inlineStr">
        <is>
          <t>WJAI1982</t>
        </is>
      </c>
      <c r="J796" s="4" t="n">
        <v>43511</v>
      </c>
      <c r="K796" t="inlineStr">
        <is>
          <t>2F120374D523630000000299</t>
        </is>
      </c>
    </row>
    <row r="797">
      <c r="A797" t="n">
        <v>23</v>
      </c>
      <c r="B797" t="inlineStr">
        <is>
          <t>SPE5E8-19-V-3643</t>
        </is>
      </c>
      <c r="C797" s="20" t="inlineStr">
        <is>
          <t>HIAB</t>
        </is>
      </c>
      <c r="E797" s="51" t="n">
        <v>4</v>
      </c>
      <c r="G797" s="230" t="n">
        <v>39.52</v>
      </c>
      <c r="H797" t="inlineStr">
        <is>
          <t>WJA1983Z</t>
        </is>
      </c>
      <c r="I797" t="inlineStr">
        <is>
          <t>WJAI1983</t>
        </is>
      </c>
      <c r="J797" s="4" t="n">
        <v>43514</v>
      </c>
      <c r="K797" t="inlineStr">
        <is>
          <t>no</t>
        </is>
      </c>
    </row>
    <row r="798">
      <c r="A798" t="n">
        <v>24</v>
      </c>
      <c r="B798" t="inlineStr">
        <is>
          <t>SPE7M8-19-P-0413</t>
        </is>
      </c>
      <c r="C798" s="49" t="inlineStr">
        <is>
          <t>GEMS</t>
        </is>
      </c>
      <c r="E798" s="51" t="n">
        <v>3</v>
      </c>
      <c r="G798" s="230" t="n">
        <v>11096.07</v>
      </c>
      <c r="H798" t="inlineStr">
        <is>
          <t>WJA1984</t>
        </is>
      </c>
      <c r="I798" t="inlineStr">
        <is>
          <t>WJAI1984</t>
        </is>
      </c>
      <c r="J798" s="4" t="n">
        <v>43514</v>
      </c>
      <c r="K798" t="inlineStr">
        <is>
          <t>2F120374D52363000000029A</t>
        </is>
      </c>
    </row>
    <row r="799">
      <c r="A799" t="n">
        <v>25</v>
      </c>
      <c r="B799" t="inlineStr">
        <is>
          <t>SPE7M8-19-P-0413</t>
        </is>
      </c>
      <c r="C799" s="49" t="inlineStr">
        <is>
          <t>GEMS</t>
        </is>
      </c>
      <c r="E799" s="51" t="n">
        <v>4</v>
      </c>
      <c r="G799" s="230" t="n">
        <v>14794.76</v>
      </c>
      <c r="H799" t="inlineStr">
        <is>
          <t>WJA1985Z</t>
        </is>
      </c>
      <c r="I799" t="inlineStr">
        <is>
          <t>WJAI1985</t>
        </is>
      </c>
      <c r="J799" s="4" t="n">
        <v>43514</v>
      </c>
      <c r="K799" t="inlineStr">
        <is>
          <t>2F120374D52363000000029B</t>
        </is>
      </c>
    </row>
    <row r="800">
      <c r="A800" t="n">
        <v>26</v>
      </c>
      <c r="B800" t="inlineStr">
        <is>
          <t>SPE7M5-19-V-4039</t>
        </is>
      </c>
      <c r="C800" s="20" t="inlineStr">
        <is>
          <t>C&amp;S</t>
        </is>
      </c>
      <c r="E800" s="51" t="n">
        <v>9</v>
      </c>
      <c r="G800" s="230" t="n">
        <v>5189.49</v>
      </c>
      <c r="H800" t="inlineStr">
        <is>
          <t>WJA1986</t>
        </is>
      </c>
      <c r="I800" t="inlineStr">
        <is>
          <t>WJAI1986</t>
        </is>
      </c>
      <c r="J800" s="4" t="n">
        <v>43515</v>
      </c>
      <c r="K800" t="inlineStr">
        <is>
          <t>2F120374D52363000000029C</t>
        </is>
      </c>
    </row>
    <row r="801">
      <c r="A801" t="n">
        <v>27</v>
      </c>
      <c r="B801" t="inlineStr">
        <is>
          <t>SPE7M5-19-V-4039</t>
        </is>
      </c>
      <c r="C801" t="inlineStr">
        <is>
          <t>C&amp;S</t>
        </is>
      </c>
      <c r="E801" s="51" t="n">
        <v>9</v>
      </c>
      <c r="G801" s="230" t="n">
        <v>5189.49</v>
      </c>
      <c r="H801" t="inlineStr">
        <is>
          <t>WJA1987Z</t>
        </is>
      </c>
      <c r="I801" t="inlineStr">
        <is>
          <t>WJAI1987</t>
        </is>
      </c>
      <c r="J801" s="4" t="n">
        <v>43515</v>
      </c>
      <c r="K801" t="inlineStr">
        <is>
          <t>2F120374D52363000000029D</t>
        </is>
      </c>
    </row>
    <row r="802">
      <c r="A802" t="n">
        <v>28</v>
      </c>
      <c r="B802" t="inlineStr">
        <is>
          <t>SPE5EJ-19-V-1243</t>
        </is>
      </c>
      <c r="C802" t="inlineStr">
        <is>
          <t>XLEM</t>
        </is>
      </c>
      <c r="E802" t="n">
        <v>92</v>
      </c>
      <c r="G802" s="230" t="n">
        <v>9168.719999999999</v>
      </c>
      <c r="H802" t="inlineStr">
        <is>
          <t>WJA1988Z</t>
        </is>
      </c>
      <c r="I802" t="inlineStr">
        <is>
          <t>WJAI1988</t>
        </is>
      </c>
      <c r="J802" s="4" t="n">
        <v>43516</v>
      </c>
      <c r="K802" t="inlineStr">
        <is>
          <t>2F120374D52363000000029E</t>
        </is>
      </c>
    </row>
    <row r="803">
      <c r="A803" t="n">
        <v>29</v>
      </c>
      <c r="B803" t="inlineStr">
        <is>
          <t>SPE5EK-19-V-1689</t>
        </is>
      </c>
      <c r="C803" s="20" t="inlineStr">
        <is>
          <t>DRUCK</t>
        </is>
      </c>
      <c r="E803" s="51" t="n">
        <v>52</v>
      </c>
      <c r="G803" s="230" t="n">
        <v>26057.72</v>
      </c>
      <c r="H803" t="inlineStr">
        <is>
          <t>WJA1989Z</t>
        </is>
      </c>
      <c r="I803" t="inlineStr">
        <is>
          <t>WJAI1989</t>
        </is>
      </c>
      <c r="J803" s="4" t="n">
        <v>43517</v>
      </c>
      <c r="K803" t="inlineStr">
        <is>
          <t>2F120374D52363000000029F</t>
        </is>
      </c>
    </row>
    <row r="804">
      <c r="A804" t="n">
        <v>30</v>
      </c>
      <c r="B804" t="inlineStr">
        <is>
          <t>SPE4A6-19-V-8849</t>
        </is>
      </c>
      <c r="C804" s="20" t="inlineStr">
        <is>
          <t>National</t>
        </is>
      </c>
      <c r="E804" s="51" t="n">
        <v>65</v>
      </c>
      <c r="G804" s="230" t="n">
        <v>6228.95</v>
      </c>
      <c r="H804" t="inlineStr">
        <is>
          <t>WJA1990Z</t>
        </is>
      </c>
      <c r="I804" t="inlineStr">
        <is>
          <t>WJAI1990</t>
        </is>
      </c>
      <c r="J804" s="4" t="n">
        <v>43517</v>
      </c>
      <c r="K804" t="inlineStr">
        <is>
          <t>2F120374D5236300000002A0</t>
        </is>
      </c>
    </row>
    <row r="805">
      <c r="A805" t="n">
        <v>31</v>
      </c>
      <c r="B805" t="inlineStr">
        <is>
          <t>SPE7M5-19-V-4184</t>
        </is>
      </c>
      <c r="C805" s="20" t="inlineStr">
        <is>
          <t>Glenair</t>
        </is>
      </c>
      <c r="E805" s="51" t="n">
        <v>223</v>
      </c>
      <c r="G805" s="263" t="n">
        <v>9350.389999999999</v>
      </c>
      <c r="H805" t="inlineStr">
        <is>
          <t>WJA1991Z</t>
        </is>
      </c>
      <c r="I805" t="inlineStr">
        <is>
          <t>WJAI1991</t>
        </is>
      </c>
      <c r="J805" s="4" t="n">
        <v>43517</v>
      </c>
      <c r="K805" t="inlineStr">
        <is>
          <t>2F120374D5236300000002A1</t>
        </is>
      </c>
    </row>
    <row r="806">
      <c r="A806" t="n">
        <v>32</v>
      </c>
      <c r="B806" t="inlineStr">
        <is>
          <t>SPE7MC-19-V-3862</t>
        </is>
      </c>
      <c r="C806" s="20" t="inlineStr">
        <is>
          <t>Glenair</t>
        </is>
      </c>
      <c r="E806" s="51" t="n">
        <v>100</v>
      </c>
      <c r="G806" s="230" t="n">
        <v>4164</v>
      </c>
      <c r="H806" t="inlineStr">
        <is>
          <t>WJA1992Z</t>
        </is>
      </c>
      <c r="I806" t="inlineStr">
        <is>
          <t>WJAI1992</t>
        </is>
      </c>
      <c r="J806" s="4" t="n">
        <v>43519</v>
      </c>
      <c r="K806" t="inlineStr">
        <is>
          <t>2F120374D5236300000002A2</t>
        </is>
      </c>
    </row>
    <row r="807">
      <c r="A807" t="n">
        <v>33</v>
      </c>
      <c r="B807" t="inlineStr">
        <is>
          <t>SPE8E8-19-V-0990</t>
        </is>
      </c>
      <c r="C807" s="20" t="inlineStr">
        <is>
          <t>Indeco</t>
        </is>
      </c>
      <c r="E807" s="51" t="n">
        <v>7</v>
      </c>
      <c r="G807" s="263" t="n">
        <v>2088.8</v>
      </c>
      <c r="H807" t="inlineStr">
        <is>
          <t>WJA1993Z</t>
        </is>
      </c>
      <c r="I807" t="inlineStr">
        <is>
          <t>WJAI1993</t>
        </is>
      </c>
      <c r="J807" s="4" t="n">
        <v>43519</v>
      </c>
      <c r="K807" t="inlineStr">
        <is>
          <t>2F120374D5236300000002A3</t>
        </is>
      </c>
    </row>
    <row r="808">
      <c r="A808" t="n">
        <v>34</v>
      </c>
      <c r="B808" t="inlineStr">
        <is>
          <t>SPE7M0-19-V-2444</t>
        </is>
      </c>
      <c r="C808" t="inlineStr">
        <is>
          <t>Kern</t>
        </is>
      </c>
      <c r="E808" s="51" t="n">
        <v>2</v>
      </c>
      <c r="G808" s="230" t="n">
        <v>469.38</v>
      </c>
      <c r="H808" t="inlineStr">
        <is>
          <t>WJA1994Z</t>
        </is>
      </c>
      <c r="I808" t="inlineStr">
        <is>
          <t>WJAI1994</t>
        </is>
      </c>
      <c r="J808" s="4" t="n">
        <v>43519</v>
      </c>
      <c r="K808" t="inlineStr">
        <is>
          <t>NO</t>
        </is>
      </c>
    </row>
    <row r="809">
      <c r="A809" t="n">
        <v>35</v>
      </c>
      <c r="B809" t="inlineStr">
        <is>
          <t>SPE4A6-19-V-1320</t>
        </is>
      </c>
      <c r="C809" s="20" t="inlineStr">
        <is>
          <t>Glenair</t>
        </is>
      </c>
      <c r="E809" s="51" t="n">
        <v>5</v>
      </c>
      <c r="G809" s="230" t="n">
        <v>2881.05</v>
      </c>
      <c r="H809" t="inlineStr">
        <is>
          <t>WJA1995Z</t>
        </is>
      </c>
      <c r="I809" t="inlineStr">
        <is>
          <t>WJAI1995</t>
        </is>
      </c>
      <c r="J809" s="4" t="n">
        <v>43521</v>
      </c>
      <c r="K809" t="inlineStr">
        <is>
          <t>2F120374D5236300000002A4</t>
        </is>
      </c>
    </row>
    <row r="810">
      <c r="A810" t="n">
        <v>36</v>
      </c>
      <c r="B810" t="inlineStr">
        <is>
          <t>SPE7M5-19-V-3956</t>
        </is>
      </c>
      <c r="C810" t="inlineStr">
        <is>
          <t>Altern</t>
        </is>
      </c>
      <c r="E810" s="51" t="n">
        <v>6</v>
      </c>
      <c r="G810" s="230" t="n">
        <v>5920.32</v>
      </c>
      <c r="H810" t="inlineStr">
        <is>
          <t>WJA1996Z</t>
        </is>
      </c>
      <c r="I810" t="inlineStr">
        <is>
          <t>WJAI1996</t>
        </is>
      </c>
      <c r="J810" s="4" t="n">
        <v>43521</v>
      </c>
      <c r="K810" t="inlineStr">
        <is>
          <t>2F120374D5236300000002A5</t>
        </is>
      </c>
    </row>
    <row r="811">
      <c r="A811" t="n">
        <v>37</v>
      </c>
      <c r="B811" t="inlineStr">
        <is>
          <t>SPE7M0-19-V-2718</t>
        </is>
      </c>
      <c r="C811" s="20" t="inlineStr">
        <is>
          <t>Druck</t>
        </is>
      </c>
      <c r="E811" s="51" t="n">
        <v>1</v>
      </c>
      <c r="G811" s="262" t="n">
        <v>826</v>
      </c>
      <c r="H811" t="inlineStr">
        <is>
          <t>WJA1997Z</t>
        </is>
      </c>
      <c r="I811" t="inlineStr">
        <is>
          <t>WJAI1997</t>
        </is>
      </c>
      <c r="J811" s="4" t="n">
        <v>43521</v>
      </c>
      <c r="K811" t="inlineStr">
        <is>
          <t>2F120374D5236300000002A6</t>
        </is>
      </c>
    </row>
    <row r="812">
      <c r="A812" t="n">
        <v>38</v>
      </c>
      <c r="B812" t="inlineStr">
        <is>
          <t>SPE4A6-19-V-0130</t>
        </is>
      </c>
      <c r="C812" s="20" t="inlineStr">
        <is>
          <t>Glenair</t>
        </is>
      </c>
      <c r="E812" s="51" t="n">
        <v>10</v>
      </c>
      <c r="G812" s="230" t="n">
        <v>3990</v>
      </c>
      <c r="H812" t="inlineStr">
        <is>
          <t>WJA1998Z</t>
        </is>
      </c>
      <c r="I812" t="inlineStr">
        <is>
          <t>WJAI1998</t>
        </is>
      </c>
      <c r="K812" t="inlineStr">
        <is>
          <t>2F120374D5236300000002A7</t>
        </is>
      </c>
    </row>
    <row r="813">
      <c r="A813" t="n">
        <v>39</v>
      </c>
      <c r="B813" t="inlineStr">
        <is>
          <t>SPE5EJ-19-V-2693</t>
        </is>
      </c>
      <c r="C813" s="64" t="inlineStr">
        <is>
          <t>Lee Spring Qty50</t>
        </is>
      </c>
      <c r="G813" t="n">
        <v>275.08</v>
      </c>
      <c r="H813" t="inlineStr">
        <is>
          <t>WJA1999Z</t>
        </is>
      </c>
      <c r="I813" t="inlineStr">
        <is>
          <t>WJAI1999</t>
        </is>
      </c>
    </row>
    <row r="814">
      <c r="A814" t="n">
        <v>40</v>
      </c>
      <c r="B814" t="inlineStr">
        <is>
          <t>SPE5E8-19-V-3172</t>
        </is>
      </c>
      <c r="C814" s="49" t="inlineStr">
        <is>
          <t>Morpac</t>
        </is>
      </c>
      <c r="E814" s="51" t="n">
        <v>27</v>
      </c>
      <c r="F814" t="n">
        <v>10</v>
      </c>
      <c r="G814" s="230" t="n">
        <v>3667.14</v>
      </c>
      <c r="H814" t="inlineStr">
        <is>
          <t>WJA2000Z</t>
        </is>
      </c>
      <c r="I814" t="inlineStr">
        <is>
          <t>WJAI2000</t>
        </is>
      </c>
      <c r="J814" s="4" t="n">
        <v>43524</v>
      </c>
      <c r="K814" t="inlineStr">
        <is>
          <t>2F120374D5236300000002A8</t>
        </is>
      </c>
    </row>
    <row r="815">
      <c r="A815" t="n">
        <v>41</v>
      </c>
      <c r="B815" t="inlineStr">
        <is>
          <t>SPE5EK-19-V-0569</t>
        </is>
      </c>
      <c r="C815" s="20" t="inlineStr">
        <is>
          <t>Tim Price</t>
        </is>
      </c>
      <c r="E815" s="51" t="n">
        <v>6</v>
      </c>
      <c r="G815" s="230" t="n">
        <v>7010.4</v>
      </c>
      <c r="H815" t="inlineStr">
        <is>
          <t>WJA2001Z</t>
        </is>
      </c>
      <c r="I815" t="inlineStr">
        <is>
          <t>WJAI2001</t>
        </is>
      </c>
      <c r="J815" s="4" t="n">
        <v>43524</v>
      </c>
      <c r="K815" t="inlineStr">
        <is>
          <t>2F120374D5236300000002A9</t>
        </is>
      </c>
    </row>
    <row r="816">
      <c r="A816" t="n">
        <v>42</v>
      </c>
      <c r="B816" t="inlineStr">
        <is>
          <t>SPE7M8-19-P-0629</t>
        </is>
      </c>
      <c r="C816" s="20" t="inlineStr">
        <is>
          <t>GEMS</t>
        </is>
      </c>
      <c r="E816" s="51" t="n">
        <v>20</v>
      </c>
      <c r="G816" s="230" t="n">
        <v>18532.4</v>
      </c>
      <c r="H816" t="inlineStr">
        <is>
          <t>WJA2002Z</t>
        </is>
      </c>
      <c r="I816" t="inlineStr">
        <is>
          <t>WJAI2002</t>
        </is>
      </c>
      <c r="J816" s="4" t="n">
        <v>43524</v>
      </c>
      <c r="K816" t="inlineStr">
        <is>
          <t>2F120374D5236300000002AA</t>
        </is>
      </c>
    </row>
    <row r="817"/>
    <row r="818">
      <c r="B818" s="164" t="n">
        <v>43525</v>
      </c>
    </row>
    <row r="819">
      <c r="A819" t="n">
        <v>1</v>
      </c>
      <c r="B819" t="inlineStr">
        <is>
          <t>SPE7M5-19-V-0303</t>
        </is>
      </c>
      <c r="C819" s="49" t="inlineStr">
        <is>
          <t>Phoenix Logistics</t>
        </is>
      </c>
      <c r="E819" s="51" t="n">
        <v>1</v>
      </c>
      <c r="G819" s="230" t="n">
        <v>3058</v>
      </c>
      <c r="H819" t="inlineStr">
        <is>
          <t>WJA2003Z</t>
        </is>
      </c>
      <c r="I819" t="inlineStr">
        <is>
          <t>WJAI2003</t>
        </is>
      </c>
      <c r="J819" s="4" t="n">
        <v>43525</v>
      </c>
      <c r="K819" t="inlineStr">
        <is>
          <t>2F120374D5236300000002AB</t>
        </is>
      </c>
    </row>
    <row r="820">
      <c r="A820" t="n">
        <v>2</v>
      </c>
      <c r="B820" t="inlineStr">
        <is>
          <t>SPE4A4-19-V-1452</t>
        </is>
      </c>
      <c r="C820" s="20" t="inlineStr">
        <is>
          <t>Glenair</t>
        </is>
      </c>
      <c r="E820" s="51" t="n">
        <v>11</v>
      </c>
      <c r="G820" s="230" t="n">
        <v>2518.78</v>
      </c>
      <c r="H820" t="inlineStr">
        <is>
          <t>WMR0001Z</t>
        </is>
      </c>
      <c r="I820" t="inlineStr">
        <is>
          <t>WMRI0001</t>
        </is>
      </c>
      <c r="J820" s="4" t="n">
        <v>43528</v>
      </c>
      <c r="K820" t="inlineStr">
        <is>
          <t>2F120374D5236300000002AC</t>
        </is>
      </c>
    </row>
    <row r="821">
      <c r="A821" t="n">
        <v>3</v>
      </c>
      <c r="B821" t="inlineStr">
        <is>
          <t>SPE7MC-19-V-4311</t>
        </is>
      </c>
      <c r="C821" t="inlineStr">
        <is>
          <t>HIAB</t>
        </is>
      </c>
      <c r="E821" s="51" t="n">
        <v>14</v>
      </c>
      <c r="G821" s="230" t="n">
        <v>2012.64</v>
      </c>
      <c r="H821" t="inlineStr">
        <is>
          <t>MRB9002Z</t>
        </is>
      </c>
      <c r="I821" t="inlineStr">
        <is>
          <t>MRB90002</t>
        </is>
      </c>
      <c r="J821" s="4" t="n">
        <v>43529</v>
      </c>
      <c r="K821" t="inlineStr">
        <is>
          <t>2F120374D5236300000002AD</t>
        </is>
      </c>
    </row>
    <row r="822">
      <c r="A822" t="n">
        <v>4</v>
      </c>
      <c r="B822" t="inlineStr">
        <is>
          <t>SPE7L3-19-V-3810</t>
        </is>
      </c>
      <c r="C822" s="20" t="inlineStr">
        <is>
          <t>HIAB</t>
        </is>
      </c>
      <c r="E822" s="51" t="n">
        <v>8</v>
      </c>
      <c r="G822" s="230" t="n">
        <v>1491.04</v>
      </c>
      <c r="H822" t="inlineStr">
        <is>
          <t>MRB9003Z</t>
        </is>
      </c>
      <c r="I822" t="inlineStr">
        <is>
          <t>MRB90003</t>
        </is>
      </c>
      <c r="J822" s="4" t="n">
        <v>43529</v>
      </c>
      <c r="K822" t="inlineStr">
        <is>
          <t>2F120374D5236300000002AE</t>
        </is>
      </c>
    </row>
    <row r="823">
      <c r="A823" t="n">
        <v>5</v>
      </c>
      <c r="B823" t="inlineStr">
        <is>
          <t>SPE7M5-19-V-1494</t>
        </is>
      </c>
      <c r="C823" s="49" t="inlineStr">
        <is>
          <t>Glenair</t>
        </is>
      </c>
      <c r="E823" s="51" t="n">
        <v>62</v>
      </c>
      <c r="G823" s="230" t="n">
        <v>2750.32</v>
      </c>
      <c r="H823" t="inlineStr">
        <is>
          <t>MRB9004Z</t>
        </is>
      </c>
      <c r="I823" t="inlineStr">
        <is>
          <t>MRB90004</t>
        </is>
      </c>
      <c r="J823" s="4" t="n">
        <v>43532</v>
      </c>
      <c r="K823" t="inlineStr">
        <is>
          <t>2F120374D5236300000002AF</t>
        </is>
      </c>
    </row>
    <row r="824">
      <c r="A824" t="n">
        <v>6</v>
      </c>
      <c r="B824" t="inlineStr">
        <is>
          <t>SPE7M5-19-P-2533</t>
        </is>
      </c>
      <c r="C824" s="49" t="inlineStr">
        <is>
          <t>Tim Price</t>
        </is>
      </c>
      <c r="E824" s="51" t="n">
        <v>8</v>
      </c>
      <c r="G824" s="230" t="n">
        <v>4715.92</v>
      </c>
      <c r="H824" t="inlineStr">
        <is>
          <t>MRB9005</t>
        </is>
      </c>
      <c r="I824" t="inlineStr">
        <is>
          <t>MRB90005</t>
        </is>
      </c>
      <c r="J824" s="4" t="n">
        <v>43535</v>
      </c>
      <c r="K824" t="inlineStr">
        <is>
          <t>2F120374D5236300000002B0</t>
        </is>
      </c>
    </row>
    <row r="825">
      <c r="A825" t="n">
        <v>7</v>
      </c>
      <c r="B825" t="inlineStr">
        <is>
          <t>SPE7M5-19-P-2533</t>
        </is>
      </c>
      <c r="C825" s="49" t="inlineStr">
        <is>
          <t>Tim Price</t>
        </is>
      </c>
      <c r="E825" s="51" t="n">
        <v>8</v>
      </c>
      <c r="G825" s="230" t="n">
        <v>4715.92</v>
      </c>
      <c r="H825" t="inlineStr">
        <is>
          <t>MRB9006</t>
        </is>
      </c>
      <c r="I825" t="inlineStr">
        <is>
          <t>MRB90006</t>
        </is>
      </c>
      <c r="J825" s="4" t="n">
        <v>43535</v>
      </c>
      <c r="K825" t="inlineStr">
        <is>
          <t>2F120374D5236300000002B1</t>
        </is>
      </c>
    </row>
    <row r="826">
      <c r="A826" t="n">
        <v>8</v>
      </c>
      <c r="B826" t="inlineStr">
        <is>
          <t>SPE7M5-19-P-2533</t>
        </is>
      </c>
      <c r="C826" s="49" t="inlineStr">
        <is>
          <t>Tim Price</t>
        </is>
      </c>
      <c r="E826" s="51" t="n">
        <v>7</v>
      </c>
      <c r="G826" s="230" t="n">
        <v>4126.43</v>
      </c>
      <c r="H826" t="inlineStr">
        <is>
          <t>MRB9007Z</t>
        </is>
      </c>
      <c r="I826" t="inlineStr">
        <is>
          <t>MRB90007</t>
        </is>
      </c>
      <c r="J826" s="4" t="n">
        <v>43535</v>
      </c>
      <c r="K826" t="inlineStr">
        <is>
          <t>2F120374D5236300000002B2</t>
        </is>
      </c>
    </row>
    <row r="827">
      <c r="A827" t="n">
        <v>9</v>
      </c>
      <c r="B827" t="inlineStr">
        <is>
          <t>SPE5EK-19-V-2429</t>
        </is>
      </c>
      <c r="C827" s="49" t="inlineStr">
        <is>
          <t>Molded</t>
        </is>
      </c>
      <c r="E827" s="51" t="n">
        <v>2434</v>
      </c>
      <c r="G827" s="230" t="n">
        <v>1849.84</v>
      </c>
      <c r="H827" t="inlineStr">
        <is>
          <t>MRB9008Z</t>
        </is>
      </c>
      <c r="I827" t="inlineStr">
        <is>
          <t>MRB90008</t>
        </is>
      </c>
      <c r="J827" s="4" t="n">
        <v>43536</v>
      </c>
      <c r="K827" t="inlineStr">
        <is>
          <t>2F120374D5236300000002B3</t>
        </is>
      </c>
    </row>
    <row r="828">
      <c r="A828" t="n">
        <v>10</v>
      </c>
      <c r="B828" t="inlineStr">
        <is>
          <t>SPE7M0-19-V-3779</t>
        </is>
      </c>
      <c r="C828" s="49" t="inlineStr">
        <is>
          <t>Glenair</t>
        </is>
      </c>
      <c r="E828" s="51" t="n">
        <v>3</v>
      </c>
      <c r="G828" s="230" t="n">
        <v>1841.01</v>
      </c>
      <c r="H828" t="inlineStr">
        <is>
          <t>MRB9009</t>
        </is>
      </c>
      <c r="I828" t="inlineStr">
        <is>
          <t>MRB90009</t>
        </is>
      </c>
      <c r="J828" s="4" t="n">
        <v>43536</v>
      </c>
      <c r="K828" t="inlineStr">
        <is>
          <t>2F120374D5236300000002B4</t>
        </is>
      </c>
    </row>
    <row r="829">
      <c r="A829" t="n">
        <v>11</v>
      </c>
      <c r="B829" t="inlineStr">
        <is>
          <t>SPE4A6-19-V-8448</t>
        </is>
      </c>
      <c r="C829" s="49" t="inlineStr">
        <is>
          <t>HIAB</t>
        </is>
      </c>
      <c r="E829" s="51" t="n">
        <v>16</v>
      </c>
      <c r="G829" s="230" t="n">
        <v>5017.6</v>
      </c>
      <c r="H829" t="inlineStr">
        <is>
          <t>MRB9010Z</t>
        </is>
      </c>
      <c r="I829" t="inlineStr">
        <is>
          <t>MRB90010</t>
        </is>
      </c>
      <c r="J829" s="4" t="n">
        <v>43537</v>
      </c>
      <c r="K829" t="inlineStr">
        <is>
          <t>2F120374D5236300000002B5</t>
        </is>
      </c>
    </row>
    <row r="830">
      <c r="A830" t="n">
        <v>12</v>
      </c>
      <c r="B830" t="inlineStr">
        <is>
          <t>SPE8EN-18-P-0956</t>
        </is>
      </c>
      <c r="C830" s="49" t="inlineStr">
        <is>
          <t>GEMS</t>
        </is>
      </c>
      <c r="E830" s="51" t="n">
        <v>4</v>
      </c>
      <c r="G830" s="230" t="n">
        <v>25368</v>
      </c>
      <c r="H830" t="inlineStr">
        <is>
          <t>MRB9011</t>
        </is>
      </c>
      <c r="I830" t="inlineStr">
        <is>
          <t>MRB90011</t>
        </is>
      </c>
      <c r="J830" s="4" t="n">
        <v>43537</v>
      </c>
      <c r="K830" t="inlineStr">
        <is>
          <t>2F120374D5236300000002B6</t>
        </is>
      </c>
    </row>
    <row r="831">
      <c r="A831" t="n">
        <v>13</v>
      </c>
      <c r="B831" t="inlineStr">
        <is>
          <t>SPE8EN-18-P-0956</t>
        </is>
      </c>
      <c r="C831" s="49" t="inlineStr">
        <is>
          <t>GEMS</t>
        </is>
      </c>
      <c r="E831" s="51" t="n">
        <v>3</v>
      </c>
      <c r="G831" s="230" t="n">
        <v>19026</v>
      </c>
      <c r="H831" t="inlineStr">
        <is>
          <t>MRB9012Z</t>
        </is>
      </c>
      <c r="I831" t="inlineStr">
        <is>
          <t>MRB90012</t>
        </is>
      </c>
      <c r="J831" s="4" t="n">
        <v>43537</v>
      </c>
      <c r="K831" t="inlineStr">
        <is>
          <t>2F120374D5236300000002B7</t>
        </is>
      </c>
    </row>
    <row r="832">
      <c r="A832" t="n">
        <v>14</v>
      </c>
      <c r="B832" t="inlineStr">
        <is>
          <t>SPE8E8-19-V-0906</t>
        </is>
      </c>
      <c r="C832" t="inlineStr">
        <is>
          <t>Indeeco</t>
        </is>
      </c>
      <c r="E832" s="51" t="n">
        <v>8</v>
      </c>
      <c r="G832" s="230" t="n">
        <v>5182.64</v>
      </c>
      <c r="H832" t="inlineStr">
        <is>
          <t>MRB9013Z</t>
        </is>
      </c>
      <c r="I832" t="inlineStr">
        <is>
          <t>MRB90013</t>
        </is>
      </c>
      <c r="J832" s="4" t="n">
        <v>43538</v>
      </c>
      <c r="K832" t="inlineStr">
        <is>
          <t>2F120374D5236300000002B8</t>
        </is>
      </c>
    </row>
    <row r="833">
      <c r="A833" t="n">
        <v>15</v>
      </c>
      <c r="B833" t="inlineStr">
        <is>
          <t>SPE8E8-19-V-1076</t>
        </is>
      </c>
      <c r="C833" t="inlineStr">
        <is>
          <t>Indeeco</t>
        </is>
      </c>
      <c r="E833" s="51" t="n">
        <v>9</v>
      </c>
      <c r="G833" s="230" t="n">
        <v>4521.6</v>
      </c>
      <c r="H833" t="inlineStr">
        <is>
          <t>MRB9014</t>
        </is>
      </c>
      <c r="I833" t="inlineStr">
        <is>
          <t>MRB90014</t>
        </is>
      </c>
      <c r="J833" s="4" t="n">
        <v>43538</v>
      </c>
      <c r="K833" t="inlineStr">
        <is>
          <t>2F120374D5236300000002B9</t>
        </is>
      </c>
    </row>
    <row r="834">
      <c r="A834" t="n">
        <v>16</v>
      </c>
      <c r="B834" t="inlineStr">
        <is>
          <t>SPE8E8-19-V-1076</t>
        </is>
      </c>
      <c r="C834" t="inlineStr">
        <is>
          <t>Indeeco</t>
        </is>
      </c>
      <c r="E834" s="51" t="n">
        <v>10</v>
      </c>
      <c r="G834" s="230" t="n">
        <v>5024</v>
      </c>
      <c r="H834" t="inlineStr">
        <is>
          <t>MRB9015Z</t>
        </is>
      </c>
      <c r="I834" t="inlineStr">
        <is>
          <t>MRB90015</t>
        </is>
      </c>
      <c r="J834" s="4" t="n">
        <v>43538</v>
      </c>
      <c r="K834" t="inlineStr">
        <is>
          <t>2F120374D5236300000002BA</t>
        </is>
      </c>
    </row>
    <row r="835">
      <c r="A835" t="n">
        <v>17</v>
      </c>
      <c r="B835" t="inlineStr">
        <is>
          <t>SPE7M5-19-V-5105</t>
        </is>
      </c>
      <c r="C835" t="inlineStr">
        <is>
          <t>Applied Specialties</t>
        </is>
      </c>
      <c r="E835" s="51" t="n">
        <v>14</v>
      </c>
      <c r="G835" s="230" t="n">
        <v>1604.82</v>
      </c>
      <c r="H835" t="inlineStr">
        <is>
          <t>MRB9016Z</t>
        </is>
      </c>
      <c r="I835" t="inlineStr">
        <is>
          <t>MRB90016</t>
        </is>
      </c>
      <c r="J835" s="4" t="n">
        <v>43539</v>
      </c>
      <c r="K835" t="inlineStr">
        <is>
          <t>2F120374D5236300000002BB</t>
        </is>
      </c>
    </row>
    <row r="836">
      <c r="A836" t="n">
        <v>18</v>
      </c>
      <c r="B836" t="inlineStr">
        <is>
          <t>SPE7M5-19-V-3120</t>
        </is>
      </c>
      <c r="C836" t="inlineStr">
        <is>
          <t>Phoenix Logistics</t>
        </is>
      </c>
      <c r="E836" s="51" t="n">
        <v>40</v>
      </c>
      <c r="G836" s="230" t="n">
        <v>5724.4</v>
      </c>
      <c r="H836" t="inlineStr">
        <is>
          <t>MRB9017Z</t>
        </is>
      </c>
      <c r="I836" t="inlineStr">
        <is>
          <t>MRB90017</t>
        </is>
      </c>
      <c r="J836" s="4" t="n">
        <v>43539</v>
      </c>
      <c r="K836" t="inlineStr">
        <is>
          <t>2F120374D5236300000002BC</t>
        </is>
      </c>
    </row>
    <row r="837">
      <c r="A837" t="n">
        <v>19</v>
      </c>
      <c r="B837" t="inlineStr">
        <is>
          <t>SPE7M0-19-P-1626</t>
        </is>
      </c>
      <c r="C837" t="inlineStr">
        <is>
          <t>DRUCK</t>
        </is>
      </c>
      <c r="E837" s="51" t="n">
        <v>1</v>
      </c>
      <c r="G837" s="230" t="n">
        <v>845.47</v>
      </c>
      <c r="H837" t="inlineStr">
        <is>
          <t>MRB9018Z</t>
        </is>
      </c>
      <c r="I837" t="inlineStr">
        <is>
          <t>MRB90018</t>
        </is>
      </c>
      <c r="J837" s="4" t="n">
        <v>43539</v>
      </c>
      <c r="K837" t="inlineStr">
        <is>
          <t>2F120374D5236300000002BD</t>
        </is>
      </c>
    </row>
    <row r="838">
      <c r="A838" t="n">
        <v>20</v>
      </c>
      <c r="B838" t="inlineStr">
        <is>
          <t>SPE7L3-19-V-3682</t>
        </is>
      </c>
      <c r="C838" t="inlineStr">
        <is>
          <t>HIAB</t>
        </is>
      </c>
      <c r="E838" s="51" t="n">
        <v>8</v>
      </c>
      <c r="G838" s="230" t="n">
        <v>796.96</v>
      </c>
      <c r="H838" t="inlineStr">
        <is>
          <t>MRB9019Z</t>
        </is>
      </c>
      <c r="I838" t="inlineStr">
        <is>
          <t>MRB90019</t>
        </is>
      </c>
      <c r="J838" s="4" t="n">
        <v>43542</v>
      </c>
      <c r="K838" t="inlineStr">
        <is>
          <t>2F120374D5236300000002BE</t>
        </is>
      </c>
    </row>
    <row r="839">
      <c r="A839" t="n">
        <v>21</v>
      </c>
      <c r="B839" t="inlineStr">
        <is>
          <t>SPE7M1-19-V-3759</t>
        </is>
      </c>
      <c r="C839" t="inlineStr">
        <is>
          <t>DRUCK</t>
        </is>
      </c>
      <c r="E839" s="51" t="n">
        <v>20</v>
      </c>
      <c r="G839" s="230" t="n">
        <v>16715.4</v>
      </c>
      <c r="H839" t="inlineStr">
        <is>
          <t>MRB9020Z</t>
        </is>
      </c>
      <c r="I839" t="inlineStr">
        <is>
          <t>MRB90020</t>
        </is>
      </c>
      <c r="J839" s="4" t="n">
        <v>43542</v>
      </c>
      <c r="K839" t="inlineStr">
        <is>
          <t>2F120374D5236300000002BF</t>
        </is>
      </c>
    </row>
    <row r="840">
      <c r="A840" t="n">
        <v>22</v>
      </c>
      <c r="B840" t="inlineStr">
        <is>
          <t>SPE4A4-19-V-3879</t>
        </is>
      </c>
      <c r="C840" t="inlineStr">
        <is>
          <t>GEMS</t>
        </is>
      </c>
      <c r="E840" s="51" t="n">
        <v>1</v>
      </c>
      <c r="G840" s="265" t="n">
        <v>4540.22</v>
      </c>
      <c r="H840" t="inlineStr">
        <is>
          <t>MRB9021Z</t>
        </is>
      </c>
      <c r="I840" t="inlineStr">
        <is>
          <t>MRB90021</t>
        </is>
      </c>
      <c r="J840" s="4" t="n">
        <v>43542</v>
      </c>
      <c r="K840" t="inlineStr">
        <is>
          <t>No</t>
        </is>
      </c>
    </row>
    <row r="841">
      <c r="A841" t="n">
        <v>23</v>
      </c>
      <c r="B841" t="inlineStr">
        <is>
          <t>SPE4A6-19-V-6191</t>
        </is>
      </c>
      <c r="C841" t="inlineStr">
        <is>
          <t>CAMERON</t>
        </is>
      </c>
      <c r="E841" t="n">
        <v>2</v>
      </c>
      <c r="G841" s="265" t="n">
        <v>4247.74</v>
      </c>
      <c r="H841" t="inlineStr">
        <is>
          <t>MRB9022</t>
        </is>
      </c>
      <c r="I841" t="inlineStr">
        <is>
          <t>MRB90022</t>
        </is>
      </c>
      <c r="J841" s="4" t="n">
        <v>43543</v>
      </c>
      <c r="K841" t="inlineStr">
        <is>
          <t>No</t>
        </is>
      </c>
    </row>
    <row r="842">
      <c r="A842" t="n">
        <v>24</v>
      </c>
      <c r="B842" t="inlineStr">
        <is>
          <t>SPE7M5-19-V-3956</t>
        </is>
      </c>
      <c r="C842" t="inlineStr">
        <is>
          <t>Atrenne Computing</t>
        </is>
      </c>
      <c r="E842" s="170" t="n">
        <v>6</v>
      </c>
      <c r="G842" s="265" t="n">
        <v>5920.32</v>
      </c>
      <c r="H842" t="inlineStr">
        <is>
          <t>MRB9023Z</t>
        </is>
      </c>
      <c r="I842" t="inlineStr">
        <is>
          <t>MRB90023</t>
        </is>
      </c>
      <c r="J842" s="4" t="n">
        <v>43543</v>
      </c>
      <c r="K842" t="inlineStr">
        <is>
          <t>No</t>
        </is>
      </c>
    </row>
    <row r="843">
      <c r="A843" t="n">
        <v>25</v>
      </c>
      <c r="B843" t="inlineStr">
        <is>
          <t>SPE4A6-19-V-6191</t>
        </is>
      </c>
      <c r="C843" t="inlineStr">
        <is>
          <t>CAMERON</t>
        </is>
      </c>
      <c r="E843" s="171" t="n">
        <v>9</v>
      </c>
      <c r="G843" s="265" t="n">
        <v>19114.83</v>
      </c>
      <c r="H843" t="inlineStr">
        <is>
          <t>MRB9024Z</t>
        </is>
      </c>
      <c r="I843" t="inlineStr">
        <is>
          <t>MRB90024</t>
        </is>
      </c>
      <c r="J843" s="4" t="n">
        <v>43543</v>
      </c>
      <c r="K843" t="inlineStr">
        <is>
          <t>2F120374D5236300000002C0</t>
        </is>
      </c>
    </row>
    <row r="844">
      <c r="A844" t="n">
        <v>26</v>
      </c>
      <c r="B844" t="inlineStr">
        <is>
          <t>SPE7M5-19-V-3956</t>
        </is>
      </c>
      <c r="C844" t="inlineStr">
        <is>
          <t>Atrenne Computing</t>
        </is>
      </c>
      <c r="E844" s="171" t="n">
        <v>6</v>
      </c>
      <c r="G844" s="265" t="n">
        <v>5920.32</v>
      </c>
      <c r="H844" t="inlineStr">
        <is>
          <t>MRB9024Z</t>
        </is>
      </c>
      <c r="I844" t="inlineStr">
        <is>
          <t>MRB90024</t>
        </is>
      </c>
      <c r="J844" s="4" t="n">
        <v>43543</v>
      </c>
      <c r="K844" t="inlineStr">
        <is>
          <t>2F120374D5236300000002C1</t>
        </is>
      </c>
    </row>
    <row r="845">
      <c r="A845" t="n">
        <v>27</v>
      </c>
      <c r="B845" t="inlineStr">
        <is>
          <t>SPE4A6-19-V-6191</t>
        </is>
      </c>
      <c r="C845" t="inlineStr">
        <is>
          <t>CAMERON</t>
        </is>
      </c>
      <c r="E845" s="171" t="n">
        <v>9</v>
      </c>
      <c r="G845" s="265" t="n">
        <v>19114.83</v>
      </c>
      <c r="H845" t="inlineStr">
        <is>
          <t>MRB9025Z</t>
        </is>
      </c>
      <c r="I845" t="inlineStr">
        <is>
          <t>MRB90025</t>
        </is>
      </c>
      <c r="J845" s="4" t="n">
        <v>43543</v>
      </c>
      <c r="K845" t="inlineStr">
        <is>
          <t>2F120374D5236300000002C2</t>
        </is>
      </c>
    </row>
    <row r="846">
      <c r="A846" t="n">
        <v>28</v>
      </c>
      <c r="B846" t="inlineStr">
        <is>
          <t>SPE7M5-19-V-3956</t>
        </is>
      </c>
      <c r="C846" t="inlineStr">
        <is>
          <t>Atrenne Computing</t>
        </is>
      </c>
      <c r="E846" s="171" t="n">
        <v>6</v>
      </c>
      <c r="G846" s="265" t="n">
        <v>5920.32</v>
      </c>
      <c r="H846" t="inlineStr">
        <is>
          <t>MRB9026Z</t>
        </is>
      </c>
      <c r="I846" t="inlineStr">
        <is>
          <t>MRB90026</t>
        </is>
      </c>
      <c r="J846" s="4" t="n">
        <v>43543</v>
      </c>
      <c r="K846" t="inlineStr">
        <is>
          <t>2F120374D5236300000002C3</t>
        </is>
      </c>
    </row>
    <row r="847">
      <c r="A847" t="n">
        <v>29</v>
      </c>
      <c r="B847" t="inlineStr">
        <is>
          <t>SPE5E7-19-V-1811</t>
        </is>
      </c>
      <c r="C847" t="inlineStr">
        <is>
          <t>HIAB</t>
        </is>
      </c>
      <c r="E847" s="171" t="n">
        <v>1</v>
      </c>
      <c r="G847" s="265" t="n">
        <v>3251</v>
      </c>
      <c r="H847" t="inlineStr">
        <is>
          <t>MRB9027Z</t>
        </is>
      </c>
      <c r="I847" t="inlineStr">
        <is>
          <t>MRB90027</t>
        </is>
      </c>
      <c r="J847" s="4" t="n">
        <v>43543</v>
      </c>
      <c r="K847" t="inlineStr">
        <is>
          <t>2F120374D5236300000002C4</t>
        </is>
      </c>
    </row>
    <row r="848">
      <c r="A848" t="n">
        <v>30</v>
      </c>
      <c r="B848" t="inlineStr">
        <is>
          <t>SPE7MC-19-V-3862</t>
        </is>
      </c>
      <c r="C848" t="inlineStr">
        <is>
          <t>Glenair</t>
        </is>
      </c>
      <c r="E848" s="209" t="n">
        <v>100</v>
      </c>
      <c r="G848" s="265" t="n">
        <v>4164</v>
      </c>
      <c r="H848" t="inlineStr">
        <is>
          <t>MRB9028</t>
        </is>
      </c>
      <c r="I848" t="inlineStr">
        <is>
          <t>MRB90028</t>
        </is>
      </c>
      <c r="J848" s="4" t="n">
        <v>43544</v>
      </c>
      <c r="K848" t="inlineStr">
        <is>
          <t>2F120374D5236300000002C5</t>
        </is>
      </c>
    </row>
    <row r="849">
      <c r="A849" t="n">
        <v>31</v>
      </c>
      <c r="B849" t="inlineStr">
        <is>
          <t>SPE7MC-19-V-3862</t>
        </is>
      </c>
      <c r="C849" t="inlineStr">
        <is>
          <t>Glenair</t>
        </is>
      </c>
      <c r="E849" s="209" t="n">
        <v>100</v>
      </c>
      <c r="G849" s="265" t="n">
        <v>4164</v>
      </c>
      <c r="H849" t="inlineStr">
        <is>
          <t>MRB9029</t>
        </is>
      </c>
      <c r="I849" t="inlineStr">
        <is>
          <t>MRB90029</t>
        </is>
      </c>
      <c r="J849" s="4" t="n">
        <v>43544</v>
      </c>
      <c r="K849" t="inlineStr">
        <is>
          <t>No</t>
        </is>
      </c>
    </row>
    <row r="850">
      <c r="A850" t="n">
        <v>32</v>
      </c>
      <c r="B850" t="inlineStr">
        <is>
          <t>SPE7MC-19-V-3862</t>
        </is>
      </c>
      <c r="C850" t="inlineStr">
        <is>
          <t>Glenair</t>
        </is>
      </c>
      <c r="E850" s="209" t="n">
        <v>100</v>
      </c>
      <c r="G850" s="265" t="n">
        <v>4164</v>
      </c>
      <c r="H850" t="inlineStr">
        <is>
          <t>MRB9030</t>
        </is>
      </c>
      <c r="I850" t="inlineStr">
        <is>
          <t>MRB90030</t>
        </is>
      </c>
      <c r="J850" s="4" t="n">
        <v>43544</v>
      </c>
      <c r="K850" t="inlineStr">
        <is>
          <t>No</t>
        </is>
      </c>
    </row>
    <row r="851">
      <c r="A851" t="n">
        <v>33</v>
      </c>
      <c r="B851" t="inlineStr">
        <is>
          <t>SPE7MC-19-V-3862</t>
        </is>
      </c>
      <c r="C851" t="inlineStr">
        <is>
          <t>Glenair</t>
        </is>
      </c>
      <c r="E851" s="209" t="n">
        <v>100</v>
      </c>
      <c r="G851" s="265" t="n">
        <v>4164</v>
      </c>
      <c r="H851" t="inlineStr">
        <is>
          <t>MRB9031</t>
        </is>
      </c>
      <c r="I851" t="inlineStr">
        <is>
          <t>MRB90031</t>
        </is>
      </c>
      <c r="J851" s="4" t="n">
        <v>43544</v>
      </c>
      <c r="K851" t="inlineStr">
        <is>
          <t>2F120374D5236300000002C6</t>
        </is>
      </c>
    </row>
    <row r="852">
      <c r="A852" t="n">
        <v>34</v>
      </c>
      <c r="B852" t="inlineStr">
        <is>
          <t>SPE7M5-19-V-0303</t>
        </is>
      </c>
      <c r="C852" t="inlineStr">
        <is>
          <t>Phoenix Logistics</t>
        </is>
      </c>
      <c r="E852" s="209" t="n">
        <v>1</v>
      </c>
      <c r="G852" s="265" t="n">
        <v>3058</v>
      </c>
      <c r="H852" t="inlineStr">
        <is>
          <t>MRB9032</t>
        </is>
      </c>
      <c r="I852" t="inlineStr">
        <is>
          <t>MRB90032</t>
        </is>
      </c>
      <c r="J852" s="4" t="n">
        <v>43545</v>
      </c>
      <c r="K852" t="inlineStr">
        <is>
          <t>2F120374D5236300000002C7</t>
        </is>
      </c>
    </row>
    <row r="853">
      <c r="A853" t="n">
        <v>35</v>
      </c>
      <c r="B853" t="inlineStr">
        <is>
          <t>SPE7M5-19-V-0303</t>
        </is>
      </c>
      <c r="C853" t="inlineStr">
        <is>
          <t>Phoenix Logistics</t>
        </is>
      </c>
      <c r="E853" s="209" t="n">
        <v>1</v>
      </c>
      <c r="G853" s="265" t="n">
        <v>3058</v>
      </c>
      <c r="H853" t="inlineStr">
        <is>
          <t>MRB9033Z</t>
        </is>
      </c>
      <c r="I853" t="inlineStr">
        <is>
          <t>MRB90033</t>
        </is>
      </c>
      <c r="J853" s="4" t="n">
        <v>43545</v>
      </c>
      <c r="K853" t="inlineStr">
        <is>
          <t>2F120374D5236300000002C8</t>
        </is>
      </c>
    </row>
    <row r="854">
      <c r="A854" t="n">
        <v>36</v>
      </c>
      <c r="B854" t="inlineStr">
        <is>
          <t>SPE7M0-19-V-5312</t>
        </is>
      </c>
      <c r="C854" t="inlineStr">
        <is>
          <t>Sauer</t>
        </is>
      </c>
      <c r="E854" s="266" t="n">
        <v>1</v>
      </c>
      <c r="G854" t="inlineStr">
        <is>
          <t>$968</t>
        </is>
      </c>
      <c r="H854" t="inlineStr">
        <is>
          <t>MRB9034Z</t>
        </is>
      </c>
      <c r="I854" t="inlineStr">
        <is>
          <t>MRB90034</t>
        </is>
      </c>
      <c r="J854" t="inlineStr">
        <is>
          <t>9/16/2019</t>
        </is>
      </c>
      <c r="K854" t="inlineStr">
        <is>
          <t>No</t>
        </is>
      </c>
    </row>
    <row r="855">
      <c r="A855" t="n">
        <v>37</v>
      </c>
      <c r="B855" t="inlineStr">
        <is>
          <t>SPE4A6-19-V-9410</t>
        </is>
      </c>
      <c r="C855" t="inlineStr">
        <is>
          <t>HIAB</t>
        </is>
      </c>
      <c r="E855" s="266" t="n">
        <v>26</v>
      </c>
      <c r="G855" t="inlineStr">
        <is>
          <t>$4676.36</t>
        </is>
      </c>
      <c r="H855" t="inlineStr">
        <is>
          <t>MRB9035Z</t>
        </is>
      </c>
      <c r="I855" t="inlineStr">
        <is>
          <t>MRB90035</t>
        </is>
      </c>
      <c r="J855" t="inlineStr">
        <is>
          <t>9/16/2019</t>
        </is>
      </c>
      <c r="K855" t="inlineStr">
        <is>
          <t>2F120374D5236300000002C9</t>
        </is>
      </c>
    </row>
    <row r="856">
      <c r="A856" t="n">
        <v>38</v>
      </c>
      <c r="B856" t="inlineStr">
        <is>
          <t>SPE4A6-19-V-9410</t>
        </is>
      </c>
      <c r="C856" t="inlineStr">
        <is>
          <t>HIAB</t>
        </is>
      </c>
      <c r="E856" s="266" t="n">
        <v>26</v>
      </c>
      <c r="G856" t="inlineStr">
        <is>
          <t>$4676.36</t>
        </is>
      </c>
      <c r="H856" t="inlineStr">
        <is>
          <t>MRB9036Z</t>
        </is>
      </c>
      <c r="I856" t="inlineStr">
        <is>
          <t>MRB90036</t>
        </is>
      </c>
      <c r="J856" t="inlineStr">
        <is>
          <t>9/16/2019</t>
        </is>
      </c>
      <c r="K856" t="inlineStr">
        <is>
          <t>2F120374D5236300000002CA</t>
        </is>
      </c>
    </row>
    <row r="857">
      <c r="A857" t="n">
        <v>39</v>
      </c>
      <c r="B857" t="inlineStr">
        <is>
          <t>SPE7M5-19-V-3616</t>
        </is>
      </c>
      <c r="C857" t="inlineStr">
        <is>
          <t>GlenairQTY 250</t>
        </is>
      </c>
      <c r="E857" s="266" t="n">
        <v>110</v>
      </c>
      <c r="G857" t="inlineStr">
        <is>
          <t>$5464.8</t>
        </is>
      </c>
      <c r="H857" t="inlineStr">
        <is>
          <t>MRB9037Z</t>
        </is>
      </c>
      <c r="I857" t="inlineStr">
        <is>
          <t>MRB90037</t>
        </is>
      </c>
      <c r="J857" t="inlineStr">
        <is>
          <t>9/16/2019</t>
        </is>
      </c>
      <c r="K857" t="inlineStr">
        <is>
          <t>No</t>
        </is>
      </c>
    </row>
    <row r="858">
      <c r="A858" t="n">
        <v>40</v>
      </c>
      <c r="B858" t="inlineStr">
        <is>
          <t>SPE7L0-19-V-3024</t>
        </is>
      </c>
      <c r="C858" t="inlineStr">
        <is>
          <t>HIAB</t>
        </is>
      </c>
      <c r="E858" s="266" t="n">
        <v>1</v>
      </c>
      <c r="G858" t="inlineStr">
        <is>
          <t>$4224.55</t>
        </is>
      </c>
      <c r="H858" t="inlineStr">
        <is>
          <t>MRB9038Z</t>
        </is>
      </c>
      <c r="I858" t="inlineStr">
        <is>
          <t>MRB90038</t>
        </is>
      </c>
      <c r="J858" t="inlineStr">
        <is>
          <t>9/16/2019</t>
        </is>
      </c>
      <c r="K858" t="inlineStr">
        <is>
          <t>No</t>
        </is>
      </c>
    </row>
    <row r="859">
      <c r="A859" t="n">
        <v>41</v>
      </c>
      <c r="B859" t="inlineStr">
        <is>
          <t>SPE5EJ-19-V-2693</t>
        </is>
      </c>
      <c r="C859" t="inlineStr">
        <is>
          <t>Lee Spring Qty50</t>
        </is>
      </c>
      <c r="E859" s="266" t="n">
        <v>26</v>
      </c>
      <c r="G859" t="inlineStr">
        <is>
          <t>$275.08</t>
        </is>
      </c>
      <c r="H859" t="inlineStr">
        <is>
          <t>MRB9039Z</t>
        </is>
      </c>
      <c r="I859" t="inlineStr">
        <is>
          <t>MRB90039</t>
        </is>
      </c>
      <c r="J859" t="inlineStr">
        <is>
          <t>9/16/2019</t>
        </is>
      </c>
      <c r="K859" t="inlineStr">
        <is>
          <t>No</t>
        </is>
      </c>
    </row>
    <row r="860">
      <c r="A860" t="n">
        <v>42</v>
      </c>
      <c r="B860" t="inlineStr">
        <is>
          <t>SPE5EK-19-V-2480</t>
        </is>
      </c>
      <c r="C860" t="inlineStr">
        <is>
          <t>KDSTI</t>
        </is>
      </c>
      <c r="E860" s="266" t="n">
        <v>5</v>
      </c>
      <c r="G860" t="inlineStr">
        <is>
          <t>$2374.30</t>
        </is>
      </c>
      <c r="H860" t="inlineStr">
        <is>
          <t>MRB9040</t>
        </is>
      </c>
      <c r="I860" t="inlineStr">
        <is>
          <t>MRB90040</t>
        </is>
      </c>
      <c r="J860" t="inlineStr">
        <is>
          <t>9/16/2019</t>
        </is>
      </c>
      <c r="K860" t="inlineStr">
        <is>
          <t>No</t>
        </is>
      </c>
    </row>
    <row r="861">
      <c r="A861" t="n">
        <v>43</v>
      </c>
      <c r="B861" t="inlineStr">
        <is>
          <t>SPE5EK-19-V-2480</t>
        </is>
      </c>
      <c r="C861" t="inlineStr">
        <is>
          <t>KDSTI</t>
        </is>
      </c>
      <c r="E861" s="266" t="n">
        <v>1</v>
      </c>
      <c r="G861" t="inlineStr">
        <is>
          <t>$474.86</t>
        </is>
      </c>
      <c r="H861" t="inlineStr">
        <is>
          <t>MRB9041</t>
        </is>
      </c>
      <c r="I861" t="inlineStr">
        <is>
          <t>MRB90041</t>
        </is>
      </c>
      <c r="J861" t="inlineStr">
        <is>
          <t>9/16/2019</t>
        </is>
      </c>
      <c r="K861" t="inlineStr">
        <is>
          <t>No</t>
        </is>
      </c>
    </row>
    <row r="862">
      <c r="A862" t="n">
        <v>44</v>
      </c>
      <c r="B862" t="inlineStr">
        <is>
          <t>SPE5E8-19-P-1307</t>
        </is>
      </c>
      <c r="C862" t="inlineStr">
        <is>
          <t>NAFCO</t>
        </is>
      </c>
      <c r="E862" s="266" t="n">
        <v>9</v>
      </c>
      <c r="G862" t="inlineStr">
        <is>
          <t>$4938.21</t>
        </is>
      </c>
      <c r="H862" t="inlineStr">
        <is>
          <t>MRB9042</t>
        </is>
      </c>
      <c r="I862" t="inlineStr">
        <is>
          <t>MRB90042</t>
        </is>
      </c>
      <c r="J862" t="inlineStr">
        <is>
          <t>9/16/2019</t>
        </is>
      </c>
      <c r="K862" t="inlineStr">
        <is>
          <t>No</t>
        </is>
      </c>
    </row>
    <row r="863">
      <c r="A863" t="n">
        <v>45</v>
      </c>
      <c r="B863" t="inlineStr">
        <is>
          <t>SPE5E8-19-P-1307</t>
        </is>
      </c>
      <c r="C863" t="inlineStr">
        <is>
          <t>NAFCO</t>
        </is>
      </c>
      <c r="E863" s="266" t="n">
        <v>1</v>
      </c>
      <c r="G863" t="inlineStr">
        <is>
          <t>$548.69</t>
        </is>
      </c>
      <c r="H863" t="inlineStr">
        <is>
          <t>MRB9043</t>
        </is>
      </c>
      <c r="I863" t="inlineStr">
        <is>
          <t>MRB90043</t>
        </is>
      </c>
      <c r="J863" t="inlineStr">
        <is>
          <t>9/16/2019</t>
        </is>
      </c>
      <c r="K863" t="inlineStr">
        <is>
          <t>No</t>
        </is>
      </c>
    </row>
    <row r="864">
      <c r="A864" t="n">
        <v>46</v>
      </c>
      <c r="B864" t="inlineStr">
        <is>
          <t>SPE7M5-19-V-5330</t>
        </is>
      </c>
      <c r="C864" t="inlineStr">
        <is>
          <t>Data Delay</t>
        </is>
      </c>
      <c r="E864" s="266" t="n">
        <v>49</v>
      </c>
      <c r="G864" t="inlineStr">
        <is>
          <t>$1978.13</t>
        </is>
      </c>
      <c r="H864" t="inlineStr">
        <is>
          <t>MRB9044Z</t>
        </is>
      </c>
      <c r="I864" t="inlineStr">
        <is>
          <t>MRB90044</t>
        </is>
      </c>
      <c r="J864" t="inlineStr">
        <is>
          <t>9/16/2019</t>
        </is>
      </c>
      <c r="K864" t="inlineStr">
        <is>
          <t>No</t>
        </is>
      </c>
    </row>
  </sheetData>
  <hyperlinks>
    <hyperlink display="https://wawf.eb.mil/wawf/xhtml/auth/web/folder/DocumentFolder.xhtml" ref="B402" tooltip="Select this Contract Number" r:id="rId3"/>
    <hyperlink display="https://wawf.eb.mil/wawf/xhtml/auth/web/folder/DocumentFolder.xhtml" ref="B403" tooltip="Select this Contract Number" r:id="rId4"/>
    <hyperlink display="https://wawf.eb.mil/wawf/xhtml/auth/web/folder/DocumentFolder.xhtml" ref="B402" tooltip="Select this Contract Number" r:id="rId3"/>
    <hyperlink display="https://wawf.eb.mil/wawf/xhtml/auth/web/folder/DocumentFolder.xhtml" ref="B403" tooltip="Select this Contract Number" r:id="rId4"/>
  </hyperlinks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5"/>
  <sheetViews>
    <sheetView workbookViewId="0">
      <selection activeCell="A1" sqref="A1"/>
    </sheetView>
  </sheetViews>
  <sheetFormatPr baseColWidth="8" defaultRowHeight="15" outlineLevelCol="0"/>
  <cols>
    <col customWidth="1" max="2" min="2" width="10"/>
    <col customWidth="1" max="4" min="4" width="10.7109375"/>
    <col customWidth="1" max="5" min="5" width="11.85546875"/>
    <col customWidth="1" max="6" min="6" width="11.28515625"/>
    <col customWidth="1" max="7" min="7" width="12.7109375"/>
    <col customWidth="1" max="8" min="8" width="13.5703125"/>
    <col customWidth="1" max="9" min="9" width="11.85546875"/>
    <col bestFit="1" customWidth="1" max="12" min="12" width="10.140625"/>
  </cols>
  <sheetData>
    <row r="1">
      <c r="B1" s="5" t="inlineStr">
        <is>
          <t>WESTSIM ENGINEERING, INC</t>
        </is>
      </c>
      <c r="C1" s="5" t="n"/>
      <c r="D1" s="5" t="n"/>
    </row>
    <row r="2">
      <c r="A2" s="5" t="inlineStr">
        <is>
          <t>NO</t>
        </is>
      </c>
      <c r="B2" s="5" t="inlineStr">
        <is>
          <t>Descrip</t>
        </is>
      </c>
      <c r="C2" s="5" t="inlineStr">
        <is>
          <t>Qty</t>
        </is>
      </c>
      <c r="D2" s="5" t="inlineStr">
        <is>
          <t>Vendor</t>
        </is>
      </c>
      <c r="E2" s="5" t="inlineStr">
        <is>
          <t>Award</t>
        </is>
      </c>
      <c r="F2" s="5" t="inlineStr">
        <is>
          <t>Delivery</t>
        </is>
      </c>
      <c r="G2" s="5" t="inlineStr">
        <is>
          <t>Amount</t>
        </is>
      </c>
      <c r="H2" s="5" t="inlineStr">
        <is>
          <t>PO Amount</t>
        </is>
      </c>
      <c r="I2" s="5" t="inlineStr">
        <is>
          <t>Gross</t>
        </is>
      </c>
      <c r="J2" s="5" t="inlineStr">
        <is>
          <t>Ship Costs</t>
        </is>
      </c>
      <c r="M2" s="5" t="inlineStr">
        <is>
          <t>Fedbid</t>
        </is>
      </c>
    </row>
    <row r="3">
      <c r="A3" t="n">
        <v>1</v>
      </c>
      <c r="B3" t="inlineStr">
        <is>
          <t>Valves</t>
        </is>
      </c>
      <c r="C3" t="n">
        <v>71</v>
      </c>
      <c r="D3" t="inlineStr">
        <is>
          <t>IR</t>
        </is>
      </c>
      <c r="E3" s="4" t="n">
        <v>42614</v>
      </c>
      <c r="F3" s="4" t="n">
        <v>42667</v>
      </c>
      <c r="G3" s="230" t="n">
        <v>13487.16</v>
      </c>
      <c r="H3" s="230">
        <f>12652.2+M3</f>
        <v/>
      </c>
      <c r="I3" s="230">
        <f>G3-H3</f>
        <v/>
      </c>
      <c r="J3" s="230" t="n">
        <v>130</v>
      </c>
      <c r="K3">
        <f>I3/H3</f>
        <v/>
      </c>
      <c r="L3" s="230" t="n">
        <v>10.45</v>
      </c>
      <c r="M3" s="230" t="n">
        <v>392.63</v>
      </c>
    </row>
    <row r="4">
      <c r="A4" t="n">
        <v>2</v>
      </c>
      <c r="B4" t="inlineStr">
        <is>
          <t>Transducer</t>
        </is>
      </c>
      <c r="C4" t="n">
        <v>22</v>
      </c>
      <c r="D4" t="inlineStr">
        <is>
          <t>Seimens</t>
        </is>
      </c>
      <c r="E4" s="4" t="n">
        <v>42641</v>
      </c>
      <c r="F4" s="4" t="n">
        <v>42709</v>
      </c>
      <c r="G4" s="232" t="n">
        <v>42738</v>
      </c>
      <c r="H4" s="230" t="n">
        <v>40372</v>
      </c>
      <c r="I4" s="230">
        <f>G4-H4</f>
        <v/>
      </c>
      <c r="J4" t="n">
        <v>708.76</v>
      </c>
      <c r="K4">
        <f>I4/H4</f>
        <v/>
      </c>
    </row>
    <row r="5">
      <c r="A5" t="n">
        <v>3</v>
      </c>
      <c r="B5" t="inlineStr">
        <is>
          <t>Flow Meter</t>
        </is>
      </c>
      <c r="C5" t="n">
        <v>2</v>
      </c>
      <c r="D5" t="inlineStr">
        <is>
          <t>Valeport</t>
        </is>
      </c>
      <c r="E5" s="4" t="n">
        <v>42727</v>
      </c>
      <c r="F5" s="4" t="n"/>
      <c r="G5" s="230" t="n">
        <v>11594</v>
      </c>
      <c r="H5" s="230" t="n">
        <v>10439.56</v>
      </c>
      <c r="I5" s="230">
        <f>G5-H5</f>
        <v/>
      </c>
      <c r="J5" s="230" t="n">
        <v>0</v>
      </c>
      <c r="K5">
        <f>I5/H5</f>
        <v/>
      </c>
      <c r="L5" s="233" t="n"/>
    </row>
    <row r="6">
      <c r="A6" s="5" t="n"/>
      <c r="B6" s="5" t="inlineStr">
        <is>
          <t>2016 Total</t>
        </is>
      </c>
      <c r="E6" s="4" t="n"/>
      <c r="F6" s="4" t="n"/>
      <c r="G6" s="231">
        <f>SUM(G3:G5)</f>
        <v/>
      </c>
      <c r="H6" s="231">
        <f>SUM(H3:H5)</f>
        <v/>
      </c>
      <c r="I6" s="231">
        <f>SUM(I3:I5)</f>
        <v/>
      </c>
      <c r="J6" s="230" t="n"/>
      <c r="K6">
        <f>I6/H6</f>
        <v/>
      </c>
      <c r="L6" s="233" t="n"/>
    </row>
    <row r="7">
      <c r="A7" t="n">
        <v>4</v>
      </c>
      <c r="B7" t="inlineStr">
        <is>
          <t>AIS</t>
        </is>
      </c>
      <c r="C7" t="n">
        <v>4</v>
      </c>
      <c r="D7" t="inlineStr">
        <is>
          <t>JapanRadio</t>
        </is>
      </c>
      <c r="E7" s="4" t="n">
        <v>42793</v>
      </c>
      <c r="G7" s="236" t="n">
        <v>10620</v>
      </c>
      <c r="H7" s="233" t="n">
        <v>9724</v>
      </c>
      <c r="I7" s="230">
        <f>G7-H7</f>
        <v/>
      </c>
      <c r="J7" s="230" t="n">
        <v>468.17</v>
      </c>
      <c r="K7">
        <f>I7/H7</f>
        <v/>
      </c>
      <c r="M7" t="inlineStr">
        <is>
          <t>WSA01</t>
        </is>
      </c>
    </row>
    <row r="8">
      <c r="H8" s="233" t="n"/>
      <c r="I8" s="233" t="n"/>
    </row>
    <row r="9">
      <c r="A9" t="n">
        <v>5</v>
      </c>
      <c r="B9" t="inlineStr">
        <is>
          <t>Eng Services</t>
        </is>
      </c>
      <c r="D9" t="inlineStr">
        <is>
          <t>BOLO3</t>
        </is>
      </c>
      <c r="E9" s="4" t="n">
        <v>42812</v>
      </c>
      <c r="F9" s="4" t="n">
        <v>42845</v>
      </c>
      <c r="G9" s="230" t="n">
        <v>15000</v>
      </c>
      <c r="H9" s="230" t="n">
        <v>15000</v>
      </c>
      <c r="I9" s="230" t="n">
        <v>15000</v>
      </c>
    </row>
    <row r="12">
      <c r="G12" s="230" t="n">
        <v>67819.16</v>
      </c>
      <c r="H12" s="230" t="n">
        <v>63856.39</v>
      </c>
    </row>
    <row r="13">
      <c r="G13" s="230" t="n">
        <v>157601.3</v>
      </c>
      <c r="H13" s="230" t="n">
        <v>155413.55</v>
      </c>
    </row>
    <row r="14">
      <c r="G14" s="233">
        <f>SUM(G12:G13)</f>
        <v/>
      </c>
      <c r="H14" s="233">
        <f>SUM(H12:H13)</f>
        <v/>
      </c>
      <c r="I14" s="233">
        <f>G14-H14</f>
        <v/>
      </c>
      <c r="J14">
        <f>I14/H14</f>
        <v/>
      </c>
    </row>
    <row r="15">
      <c r="I15" t="n">
        <v>0.03</v>
      </c>
      <c r="J15">
        <f>+G14*I15</f>
        <v/>
      </c>
    </row>
  </sheetData>
  <pageMargins bottom="0.75" footer="0.3" header="0.3" left="0.7" right="0.7" top="0.75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Q77"/>
  <sheetViews>
    <sheetView workbookViewId="0">
      <selection activeCell="F11" sqref="F11"/>
    </sheetView>
  </sheetViews>
  <sheetFormatPr baseColWidth="8" defaultRowHeight="15" outlineLevelCol="0"/>
  <cols>
    <col customWidth="1" max="1" min="1" width="13.42578125"/>
    <col customWidth="1" max="2" min="2" width="15.85546875"/>
    <col customWidth="1" max="3" min="3" width="12.85546875"/>
    <col customWidth="1" max="4" min="4" width="14"/>
    <col customWidth="1" max="5" min="5" width="6.7109375"/>
    <col customWidth="1" max="6" min="6" width="14.85546875"/>
    <col customWidth="1" max="7" min="7" width="14.28515625"/>
    <col customWidth="1" max="8" min="8" width="13"/>
    <col bestFit="1" customWidth="1" max="9" min="9" width="15.28515625"/>
    <col bestFit="1" customWidth="1" max="10" min="10" width="13.28515625"/>
    <col customWidth="1" max="11" min="11" width="16.5703125"/>
    <col customWidth="1" max="12" min="12" width="15"/>
    <col customWidth="1" max="13" min="13" width="18.42578125"/>
    <col customWidth="1" max="14" min="14" width="30"/>
  </cols>
  <sheetData>
    <row customHeight="1" ht="19.15" r="2">
      <c r="A2" s="5" t="inlineStr">
        <is>
          <t>Unit price</t>
        </is>
      </c>
      <c r="B2" s="5" t="inlineStr">
        <is>
          <t>Margin%</t>
        </is>
      </c>
      <c r="C2" s="5" t="inlineStr">
        <is>
          <t>Margin$</t>
        </is>
      </c>
      <c r="D2" s="5" t="inlineStr">
        <is>
          <t>Price/init</t>
        </is>
      </c>
      <c r="E2" s="5" t="inlineStr">
        <is>
          <t>QTY</t>
        </is>
      </c>
      <c r="F2" s="5" t="inlineStr">
        <is>
          <t>Total Price</t>
        </is>
      </c>
      <c r="G2" s="5" t="inlineStr">
        <is>
          <t>Total Cost</t>
        </is>
      </c>
      <c r="H2" s="5" t="inlineStr">
        <is>
          <t>Profit</t>
        </is>
      </c>
      <c r="K2" s="5" t="n"/>
      <c r="L2" s="5" t="n"/>
    </row>
    <row r="3">
      <c r="A3" s="232" t="n">
        <v>42.65</v>
      </c>
      <c r="B3" s="3" t="n">
        <v>0.019</v>
      </c>
      <c r="C3" s="267">
        <f>+A3*B3</f>
        <v/>
      </c>
      <c r="D3" s="230">
        <f>+A3+C3</f>
        <v/>
      </c>
      <c r="E3" t="n">
        <v>1500</v>
      </c>
      <c r="F3" s="230">
        <f>+D3*E3</f>
        <v/>
      </c>
      <c r="G3" s="230">
        <f>+A3*E3</f>
        <v/>
      </c>
      <c r="H3" s="230">
        <f>+F3-G3</f>
        <v/>
      </c>
      <c r="N3" s="62" t="n">
        <v>4820016057100</v>
      </c>
    </row>
    <row customHeight="1" ht="21" r="4">
      <c r="A4" t="n">
        <v>98</v>
      </c>
      <c r="B4" t="n">
        <v>0.08599999999999999</v>
      </c>
      <c r="C4" s="267" t="n"/>
      <c r="D4" s="230" t="n"/>
      <c r="F4" s="230" t="n"/>
      <c r="G4" s="230" t="n">
        <v>208.24</v>
      </c>
      <c r="H4" s="230" t="n">
        <v>269</v>
      </c>
      <c r="J4" t="n">
        <v>126.23</v>
      </c>
    </row>
    <row r="5">
      <c r="C5" s="267" t="n"/>
      <c r="D5" s="230" t="inlineStr">
        <is>
          <t>n</t>
        </is>
      </c>
      <c r="F5" s="230" t="n">
        <v>209</v>
      </c>
      <c r="G5" s="230" t="n"/>
      <c r="H5" s="230" t="n"/>
      <c r="I5" s="230" t="n"/>
      <c r="J5" t="n">
        <v>119.93</v>
      </c>
    </row>
    <row r="6">
      <c r="C6" s="267" t="n"/>
      <c r="D6" s="230" t="n"/>
      <c r="E6" t="n">
        <v>0.008</v>
      </c>
      <c r="F6" s="230" t="n"/>
      <c r="G6" s="230" t="n"/>
      <c r="H6" s="230" t="n"/>
      <c r="I6" s="230" t="n"/>
      <c r="J6" s="3">
        <f>+J4-J5</f>
        <v/>
      </c>
      <c r="N6">
        <f>+L6*M6</f>
        <v/>
      </c>
    </row>
    <row r="7">
      <c r="C7" s="267" t="n">
        <v>13</v>
      </c>
      <c r="D7" s="230" t="n"/>
      <c r="F7" s="230" t="n">
        <v>453</v>
      </c>
      <c r="G7" s="230" t="n"/>
      <c r="H7" s="230" t="n"/>
      <c r="I7" s="230" t="n"/>
      <c r="M7" s="125" t="inlineStr">
        <is>
          <t>FY9150 60 APS TRK INTRANSIT CARGO</t>
        </is>
      </c>
    </row>
    <row r="8">
      <c r="A8" t="inlineStr">
        <is>
          <t>QTY DIS QL</t>
        </is>
      </c>
      <c r="B8" s="231" t="n">
        <v>793.1799999999999</v>
      </c>
      <c r="C8" s="231" t="n">
        <v>0.15</v>
      </c>
      <c r="D8" s="231">
        <f>B8*C8</f>
        <v/>
      </c>
      <c r="E8" s="230" t="n"/>
      <c r="F8" s="230" t="n"/>
      <c r="G8" s="230" t="n"/>
      <c r="H8" s="230" t="n"/>
      <c r="I8" s="230" t="n"/>
      <c r="M8" s="125" t="inlineStr">
        <is>
          <t>BLDG 977 CP 707 424 3992</t>
        </is>
      </c>
    </row>
    <row r="9">
      <c r="B9" s="3" t="n"/>
      <c r="C9" s="3" t="n"/>
      <c r="D9" s="3" t="n">
        <v>28</v>
      </c>
      <c r="E9" s="230" t="n"/>
      <c r="F9" s="230" t="n"/>
      <c r="G9" s="230" t="n"/>
      <c r="H9" s="230" t="n"/>
      <c r="I9" s="230" t="n"/>
      <c r="K9" s="230" t="n"/>
      <c r="M9" s="125" t="inlineStr">
        <is>
          <t>90 RAGSDALE ST</t>
        </is>
      </c>
    </row>
    <row r="10">
      <c r="B10" s="3" t="n"/>
      <c r="C10" s="3" t="n"/>
      <c r="D10" s="240">
        <f>D8/D9</f>
        <v/>
      </c>
      <c r="E10" s="230" t="n"/>
      <c r="F10" s="230" t="n"/>
      <c r="G10" s="230" t="n">
        <v>0.054</v>
      </c>
      <c r="H10" s="230" t="n"/>
      <c r="I10" s="230" t="n">
        <v>81.73999999999999</v>
      </c>
      <c r="J10" t="n">
        <v>2793.62</v>
      </c>
      <c r="K10" s="230" t="n">
        <v>2240.2</v>
      </c>
      <c r="M10" s="126" t="inlineStr">
        <is>
          <t>TRAVIS AFB CA 94535-2631</t>
        </is>
      </c>
    </row>
    <row r="11">
      <c r="C11" s="267" t="n"/>
      <c r="D11" s="230" t="n"/>
      <c r="E11" t="n">
        <v>0.039</v>
      </c>
      <c r="F11" s="230" t="n">
        <v>19709</v>
      </c>
      <c r="G11" s="230" t="n"/>
      <c r="H11" s="230" t="n"/>
      <c r="I11" s="230" t="n"/>
      <c r="J11" t="n">
        <v>2793.62</v>
      </c>
      <c r="K11" t="n">
        <v>5842.4</v>
      </c>
    </row>
    <row r="12">
      <c r="A12" t="inlineStr">
        <is>
          <t>DIVIDE</t>
        </is>
      </c>
      <c r="B12" t="n">
        <v>1272</v>
      </c>
      <c r="C12" s="267" t="n">
        <v>2</v>
      </c>
      <c r="D12" s="230">
        <f>+B12/C12</f>
        <v/>
      </c>
      <c r="E12" s="230" t="n"/>
      <c r="F12" s="230">
        <f>+F10-F11</f>
        <v/>
      </c>
      <c r="G12" s="230" t="n"/>
      <c r="H12" s="230" t="n"/>
      <c r="I12" s="230" t="n">
        <v>359.75</v>
      </c>
      <c r="J12">
        <f>SUM(J10:J11)</f>
        <v/>
      </c>
      <c r="K12" t="n">
        <v>1077.68</v>
      </c>
      <c r="M12" s="125" t="inlineStr">
        <is>
          <t>FY9150 60 APS TRK INTRANSIT CARGO</t>
        </is>
      </c>
    </row>
    <row r="13">
      <c r="A13" t="inlineStr">
        <is>
          <t>MULT</t>
        </is>
      </c>
      <c r="B13" s="230" t="n">
        <v>198</v>
      </c>
      <c r="C13" s="267" t="n">
        <v>10</v>
      </c>
      <c r="D13" s="230">
        <f>B13*C13</f>
        <v/>
      </c>
      <c r="E13" s="230" t="n">
        <v>218.42</v>
      </c>
      <c r="F13" s="97" t="n"/>
      <c r="G13" s="230" t="n">
        <v>1650</v>
      </c>
      <c r="H13" s="230" t="n"/>
      <c r="I13" s="230" t="n">
        <v>55.6</v>
      </c>
      <c r="K13" t="n">
        <v>9492</v>
      </c>
      <c r="M13" s="125" t="inlineStr">
        <is>
          <t>BLDG 977 CP 707 424 3992</t>
        </is>
      </c>
    </row>
    <row r="14">
      <c r="A14" t="inlineStr">
        <is>
          <t>SUB</t>
        </is>
      </c>
      <c r="B14" s="232" t="n">
        <v>3131</v>
      </c>
      <c r="C14" s="230" t="n">
        <v>2982</v>
      </c>
      <c r="D14" s="268">
        <f>+B14-C14</f>
        <v/>
      </c>
      <c r="E14" s="230" t="n"/>
      <c r="F14" s="230" t="n"/>
      <c r="G14" s="230" t="n">
        <v>697</v>
      </c>
      <c r="H14" s="230" t="n"/>
      <c r="I14" s="230" t="n">
        <v>3300</v>
      </c>
      <c r="J14" s="230" t="n"/>
      <c r="K14" s="230">
        <f>SUM(K10:K13)</f>
        <v/>
      </c>
      <c r="M14" s="125" t="inlineStr">
        <is>
          <t>90 RAGSDALE ST</t>
        </is>
      </c>
    </row>
    <row r="15">
      <c r="A15" t="inlineStr">
        <is>
          <t>SUM</t>
        </is>
      </c>
      <c r="B15" s="232" t="n">
        <v>6879</v>
      </c>
      <c r="C15" s="230" t="n">
        <v>2400</v>
      </c>
      <c r="D15" s="267">
        <f>B15+C15</f>
        <v/>
      </c>
      <c r="E15" s="230" t="n"/>
      <c r="G15" s="233" t="n">
        <v>697</v>
      </c>
      <c r="H15" s="230" t="n"/>
      <c r="I15" s="230" t="n">
        <v>1680</v>
      </c>
      <c r="J15" s="230" t="n"/>
      <c r="M15" s="126" t="inlineStr">
        <is>
          <t>TRAVIS AFB CA 94535-2631</t>
        </is>
      </c>
    </row>
    <row r="16">
      <c r="B16" t="n">
        <v>305.36</v>
      </c>
      <c r="C16" s="267" t="n">
        <v>24</v>
      </c>
      <c r="D16" s="267">
        <f>B16+C16</f>
        <v/>
      </c>
      <c r="E16" s="230" t="n"/>
      <c r="F16" s="230" t="n"/>
      <c r="G16" s="233">
        <f>SUM(G13:G15)</f>
        <v/>
      </c>
      <c r="H16" s="230" t="n"/>
      <c r="I16" s="230">
        <f>SUM(I12:I15)</f>
        <v/>
      </c>
      <c r="J16" s="233" t="n"/>
      <c r="K16" t="n">
        <v>2595.6</v>
      </c>
    </row>
    <row customHeight="1" ht="36" r="17">
      <c r="A17" t="inlineStr">
        <is>
          <t>HIB 15%dis</t>
        </is>
      </c>
      <c r="B17" s="233">
        <f>B8-D8</f>
        <v/>
      </c>
      <c r="C17" s="267" t="n"/>
      <c r="D17" s="267" t="n"/>
      <c r="F17" s="230" t="n"/>
      <c r="G17" s="233" t="n"/>
      <c r="H17" s="230" t="n"/>
      <c r="I17" s="230" t="n"/>
      <c r="J17" s="233" t="n"/>
      <c r="M17" s="153" t="inlineStr">
        <is>
          <t>We request status of the items on the our PO</t>
        </is>
      </c>
    </row>
    <row r="18">
      <c r="D18" s="233" t="n"/>
      <c r="F18" s="152" t="n">
        <v>908715</v>
      </c>
      <c r="G18" s="233" t="n">
        <v>8459.5</v>
      </c>
      <c r="H18" s="230" t="n"/>
      <c r="I18" s="230" t="n">
        <v>2736.32</v>
      </c>
      <c r="J18" s="233" t="n"/>
      <c r="M18" s="153" t="n"/>
      <c r="O18" s="99" t="n"/>
      <c r="P18" s="99" t="n"/>
      <c r="Q18" s="99" t="n"/>
    </row>
    <row r="19">
      <c r="B19" t="n">
        <v>3800</v>
      </c>
      <c r="C19" s="267" t="n">
        <v>6000</v>
      </c>
      <c r="D19" s="267">
        <f>+B19+C19</f>
        <v/>
      </c>
      <c r="F19" s="152" t="n">
        <v>909349</v>
      </c>
      <c r="G19" s="233" t="n">
        <v>2199.8</v>
      </c>
      <c r="H19" s="230" t="n"/>
      <c r="I19" s="230" t="n">
        <v>5277.78</v>
      </c>
      <c r="J19" s="240" t="n"/>
      <c r="K19" s="232" t="n">
        <v>10372.14</v>
      </c>
    </row>
    <row r="20">
      <c r="B20" t="n">
        <v>29240</v>
      </c>
      <c r="C20" s="267" t="n">
        <v>28350</v>
      </c>
      <c r="F20" s="152" t="n">
        <v>909376</v>
      </c>
      <c r="G20" s="233" t="n">
        <v>4399.4</v>
      </c>
      <c r="H20" s="230" t="n"/>
      <c r="I20" s="230" t="n">
        <v>3796</v>
      </c>
      <c r="K20" s="232" t="n">
        <v>5769</v>
      </c>
      <c r="M20" s="153" t="inlineStr">
        <is>
          <t>Thanks for your help.</t>
        </is>
      </c>
    </row>
    <row r="21">
      <c r="B21" t="n">
        <v>28350</v>
      </c>
      <c r="F21" s="152" t="n">
        <v>911243</v>
      </c>
      <c r="G21" s="233" t="n">
        <v>5490.54</v>
      </c>
      <c r="H21" s="230" t="n"/>
      <c r="I21" s="230">
        <f>SUM(I18:I20)</f>
        <v/>
      </c>
      <c r="K21" t="n">
        <v>5026.73</v>
      </c>
      <c r="M21" s="3" t="n"/>
    </row>
    <row r="22">
      <c r="B22" s="89" t="n"/>
      <c r="C22" s="89" t="n"/>
      <c r="F22" s="152" t="n">
        <v>914259</v>
      </c>
      <c r="G22" s="233" t="n">
        <v>3240.2</v>
      </c>
      <c r="H22" s="230" t="n"/>
      <c r="I22" s="230" t="n"/>
      <c r="K22" s="232">
        <f>SUM(K19:K21)</f>
        <v/>
      </c>
      <c r="M22" s="240" t="n"/>
      <c r="N22" s="233" t="n"/>
    </row>
    <row r="23">
      <c r="B23" s="255" t="n"/>
      <c r="C23" s="110" t="n"/>
      <c r="D23" s="255" t="n"/>
      <c r="F23" s="152" t="n">
        <v>914270</v>
      </c>
      <c r="G23" s="233" t="n">
        <v>2985.5</v>
      </c>
    </row>
    <row r="24">
      <c r="B24" s="255" t="n"/>
      <c r="C24" s="110" t="n"/>
      <c r="D24" s="255" t="n"/>
      <c r="F24" s="152" t="n">
        <v>914925</v>
      </c>
      <c r="G24" s="233" t="n">
        <v>4360</v>
      </c>
      <c r="N24" t="inlineStr">
        <is>
          <t>M24758-2dl</t>
        </is>
      </c>
      <c r="O24" t="n">
        <v>459</v>
      </c>
    </row>
    <row r="25">
      <c r="B25" s="255" t="n"/>
      <c r="C25" s="110" t="n">
        <v>100</v>
      </c>
      <c r="F25" s="152" t="n">
        <v>915349</v>
      </c>
      <c r="G25" s="233" t="n">
        <v>3349.61</v>
      </c>
      <c r="H25" s="233" t="n"/>
      <c r="J25" s="269" t="n"/>
    </row>
    <row r="26">
      <c r="B26" s="46" t="n"/>
      <c r="C26" s="46" t="n"/>
      <c r="G26" s="233">
        <f>SUM(G18:G25)</f>
        <v/>
      </c>
      <c r="J26" s="269" t="n"/>
    </row>
    <row customHeight="1" ht="15.75" r="27" thickBot="1">
      <c r="B27" s="232" t="n"/>
      <c r="D27" s="112" t="n"/>
      <c r="H27" t="inlineStr">
        <is>
          <t>glenair</t>
        </is>
      </c>
      <c r="I27" s="4" t="n">
        <v>43414</v>
      </c>
      <c r="J27" s="158" t="n">
        <v>43425</v>
      </c>
    </row>
    <row customHeight="1" ht="15.75" r="28" thickBot="1">
      <c r="B28" s="46" t="inlineStr">
        <is>
          <t>Glenair</t>
        </is>
      </c>
      <c r="C28" s="46" t="n"/>
      <c r="D28" s="113" t="n"/>
      <c r="E28" s="114" t="n"/>
      <c r="F28" t="n">
        <v>921178</v>
      </c>
      <c r="G28" s="230" t="n">
        <v>258.99</v>
      </c>
      <c r="H28" t="n">
        <v>922218</v>
      </c>
      <c r="I28" s="230" t="n">
        <v>250.13</v>
      </c>
      <c r="J28" t="n">
        <v>936804</v>
      </c>
      <c r="K28" s="230" t="n">
        <v>3336.4</v>
      </c>
      <c r="N28" t="inlineStr">
        <is>
          <t>ADTS405261892M0</t>
        </is>
      </c>
    </row>
    <row r="29">
      <c r="B29" s="46" t="inlineStr">
        <is>
          <t>Oct</t>
        </is>
      </c>
      <c r="F29" t="n">
        <v>921185</v>
      </c>
      <c r="G29" s="230" t="n">
        <v>509.64</v>
      </c>
      <c r="H29" t="n">
        <v>931668</v>
      </c>
      <c r="I29" s="230" t="n">
        <v>610.0599999999999</v>
      </c>
      <c r="J29" t="n">
        <v>933655</v>
      </c>
      <c r="K29" s="230" t="n">
        <v>6743.04</v>
      </c>
    </row>
    <row r="30">
      <c r="B30" s="46" t="inlineStr">
        <is>
          <t>50-99</t>
        </is>
      </c>
      <c r="C30" t="n">
        <v>573.87</v>
      </c>
      <c r="D30" s="46" t="n"/>
      <c r="F30" t="n">
        <v>916054</v>
      </c>
      <c r="G30" s="232" t="n">
        <v>968.2</v>
      </c>
      <c r="H30" t="n">
        <v>933081</v>
      </c>
      <c r="I30" s="230" t="n">
        <v>4903.6</v>
      </c>
      <c r="J30" t="n">
        <v>938870</v>
      </c>
      <c r="K30" s="230" t="n">
        <v>1898.4</v>
      </c>
    </row>
    <row customHeight="1" ht="17.25" r="31">
      <c r="B31" s="99" t="inlineStr">
        <is>
          <t>100-249</t>
        </is>
      </c>
      <c r="C31" t="n">
        <v>545.1799999999999</v>
      </c>
      <c r="F31" t="n">
        <v>917096</v>
      </c>
      <c r="G31" s="232" t="n">
        <v>3622.3</v>
      </c>
      <c r="H31" t="n">
        <v>933105</v>
      </c>
      <c r="I31" s="230" t="n">
        <v>6827</v>
      </c>
      <c r="J31" t="n">
        <v>938889</v>
      </c>
      <c r="K31" s="230" t="n">
        <v>581.36</v>
      </c>
      <c r="N31" s="94" t="inlineStr">
        <is>
          <t>WE HAVE MOVED - PLEASE NOTE OUR NEW ADDRESS
7061 Grand National DR
Suite 107A
Orlando FL 32819</t>
        </is>
      </c>
    </row>
    <row r="32">
      <c r="A32" t="inlineStr">
        <is>
          <t>Sep</t>
        </is>
      </c>
      <c r="B32" t="inlineStr">
        <is>
          <t>50-99</t>
        </is>
      </c>
      <c r="C32" t="n">
        <v>556.08</v>
      </c>
      <c r="D32" t="n">
        <v>596.77</v>
      </c>
      <c r="E32">
        <f>+D32-C32</f>
        <v/>
      </c>
      <c r="F32" t="n">
        <v>926600</v>
      </c>
      <c r="G32" s="232" t="n">
        <v>11663</v>
      </c>
      <c r="I32" s="233">
        <f>SUM(I28:I31)</f>
        <v/>
      </c>
      <c r="K32" s="230">
        <f>SUM(K28:K31)</f>
        <v/>
      </c>
    </row>
    <row r="33">
      <c r="A33" s="51" t="inlineStr">
        <is>
          <t>expdec24</t>
        </is>
      </c>
      <c r="B33" t="inlineStr">
        <is>
          <t>100-249</t>
        </is>
      </c>
      <c r="C33" t="n">
        <v>528.28</v>
      </c>
      <c r="F33" t="n">
        <v>929343</v>
      </c>
      <c r="G33" s="233" t="n">
        <v>1250.65</v>
      </c>
      <c r="I33" s="233" t="n"/>
    </row>
    <row r="34">
      <c r="G34" s="233">
        <f>SUM(G28:G33)</f>
        <v/>
      </c>
      <c r="I34" s="233" t="n"/>
    </row>
    <row r="35">
      <c r="E35">
        <f>+E32*43</f>
        <v/>
      </c>
      <c r="G35" s="233" t="n"/>
    </row>
    <row r="36">
      <c r="D36" t="n">
        <v>43</v>
      </c>
    </row>
    <row r="37">
      <c r="B37" s="51" t="n"/>
      <c r="D37" t="n">
        <v>23</v>
      </c>
      <c r="H37" s="5" t="inlineStr">
        <is>
          <t>SCI</t>
        </is>
      </c>
      <c r="I37" s="4" t="n">
        <v>43425</v>
      </c>
    </row>
    <row r="38">
      <c r="C38" t="n">
        <v>84</v>
      </c>
      <c r="D38">
        <f>SUM(D36:D37)</f>
        <v/>
      </c>
      <c r="I38" s="10" t="inlineStr">
        <is>
          <t>004618</t>
        </is>
      </c>
      <c r="J38" s="230" t="n">
        <v>8068.83</v>
      </c>
      <c r="K38" t="n">
        <v>4852</v>
      </c>
      <c r="L38" s="230" t="n">
        <v>12127.68</v>
      </c>
      <c r="N38" t="n">
        <v>32720</v>
      </c>
    </row>
    <row r="39">
      <c r="D39">
        <f>+C38+D38</f>
        <v/>
      </c>
      <c r="I39" s="10" t="inlineStr">
        <is>
          <t>004619</t>
        </is>
      </c>
      <c r="J39" s="230" t="n">
        <v>15716.53</v>
      </c>
      <c r="K39" t="n">
        <v>4804</v>
      </c>
      <c r="L39" s="230" t="n">
        <v>9198.66</v>
      </c>
    </row>
    <row r="40">
      <c r="B40" t="inlineStr">
        <is>
          <t>Glenair</t>
        </is>
      </c>
      <c r="I40" s="10" t="inlineStr">
        <is>
          <t>004621</t>
        </is>
      </c>
      <c r="J40" s="230" t="n">
        <v>11510.31</v>
      </c>
      <c r="K40" t="n">
        <v>5032</v>
      </c>
      <c r="L40" s="230" t="n">
        <v>23228.07</v>
      </c>
    </row>
    <row r="41">
      <c r="B41" t="inlineStr">
        <is>
          <t>390GH013NF1312H-98J</t>
        </is>
      </c>
      <c r="I41" s="10" t="inlineStr">
        <is>
          <t>004658</t>
        </is>
      </c>
      <c r="J41" s="230" t="n">
        <v>1022.32</v>
      </c>
      <c r="K41" t="n">
        <v>5049</v>
      </c>
      <c r="L41" s="230" t="n">
        <v>4287.39</v>
      </c>
    </row>
    <row r="42">
      <c r="I42" s="10" t="inlineStr">
        <is>
          <t>Total</t>
        </is>
      </c>
      <c r="J42" s="233">
        <f>SUM(J38:J41)</f>
        <v/>
      </c>
      <c r="K42" t="n">
        <v>5089</v>
      </c>
      <c r="L42" s="230" t="n">
        <v>5445.85</v>
      </c>
    </row>
    <row r="43">
      <c r="A43" t="inlineStr">
        <is>
          <t>nov</t>
        </is>
      </c>
      <c r="B43" t="inlineStr">
        <is>
          <t>35-49</t>
        </is>
      </c>
      <c r="C43" t="n">
        <v>332.19</v>
      </c>
      <c r="G43" s="4" t="n"/>
      <c r="L43" s="233">
        <f>SUM(L38:L42)</f>
        <v/>
      </c>
    </row>
    <row r="44">
      <c r="B44" t="inlineStr">
        <is>
          <t>50-99</t>
        </is>
      </c>
      <c r="C44" t="n">
        <v>240.72</v>
      </c>
      <c r="I44" s="10" t="inlineStr">
        <is>
          <t>003980</t>
        </is>
      </c>
      <c r="J44" s="233" t="n">
        <v>1354.97</v>
      </c>
    </row>
    <row r="45">
      <c r="A45" s="4" t="n">
        <v>43318</v>
      </c>
      <c r="I45" s="10" t="inlineStr">
        <is>
          <t>004122</t>
        </is>
      </c>
      <c r="J45" s="233" t="n">
        <v>10628.63</v>
      </c>
      <c r="K45" s="51" t="n">
        <v>5208</v>
      </c>
      <c r="L45" s="254" t="n">
        <v>32881.16</v>
      </c>
    </row>
    <row r="46">
      <c r="I46" s="10" t="inlineStr">
        <is>
          <t>004620</t>
        </is>
      </c>
      <c r="J46" s="233" t="n">
        <v>24334.93</v>
      </c>
    </row>
    <row r="47">
      <c r="B47" t="inlineStr">
        <is>
          <t>387HS083XW2514-6</t>
        </is>
      </c>
      <c r="D47" s="46" t="n"/>
      <c r="J47" s="233">
        <f>SUM(J44:J46)</f>
        <v/>
      </c>
    </row>
    <row r="48">
      <c r="A48" t="inlineStr">
        <is>
          <t>Qty 10</t>
        </is>
      </c>
      <c r="B48" t="n">
        <v>474.74</v>
      </c>
      <c r="D48" s="46" t="n"/>
      <c r="H48" t="inlineStr">
        <is>
          <t>GLENAIR</t>
        </is>
      </c>
      <c r="I48" s="4" t="n">
        <v>43439</v>
      </c>
      <c r="K48" s="4" t="n">
        <v>43447</v>
      </c>
      <c r="M48" s="230" t="n"/>
    </row>
    <row r="49">
      <c r="A49" t="inlineStr">
        <is>
          <t>Qty 4-6</t>
        </is>
      </c>
      <c r="B49" t="n">
        <v>662.58</v>
      </c>
      <c r="I49" t="n">
        <v>941264</v>
      </c>
      <c r="J49" s="233" t="n">
        <v>2448.1</v>
      </c>
      <c r="K49" t="n">
        <v>954007</v>
      </c>
      <c r="L49" s="230" t="n">
        <v>19860.96</v>
      </c>
      <c r="N49" s="233" t="n"/>
    </row>
    <row r="50">
      <c r="A50" t="inlineStr">
        <is>
          <t>Qty 7-9</t>
        </is>
      </c>
      <c r="B50" t="n">
        <v>619.23</v>
      </c>
      <c r="I50" t="n">
        <v>941954</v>
      </c>
      <c r="J50" s="233" t="n">
        <v>5360</v>
      </c>
      <c r="K50" t="n">
        <v>954009</v>
      </c>
      <c r="L50" s="230" t="n">
        <v>3813.4</v>
      </c>
    </row>
    <row r="51">
      <c r="A51" t="inlineStr">
        <is>
          <t>Qty10-19</t>
        </is>
      </c>
      <c r="B51" t="n">
        <v>491.83</v>
      </c>
      <c r="E51" s="231" t="n"/>
      <c r="F51" s="231" t="n"/>
      <c r="G51" s="231" t="n"/>
      <c r="I51" t="n">
        <v>942355</v>
      </c>
      <c r="J51" s="233" t="n">
        <v>9876.16</v>
      </c>
      <c r="K51" t="n">
        <v>954431</v>
      </c>
      <c r="L51" s="230" t="n">
        <v>6338.64</v>
      </c>
    </row>
    <row r="52">
      <c r="A52" t="inlineStr">
        <is>
          <t>Qty 20-34</t>
        </is>
      </c>
      <c r="B52" t="n">
        <v>340.01</v>
      </c>
      <c r="E52" s="3" t="n"/>
      <c r="F52" s="3" t="n"/>
      <c r="G52" s="3" t="n"/>
      <c r="I52" t="n">
        <v>943255</v>
      </c>
      <c r="J52" s="233" t="n">
        <v>3527.2</v>
      </c>
      <c r="K52" t="n">
        <v>954846</v>
      </c>
      <c r="L52" s="230" t="n">
        <v>1857.05</v>
      </c>
      <c r="N52" t="inlineStr">
        <is>
          <t>XM-79660086200WL</t>
        </is>
      </c>
    </row>
    <row r="53">
      <c r="A53" t="inlineStr">
        <is>
          <t>QTY 35-49</t>
        </is>
      </c>
      <c r="B53" t="n">
        <v>265.16</v>
      </c>
      <c r="E53" s="3" t="n"/>
      <c r="F53" s="3" t="n"/>
      <c r="G53" s="3" t="n"/>
      <c r="I53" t="n">
        <v>951627</v>
      </c>
      <c r="J53" s="233" t="n">
        <v>2226</v>
      </c>
      <c r="K53" t="inlineStr">
        <is>
          <t>Total</t>
        </is>
      </c>
      <c r="L53" s="230">
        <f>SUM(L49:L52)</f>
        <v/>
      </c>
    </row>
    <row r="54">
      <c r="A54" t="inlineStr">
        <is>
          <t>QTY 50-99</t>
        </is>
      </c>
      <c r="B54" t="n">
        <v>213.84</v>
      </c>
      <c r="I54" t="n">
        <v>952720</v>
      </c>
      <c r="J54" s="233" t="n">
        <v>14615.37</v>
      </c>
      <c r="L54" s="230" t="n"/>
    </row>
    <row r="55">
      <c r="I55" t="inlineStr">
        <is>
          <t>Total</t>
        </is>
      </c>
      <c r="J55" s="233">
        <f>SUM(J49:J54)</f>
        <v/>
      </c>
      <c r="L55" s="230" t="n"/>
    </row>
    <row r="56">
      <c r="I56" s="5" t="inlineStr">
        <is>
          <t>Glenair</t>
        </is>
      </c>
      <c r="K56" t="inlineStr">
        <is>
          <t>SCI</t>
        </is>
      </c>
      <c r="L56" s="163" t="n">
        <v>43468</v>
      </c>
    </row>
    <row r="57">
      <c r="I57" t="n">
        <v>955299</v>
      </c>
      <c r="J57" s="230" t="n">
        <v>4232.64</v>
      </c>
      <c r="K57" t="n">
        <v>5208</v>
      </c>
      <c r="L57" s="236" t="n">
        <v>32881.16</v>
      </c>
    </row>
    <row r="58">
      <c r="C58" t="n">
        <v>1018</v>
      </c>
      <c r="D58" t="n">
        <v>991</v>
      </c>
      <c r="I58" t="n">
        <v>961407</v>
      </c>
      <c r="J58" s="230" t="n">
        <v>7195.68</v>
      </c>
      <c r="L58" s="4" t="n">
        <v>43481</v>
      </c>
    </row>
    <row r="59">
      <c r="C59" t="n">
        <v>1018</v>
      </c>
      <c r="D59" t="n">
        <v>991</v>
      </c>
      <c r="I59" t="n">
        <v>962662</v>
      </c>
      <c r="J59" s="233" t="n">
        <v>24204.56</v>
      </c>
      <c r="K59" t="n">
        <v>5436</v>
      </c>
      <c r="L59" s="230" t="n">
        <v>31170.75</v>
      </c>
    </row>
    <row r="60">
      <c r="B60" s="230" t="n"/>
      <c r="C60" s="230" t="n">
        <v>2580</v>
      </c>
      <c r="D60" s="230" t="n">
        <v>2507</v>
      </c>
      <c r="I60" s="230" t="inlineStr">
        <is>
          <t>Total</t>
        </is>
      </c>
      <c r="J60" s="230">
        <f>SUM(J57:J59)</f>
        <v/>
      </c>
    </row>
    <row r="61">
      <c r="B61" s="230" t="n"/>
      <c r="C61" s="230">
        <f>SUM(C58:C60)</f>
        <v/>
      </c>
      <c r="D61" s="230">
        <f>SUM(D58:D60)</f>
        <v/>
      </c>
      <c r="J61" s="4" t="n">
        <v>43477</v>
      </c>
      <c r="K61" t="n">
        <v>5437</v>
      </c>
      <c r="L61" s="230" t="n">
        <v>10899.93</v>
      </c>
    </row>
    <row r="62">
      <c r="B62" s="230" t="n"/>
      <c r="C62" s="230" t="n"/>
      <c r="D62" s="230">
        <f>+C61-D61</f>
        <v/>
      </c>
      <c r="I62" t="n">
        <v>967418</v>
      </c>
      <c r="J62" s="230" t="n">
        <v>8825.040000000001</v>
      </c>
      <c r="K62" t="n">
        <v>5438</v>
      </c>
      <c r="L62" s="230" t="n">
        <v>6175.22</v>
      </c>
    </row>
    <row r="63">
      <c r="B63" s="230" t="n"/>
      <c r="C63" s="230" t="n"/>
      <c r="D63" s="230" t="n"/>
      <c r="I63" t="n">
        <v>967583</v>
      </c>
      <c r="J63" s="230" t="n">
        <v>3398.5</v>
      </c>
      <c r="K63" t="n">
        <v>5441</v>
      </c>
      <c r="L63" s="230" t="n">
        <v>11234.05</v>
      </c>
    </row>
    <row r="64">
      <c r="B64" s="230" t="n"/>
      <c r="C64" s="230" t="n"/>
      <c r="D64" s="230" t="n"/>
      <c r="I64" t="inlineStr">
        <is>
          <t>Total</t>
        </is>
      </c>
      <c r="J64" s="230">
        <f>SUM(J62:J63)</f>
        <v/>
      </c>
      <c r="K64" s="230" t="inlineStr">
        <is>
          <t>Total</t>
        </is>
      </c>
      <c r="L64" s="230">
        <f>SUM(L61:L63)</f>
        <v/>
      </c>
    </row>
    <row r="65">
      <c r="F65" t="n">
        <v>905793</v>
      </c>
      <c r="K65" s="233" t="n"/>
      <c r="L65" s="4" t="n">
        <v>43495</v>
      </c>
    </row>
    <row r="66">
      <c r="D66" s="230" t="n"/>
      <c r="J66" s="4" t="n">
        <v>43504</v>
      </c>
      <c r="K66" t="n">
        <v>5478</v>
      </c>
      <c r="L66" s="230" t="n">
        <v>20618.7</v>
      </c>
    </row>
    <row r="67">
      <c r="D67" s="230" t="n"/>
      <c r="J67" s="230" t="n">
        <v>23754.89</v>
      </c>
      <c r="K67" t="n">
        <v>5522</v>
      </c>
      <c r="L67" s="230" t="n">
        <v>6765.36</v>
      </c>
    </row>
    <row r="68">
      <c r="D68" s="230" t="n"/>
      <c r="K68" t="inlineStr">
        <is>
          <t>Total</t>
        </is>
      </c>
      <c r="L68" s="233">
        <f>SUM(L66:L67)</f>
        <v/>
      </c>
    </row>
    <row r="69">
      <c r="D69" s="230" t="n"/>
      <c r="I69" t="n">
        <v>987053</v>
      </c>
      <c r="J69" t="n">
        <v>5952.5</v>
      </c>
    </row>
    <row r="70">
      <c r="I70" t="n">
        <v>992118</v>
      </c>
      <c r="J70" t="n">
        <v>9820</v>
      </c>
      <c r="K70" t="n">
        <v>5751</v>
      </c>
      <c r="L70" s="233" t="n">
        <v>9881.77</v>
      </c>
    </row>
    <row r="71">
      <c r="I71" t="n">
        <v>995007</v>
      </c>
      <c r="J71" t="n">
        <v>12036</v>
      </c>
      <c r="K71" t="n">
        <v>5802</v>
      </c>
      <c r="L71" s="233" t="n">
        <v>19556</v>
      </c>
    </row>
    <row r="72">
      <c r="J72">
        <f>SUM(J69:J71)</f>
        <v/>
      </c>
      <c r="K72" t="n">
        <v>5803</v>
      </c>
      <c r="L72" s="233" t="n">
        <v>4481.89</v>
      </c>
    </row>
    <row r="73">
      <c r="J73" s="4" t="n">
        <v>43537</v>
      </c>
      <c r="K73" t="inlineStr">
        <is>
          <t>Total</t>
        </is>
      </c>
      <c r="L73" s="233">
        <f>SUM(L70:L72)</f>
        <v/>
      </c>
    </row>
    <row r="74">
      <c r="I74" t="n">
        <v>997404</v>
      </c>
      <c r="J74" s="230" t="n">
        <v>29022.6</v>
      </c>
    </row>
    <row r="75">
      <c r="L75" s="233" t="n">
        <v>33919.66</v>
      </c>
    </row>
    <row r="76">
      <c r="L76" s="233" t="n">
        <v>27384</v>
      </c>
    </row>
    <row r="77">
      <c r="L77" s="233">
        <f>+L75-L76</f>
        <v/>
      </c>
    </row>
  </sheetData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I5"/>
  <sheetViews>
    <sheetView workbookViewId="0">
      <selection activeCell="A1" sqref="A1"/>
    </sheetView>
  </sheetViews>
  <sheetFormatPr baseColWidth="8" defaultRowHeight="15" outlineLevelCol="0"/>
  <cols>
    <col customWidth="1" max="5" min="5" width="9.85546875"/>
  </cols>
  <sheetData>
    <row customHeight="1" ht="18.75" r="2">
      <c r="B2" s="55" t="inlineStr">
        <is>
          <t>WESTSIM INC</t>
        </is>
      </c>
      <c r="C2" s="55" t="n"/>
      <c r="D2" s="55" t="n"/>
    </row>
    <row customHeight="1" ht="18.75" r="3">
      <c r="B3" s="55" t="inlineStr">
        <is>
          <t>RECEIVING REPORT</t>
        </is>
      </c>
      <c r="C3" s="55" t="n"/>
      <c r="D3" s="55" t="n"/>
    </row>
    <row r="5">
      <c r="B5" s="5" t="inlineStr">
        <is>
          <t>DATE</t>
        </is>
      </c>
      <c r="C5" s="5" t="inlineStr">
        <is>
          <t>VENDOR</t>
        </is>
      </c>
      <c r="D5" s="5" t="inlineStr">
        <is>
          <t>PO</t>
        </is>
      </c>
      <c r="E5" s="5" t="inlineStr">
        <is>
          <t>PACKAGES</t>
        </is>
      </c>
      <c r="F5" s="5" t="inlineStr">
        <is>
          <t>PART NO</t>
        </is>
      </c>
      <c r="G5" s="5" t="inlineStr">
        <is>
          <t>NSN</t>
        </is>
      </c>
      <c r="H5" s="5" t="inlineStr">
        <is>
          <t>QTY</t>
        </is>
      </c>
      <c r="I5" s="5" t="inlineStr">
        <is>
          <t>Accepted</t>
        </is>
      </c>
    </row>
  </sheetData>
  <printOptions headings="1"/>
  <pageMargins bottom="0.75" footer="0.3" header="0.3" left="0.7" right="0.7" top="0.75"/>
  <pageSetup horizontalDpi="203" orientation="portrait" verticalDpi="203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23"/>
  <sheetViews>
    <sheetView topLeftCell="F1" workbookViewId="0">
      <selection activeCell="I6" sqref="I6"/>
    </sheetView>
  </sheetViews>
  <sheetFormatPr baseColWidth="8" defaultRowHeight="15.75" outlineLevelCol="0"/>
  <cols>
    <col customWidth="1" max="1" min="1" style="44" width="18.28515625"/>
    <col customWidth="1" max="2" min="2" width="39.7109375"/>
    <col customWidth="1" max="3" min="3" style="13" width="42.28515625"/>
    <col customWidth="1" max="4" min="4" style="13" width="9.7109375"/>
    <col customWidth="1" max="5" min="5" width="43.28515625"/>
    <col customWidth="1" max="6" min="6" width="33.28515625"/>
    <col customWidth="1" max="7" min="7" width="27.42578125"/>
    <col customWidth="1" max="8" min="8" style="9" width="35.5703125"/>
    <col customWidth="1" max="9" min="9" width="33.140625"/>
    <col customWidth="1" max="10" min="10" style="9" width="21"/>
  </cols>
  <sheetData>
    <row r="1">
      <c r="J1" s="9" t="inlineStr">
        <is>
          <t>6150014482091</t>
        </is>
      </c>
    </row>
    <row r="2">
      <c r="A2" s="44" t="inlineStr">
        <is>
          <t>06324</t>
        </is>
      </c>
      <c r="B2" s="13" t="inlineStr">
        <is>
          <t>Glenair</t>
        </is>
      </c>
      <c r="G2" t="inlineStr">
        <is>
          <t>Daily List</t>
        </is>
      </c>
    </row>
    <row customHeight="1" ht="21" r="3">
      <c r="A3" s="44" t="inlineStr">
        <is>
          <t>0LB15</t>
        </is>
      </c>
      <c r="B3" s="3" t="inlineStr">
        <is>
          <t>DOUGLAS AUTOTECH</t>
        </is>
      </c>
      <c r="C3" s="7" t="inlineStr">
        <is>
          <t>mikep@peerlessusa.com</t>
        </is>
      </c>
      <c r="D3" s="44" t="inlineStr">
        <is>
          <t>0LB15</t>
        </is>
      </c>
      <c r="E3" s="3" t="inlineStr">
        <is>
          <t>DOUGLAS AUTOTECH</t>
        </is>
      </c>
      <c r="F3" s="17" t="inlineStr">
        <is>
          <t>,5930012377322</t>
        </is>
      </c>
      <c r="G3" s="17" t="inlineStr">
        <is>
          <t>11/23/2016</t>
        </is>
      </c>
      <c r="H3" s="9" t="n">
        <v>42706</v>
      </c>
      <c r="I3" s="13" t="inlineStr">
        <is>
          <t>CopmCage Codes</t>
        </is>
      </c>
    </row>
    <row r="4">
      <c r="A4" s="44" t="inlineStr">
        <is>
          <t>33670</t>
        </is>
      </c>
      <c r="B4" t="inlineStr">
        <is>
          <t>Perry</t>
        </is>
      </c>
      <c r="D4" s="44" t="inlineStr">
        <is>
          <t>33670</t>
        </is>
      </c>
      <c r="E4" t="inlineStr">
        <is>
          <t>Perry</t>
        </is>
      </c>
      <c r="F4" s="9" t="n"/>
      <c r="G4" s="9" t="n"/>
      <c r="H4" s="16" t="inlineStr">
        <is>
          <t>5360004708534</t>
        </is>
      </c>
      <c r="I4" s="115" t="inlineStr">
        <is>
          <t>7P4J6</t>
        </is>
      </c>
      <c r="J4" s="9" t="inlineStr">
        <is>
          <t>DAAMNEE</t>
        </is>
      </c>
    </row>
    <row r="5">
      <c r="A5" s="44" t="inlineStr">
        <is>
          <t>3TGF0</t>
        </is>
      </c>
      <c r="B5" s="3" t="inlineStr">
        <is>
          <t>PEERLESS INDUSTRIAL</t>
        </is>
      </c>
      <c r="C5" s="7" t="inlineStr">
        <is>
          <t>mikep@peerlessusa.com</t>
        </is>
      </c>
      <c r="D5" s="44" t="inlineStr">
        <is>
          <t>3TGF0</t>
        </is>
      </c>
      <c r="E5" s="3" t="inlineStr">
        <is>
          <t>PEERLESS INDUSTRIAL</t>
        </is>
      </c>
      <c r="F5" s="9" t="inlineStr">
        <is>
          <t>;5930007614625</t>
        </is>
      </c>
      <c r="G5" s="9" t="inlineStr">
        <is>
          <t>3110012470519</t>
        </is>
      </c>
      <c r="I5" s="13" t="inlineStr">
        <is>
          <t>6RVM4</t>
        </is>
      </c>
      <c r="J5" s="9" t="inlineStr">
        <is>
          <t>Stealth Del bea fl</t>
        </is>
      </c>
    </row>
    <row r="6">
      <c r="A6" s="44" t="inlineStr">
        <is>
          <t>22519</t>
        </is>
      </c>
      <c r="B6" s="3" t="inlineStr">
        <is>
          <t>Data Delay</t>
        </is>
      </c>
      <c r="C6" s="59" t="inlineStr">
        <is>
          <t>paulk@datadelay.com</t>
        </is>
      </c>
      <c r="D6" s="44" t="inlineStr">
        <is>
          <t>22519</t>
        </is>
      </c>
      <c r="E6" s="3" t="inlineStr">
        <is>
          <t>Data Delay</t>
        </is>
      </c>
      <c r="F6" s="9" t="n"/>
      <c r="G6" s="9" t="inlineStr">
        <is>
          <t>6105013151771</t>
        </is>
      </c>
      <c r="H6" s="9" t="inlineStr">
        <is>
          <t>7Z016 Kampi</t>
        </is>
      </c>
      <c r="I6" s="13" t="inlineStr">
        <is>
          <t>1V4T7</t>
        </is>
      </c>
    </row>
    <row r="7">
      <c r="A7" s="44" t="inlineStr">
        <is>
          <t>82829</t>
        </is>
      </c>
      <c r="B7" t="inlineStr">
        <is>
          <t>Allen</t>
        </is>
      </c>
      <c r="C7" s="59" t="inlineStr">
        <is>
          <t>erin@newerasalesteam.com</t>
        </is>
      </c>
      <c r="D7" s="44" t="inlineStr">
        <is>
          <t>82829</t>
        </is>
      </c>
      <c r="E7" t="inlineStr">
        <is>
          <t>Allen</t>
        </is>
      </c>
      <c r="F7" s="12" t="inlineStr">
        <is>
          <t>5945000799274</t>
        </is>
      </c>
      <c r="G7" s="12" t="inlineStr">
        <is>
          <t>6685008164491</t>
        </is>
      </c>
      <c r="I7" s="13" t="inlineStr">
        <is>
          <t>2U435</t>
        </is>
      </c>
      <c r="J7" s="9" t="inlineStr">
        <is>
          <t>Dela</t>
        </is>
      </c>
    </row>
    <row r="8">
      <c r="D8" s="44" t="inlineStr">
        <is>
          <t>92555</t>
        </is>
      </c>
      <c r="E8" t="inlineStr">
        <is>
          <t>lee</t>
        </is>
      </c>
      <c r="F8" s="9" t="n"/>
      <c r="G8" s="9" t="n"/>
      <c r="I8" s="13" t="inlineStr">
        <is>
          <t>4LF36</t>
        </is>
      </c>
    </row>
    <row customHeight="1" ht="18.75" r="9">
      <c r="A9" s="44" t="inlineStr">
        <is>
          <t>28968</t>
        </is>
      </c>
      <c r="D9" s="133" t="inlineStr">
        <is>
          <t>06324</t>
        </is>
      </c>
      <c r="E9" s="13" t="inlineStr">
        <is>
          <t>Glenair</t>
        </is>
      </c>
      <c r="F9" s="9" t="inlineStr">
        <is>
          <t>3020015268841</t>
        </is>
      </c>
      <c r="G9" s="9" t="inlineStr">
        <is>
          <t>6680013034420</t>
        </is>
      </c>
      <c r="I9" s="13" t="inlineStr">
        <is>
          <t>1N8T8</t>
        </is>
      </c>
      <c r="J9" s="9" t="inlineStr">
        <is>
          <t>Jigil</t>
        </is>
      </c>
    </row>
    <row r="10">
      <c r="A10" s="44" t="inlineStr">
        <is>
          <t>92555</t>
        </is>
      </c>
      <c r="B10" s="13" t="inlineStr">
        <is>
          <t>lee</t>
        </is>
      </c>
      <c r="D10" s="44" t="inlineStr">
        <is>
          <t>15542</t>
        </is>
      </c>
      <c r="E10" s="3" t="inlineStr">
        <is>
          <t>SCIENTIFIC COMPONENTS CORP DBA</t>
        </is>
      </c>
      <c r="F10" s="9" t="n"/>
      <c r="G10" s="9" t="n"/>
      <c r="I10" s="68" t="inlineStr">
        <is>
          <t>1MQB3</t>
        </is>
      </c>
      <c r="J10" s="9" t="inlineStr">
        <is>
          <t>STI</t>
        </is>
      </c>
    </row>
    <row customHeight="1" ht="16.5" r="11" thickBot="1">
      <c r="A11" s="44" t="inlineStr">
        <is>
          <t>3MBT2</t>
        </is>
      </c>
      <c r="B11" s="13" t="inlineStr">
        <is>
          <t>Ahler</t>
        </is>
      </c>
      <c r="D11" s="44" t="inlineStr">
        <is>
          <t>81901</t>
        </is>
      </c>
      <c r="E11" s="13" t="inlineStr">
        <is>
          <t>CPI</t>
        </is>
      </c>
      <c r="F11" s="9" t="inlineStr">
        <is>
          <t>4820-01-418-2897</t>
        </is>
      </c>
      <c r="G11" s="9" t="n"/>
      <c r="H11" s="8" t="inlineStr">
        <is>
          <t>6RVM4</t>
        </is>
      </c>
      <c r="I11" s="42" t="inlineStr">
        <is>
          <t>1XLG2</t>
        </is>
      </c>
    </row>
    <row customHeight="1" ht="16.5" r="12" thickBot="1">
      <c r="D12" s="44" t="inlineStr">
        <is>
          <t>92021</t>
        </is>
      </c>
      <c r="E12" s="13" t="inlineStr">
        <is>
          <t>PBM</t>
        </is>
      </c>
      <c r="F12" s="9" t="inlineStr">
        <is>
          <t>2995997703879</t>
        </is>
      </c>
      <c r="G12" s="9" t="n"/>
      <c r="H12" s="12" t="n"/>
      <c r="I12" s="73" t="inlineStr">
        <is>
          <t>4LF36</t>
        </is>
      </c>
      <c r="J12" s="15" t="inlineStr">
        <is>
          <t>5325-01-462-2867</t>
        </is>
      </c>
    </row>
    <row r="13">
      <c r="A13" s="44" t="inlineStr">
        <is>
          <t>19362</t>
        </is>
      </c>
      <c r="B13" s="13" t="inlineStr">
        <is>
          <t>ditmco</t>
        </is>
      </c>
      <c r="C13" s="13" t="inlineStr">
        <is>
          <t>JBacon@ditmco.com</t>
        </is>
      </c>
      <c r="D13" s="44" t="inlineStr">
        <is>
          <t>30941</t>
        </is>
      </c>
      <c r="E13" s="13" t="inlineStr">
        <is>
          <t>east</t>
        </is>
      </c>
      <c r="F13" s="9" t="inlineStr">
        <is>
          <t>5331015712255</t>
        </is>
      </c>
      <c r="G13" s="9" t="n"/>
      <c r="H13" s="12" t="n"/>
      <c r="I13" s="88" t="inlineStr">
        <is>
          <t>3EWS7</t>
        </is>
      </c>
      <c r="J13" s="9" t="inlineStr">
        <is>
          <t>A Harold</t>
        </is>
      </c>
    </row>
    <row customHeight="1" ht="39" r="14">
      <c r="A14" s="44" t="inlineStr">
        <is>
          <t>15542</t>
        </is>
      </c>
      <c r="B14" s="3" t="inlineStr">
        <is>
          <t>SCIENTIFIC COMPONENTS CORP DBA</t>
        </is>
      </c>
      <c r="C14" s="59" t="inlineStr">
        <is>
          <t>la@minicircuits.com</t>
        </is>
      </c>
      <c r="D14" s="45" t="inlineStr">
        <is>
          <t>53919</t>
        </is>
      </c>
      <c r="E14" s="42" t="inlineStr">
        <is>
          <t>PASTERNACK ENTERPRISES</t>
        </is>
      </c>
      <c r="F14" s="9" t="inlineStr">
        <is>
          <t>5935014419290</t>
        </is>
      </c>
      <c r="G14" s="9" t="n"/>
      <c r="H14" s="12" t="n"/>
      <c r="I14" s="111" t="inlineStr">
        <is>
          <t>1WP64</t>
        </is>
      </c>
      <c r="J14" s="9" t="inlineStr">
        <is>
          <t>III Williams</t>
        </is>
      </c>
    </row>
    <row r="15">
      <c r="A15" s="44" t="inlineStr">
        <is>
          <t>81901</t>
        </is>
      </c>
      <c r="B15" s="13" t="inlineStr">
        <is>
          <t>CPI</t>
        </is>
      </c>
      <c r="D15" s="44" t="inlineStr">
        <is>
          <t>84256</t>
        </is>
      </c>
      <c r="E15" s="13" t="inlineStr">
        <is>
          <t>AVBANK</t>
        </is>
      </c>
      <c r="F15" s="9" t="inlineStr">
        <is>
          <t>2590015215323</t>
        </is>
      </c>
      <c r="G15" s="9" t="n"/>
      <c r="I15" s="14" t="n"/>
    </row>
    <row r="16">
      <c r="A16" s="44" t="inlineStr">
        <is>
          <t>92021</t>
        </is>
      </c>
      <c r="B16" s="13" t="inlineStr">
        <is>
          <t>PBM</t>
        </is>
      </c>
      <c r="C16" s="59" t="inlineStr">
        <is>
          <t>darlapotter@fluidflow.com</t>
        </is>
      </c>
      <c r="D16" s="44" t="inlineStr">
        <is>
          <t>K5777</t>
        </is>
      </c>
      <c r="E16" s="42" t="inlineStr">
        <is>
          <t>HYST</t>
        </is>
      </c>
      <c r="F16" s="9" t="inlineStr">
        <is>
          <t>2805016043205</t>
        </is>
      </c>
      <c r="G16" s="9" t="n"/>
      <c r="I16" s="14" t="n"/>
      <c r="J16" s="5" t="inlineStr">
        <is>
          <t>1V4T7</t>
        </is>
      </c>
    </row>
    <row r="17">
      <c r="A17" s="45" t="inlineStr">
        <is>
          <t>0BJ09</t>
        </is>
      </c>
      <c r="B17" s="42" t="inlineStr">
        <is>
          <t>CS Control</t>
        </is>
      </c>
      <c r="C17" s="7" t="n"/>
      <c r="D17" s="44" t="inlineStr">
        <is>
          <t>04034</t>
        </is>
      </c>
      <c r="E17" s="43" t="inlineStr">
        <is>
          <t>GEMS</t>
        </is>
      </c>
      <c r="F17" s="9" t="inlineStr">
        <is>
          <t>4730010060947</t>
        </is>
      </c>
      <c r="G17" s="9" t="n"/>
      <c r="I17" s="14" t="n"/>
      <c r="J17" s="9" t="inlineStr">
        <is>
          <t>6150014482091</t>
        </is>
      </c>
    </row>
    <row r="18">
      <c r="A18" s="44" t="inlineStr">
        <is>
          <t>30941</t>
        </is>
      </c>
      <c r="B18" s="13" t="inlineStr">
        <is>
          <t>east</t>
        </is>
      </c>
      <c r="C18" s="59" t="inlineStr">
        <is>
          <t>sbutler@eastwestindustries.com</t>
        </is>
      </c>
      <c r="D18" s="44" t="n"/>
      <c r="E18" s="53" t="n"/>
      <c r="F18" s="9" t="inlineStr">
        <is>
          <t>4810013104264</t>
        </is>
      </c>
      <c r="G18" s="9" t="n"/>
      <c r="J18" s="9" t="inlineStr">
        <is>
          <t>4330016437439</t>
        </is>
      </c>
    </row>
    <row r="19">
      <c r="A19" s="44" t="inlineStr">
        <is>
          <t>54572</t>
        </is>
      </c>
      <c r="B19" s="13" t="n"/>
      <c r="C19" s="59" t="inlineStr">
        <is>
          <t>Anna.Nichols@slmti.com</t>
        </is>
      </c>
      <c r="D19" s="63" t="inlineStr">
        <is>
          <t>1PS62</t>
        </is>
      </c>
      <c r="E19" s="70" t="inlineStr">
        <is>
          <t>CRYSTAL ENGINEERING</t>
        </is>
      </c>
      <c r="F19" s="12" t="inlineStr">
        <is>
          <t>6130013373517</t>
        </is>
      </c>
      <c r="G19" s="12" t="n"/>
      <c r="J19" s="9" t="inlineStr">
        <is>
          <t>5985016189798</t>
        </is>
      </c>
    </row>
    <row customHeight="1" ht="18" r="20">
      <c r="A20" s="45" t="inlineStr">
        <is>
          <t>66935</t>
        </is>
      </c>
      <c r="B20" s="13" t="n"/>
      <c r="C20" s="60" t="inlineStr">
        <is>
          <t>jennifer.ann1.ludwig@jcifederal.com</t>
        </is>
      </c>
      <c r="D20" s="44" t="inlineStr">
        <is>
          <t>82974</t>
        </is>
      </c>
      <c r="E20" s="42" t="inlineStr">
        <is>
          <t>Munter</t>
        </is>
      </c>
      <c r="F20" s="9" t="inlineStr">
        <is>
          <t>5915009535121</t>
        </is>
      </c>
      <c r="G20" s="9" t="n"/>
      <c r="J20" s="9" t="inlineStr">
        <is>
          <t>4940016033174</t>
        </is>
      </c>
    </row>
    <row customHeight="1" ht="16.9" r="21">
      <c r="A21" s="45" t="inlineStr">
        <is>
          <t>53919</t>
        </is>
      </c>
      <c r="B21" s="42" t="inlineStr">
        <is>
          <t>PASTERNACK ENTERPRISES</t>
        </is>
      </c>
      <c r="C21" s="59" t="inlineStr">
        <is>
          <t>sales@pasternack.com</t>
        </is>
      </c>
      <c r="D21" s="74" t="inlineStr">
        <is>
          <t>03QL3</t>
        </is>
      </c>
      <c r="E21" s="42" t="inlineStr">
        <is>
          <t>Newport</t>
        </is>
      </c>
      <c r="F21" s="11" t="inlineStr">
        <is>
          <t>5930011475211</t>
        </is>
      </c>
      <c r="G21" s="11" t="n"/>
      <c r="H21" s="9" t="inlineStr">
        <is>
          <t>5930</t>
        </is>
      </c>
      <c r="J21" s="9" t="inlineStr">
        <is>
          <t>4810014480779</t>
        </is>
      </c>
    </row>
    <row customHeight="1" ht="17.25" r="22">
      <c r="B22" s="13" t="n"/>
      <c r="D22" s="44" t="inlineStr">
        <is>
          <t>1CE49</t>
        </is>
      </c>
      <c r="E22" s="42" t="inlineStr">
        <is>
          <t>DRUCK</t>
        </is>
      </c>
      <c r="F22" s="11" t="inlineStr">
        <is>
          <t>5930015256330</t>
        </is>
      </c>
      <c r="G22" s="11" t="n"/>
      <c r="H22" s="9" t="inlineStr">
        <is>
          <t>5935</t>
        </is>
      </c>
      <c r="J22" s="9" t="inlineStr">
        <is>
          <t>4820010318510</t>
        </is>
      </c>
    </row>
    <row customHeight="1" ht="17.25" r="23">
      <c r="B23" s="74" t="n"/>
      <c r="D23" s="44" t="inlineStr">
        <is>
          <t>51398</t>
        </is>
      </c>
      <c r="E23" s="56" t="inlineStr">
        <is>
          <t>Atrenne Computing Solutions</t>
        </is>
      </c>
      <c r="F23" s="11" t="n">
        <v>19362</v>
      </c>
      <c r="G23" s="11" t="n"/>
      <c r="H23" s="9" t="inlineStr">
        <is>
          <t>5945</t>
        </is>
      </c>
      <c r="J23" s="9" t="inlineStr">
        <is>
          <t>4820010318510</t>
        </is>
      </c>
    </row>
    <row r="24">
      <c r="B24" s="13" t="n"/>
      <c r="D24" s="44" t="n"/>
      <c r="E24" s="42" t="n"/>
      <c r="F24" t="inlineStr">
        <is>
          <t>NSN/MATERIAL:4820012850689</t>
        </is>
      </c>
      <c r="H24" s="9" t="inlineStr">
        <is>
          <t>4310</t>
        </is>
      </c>
      <c r="J24" s="9" t="inlineStr">
        <is>
          <t>5985014512454</t>
        </is>
      </c>
    </row>
    <row r="25">
      <c r="B25" s="42" t="n"/>
      <c r="C25" s="7" t="inlineStr">
        <is>
          <t>liz@flamecorp.com</t>
        </is>
      </c>
      <c r="D25" s="44" t="inlineStr">
        <is>
          <t>86184</t>
        </is>
      </c>
      <c r="E25" s="42" t="inlineStr">
        <is>
          <t>GRISWOLD INDUSTRIES</t>
        </is>
      </c>
      <c r="F25" t="inlineStr">
        <is>
          <t>ITEM DESCRIPTION VALVE,SAFETY RELIEF</t>
        </is>
      </c>
      <c r="H25" s="9" t="inlineStr">
        <is>
          <t>6015</t>
        </is>
      </c>
      <c r="J25" s="9" t="inlineStr">
        <is>
          <t>4130014946046</t>
        </is>
      </c>
    </row>
    <row r="26">
      <c r="A26" s="44" t="inlineStr">
        <is>
          <t>84256</t>
        </is>
      </c>
      <c r="B26" s="13" t="inlineStr">
        <is>
          <t>AVBANK</t>
        </is>
      </c>
      <c r="C26" s="7" t="n"/>
      <c r="D26" s="44" t="inlineStr">
        <is>
          <t>0UF75</t>
        </is>
      </c>
      <c r="E26" s="42" t="inlineStr">
        <is>
          <t>CAMMENGA ASSOCIATES</t>
        </is>
      </c>
      <c r="F26" s="10" t="inlineStr">
        <is>
          <t>5945000799274</t>
        </is>
      </c>
      <c r="G26" s="10" t="n"/>
    </row>
    <row r="27">
      <c r="B27" s="7" t="inlineStr">
        <is>
          <t>nannette@metrexvalve.com</t>
        </is>
      </c>
      <c r="C27" s="59" t="inlineStr">
        <is>
          <t>nannette@metrexvalve.com</t>
        </is>
      </c>
      <c r="D27" s="44" t="n"/>
      <c r="E27" s="42" t="inlineStr">
        <is>
          <t>HYDROAIr</t>
        </is>
      </c>
      <c r="F27" s="10" t="n"/>
      <c r="G27" s="10" t="n"/>
    </row>
    <row r="28">
      <c r="A28" s="77" t="inlineStr">
        <is>
          <t>2J622</t>
        </is>
      </c>
      <c r="B28" s="42" t="inlineStr">
        <is>
          <t>SCI cables only?</t>
        </is>
      </c>
      <c r="C28" s="7" t="inlineStr">
        <is>
          <t>malcolm.bounds@sci.com</t>
        </is>
      </c>
      <c r="D28" s="44" t="inlineStr">
        <is>
          <t>5DR61</t>
        </is>
      </c>
      <c r="E28" s="42" t="inlineStr">
        <is>
          <t>PRECISION GOVERNORS</t>
        </is>
      </c>
      <c r="F28" s="10" t="inlineStr">
        <is>
          <t>5355005387381</t>
        </is>
      </c>
      <c r="G28" s="10" t="n"/>
    </row>
    <row r="29">
      <c r="A29" s="44" t="inlineStr">
        <is>
          <t>53367   </t>
        </is>
      </c>
      <c r="B29" s="13" t="inlineStr">
        <is>
          <t>SETRA SYSTEMS, INC</t>
        </is>
      </c>
      <c r="D29" s="44" t="inlineStr">
        <is>
          <t>66752</t>
        </is>
      </c>
      <c r="E29" s="69" t="inlineStr">
        <is>
          <t>cskipper@us.pepperl-fuchs.com</t>
        </is>
      </c>
      <c r="F29" s="10" t="inlineStr">
        <is>
          <t>5975015586523</t>
        </is>
      </c>
      <c r="G29" s="10" t="n"/>
    </row>
    <row r="30">
      <c r="A30" s="44" t="inlineStr">
        <is>
          <t>K5777</t>
        </is>
      </c>
      <c r="B30" s="42" t="inlineStr">
        <is>
          <t>HYST</t>
        </is>
      </c>
      <c r="D30" s="44" t="inlineStr">
        <is>
          <t>50619</t>
        </is>
      </c>
      <c r="E30" s="42" t="inlineStr">
        <is>
          <t>R,Kern</t>
        </is>
      </c>
      <c r="F30" t="inlineStr">
        <is>
          <t>5985-01-505-5961</t>
        </is>
      </c>
    </row>
    <row r="31">
      <c r="A31" s="44" t="inlineStr">
        <is>
          <t>20722</t>
        </is>
      </c>
      <c r="B31" t="inlineStr">
        <is>
          <t>Entwistle Company, The</t>
        </is>
      </c>
      <c r="C31" s="7" t="inlineStr">
        <is>
          <t>bsheffield@entwistleco.com</t>
        </is>
      </c>
      <c r="D31" s="44" t="inlineStr">
        <is>
          <t>1NB39</t>
        </is>
      </c>
      <c r="E31" s="42" t="inlineStr">
        <is>
          <t>Norsell</t>
        </is>
      </c>
    </row>
    <row r="32">
      <c r="A32" s="44" t="inlineStr">
        <is>
          <t>04034</t>
        </is>
      </c>
      <c r="B32" s="43" t="inlineStr">
        <is>
          <t>GEMS</t>
        </is>
      </c>
      <c r="D32" s="44" t="inlineStr">
        <is>
          <t>1N5X2</t>
        </is>
      </c>
      <c r="E32" s="3" t="inlineStr">
        <is>
          <t>EMPOWER RF SYSTEMS, I</t>
        </is>
      </c>
    </row>
    <row r="33">
      <c r="A33" s="44" t="inlineStr">
        <is>
          <t>0CPF6   </t>
        </is>
      </c>
      <c r="B33" s="13" t="n"/>
      <c r="C33" s="13" t="inlineStr">
        <is>
          <t>+</t>
        </is>
      </c>
      <c r="D33" s="44" t="inlineStr">
        <is>
          <t>4Z9A3</t>
        </is>
      </c>
      <c r="E33" s="3" t="inlineStr">
        <is>
          <t>DIAGNOSTIC SOLUTIONS INTERNATIONAL 4</t>
        </is>
      </c>
    </row>
    <row r="34">
      <c r="A34" s="44" t="inlineStr">
        <is>
          <t>07126</t>
        </is>
      </c>
      <c r="B34" s="53" t="inlineStr">
        <is>
          <t>ELECTRO SWITCH CORP. Digtron</t>
        </is>
      </c>
      <c r="C34" s="7" t="inlineStr">
        <is>
          <t>vlangosh@digitran-es.com</t>
        </is>
      </c>
      <c r="D34" s="44" t="inlineStr">
        <is>
          <t>25205</t>
        </is>
      </c>
      <c r="E34" s="3" t="inlineStr">
        <is>
          <t>MOLDED DEVICES</t>
        </is>
      </c>
    </row>
    <row r="35">
      <c r="A35" s="44" t="inlineStr">
        <is>
          <t>64667</t>
        </is>
      </c>
      <c r="B35" s="3" t="inlineStr">
        <is>
          <t>NATIONAL INSTRUMENTS CORPORATION</t>
        </is>
      </c>
      <c r="C35" s="7" t="inlineStr">
        <is>
          <t>quote@ni.com</t>
        </is>
      </c>
      <c r="D35" s="44" t="inlineStr">
        <is>
          <t>66822</t>
        </is>
      </c>
      <c r="E35" s="3" t="inlineStr">
        <is>
          <t>MORPAC INDUSTRIES, INC. DBA</t>
        </is>
      </c>
      <c r="H35" t="n">
        <v>73475</v>
      </c>
    </row>
    <row r="36">
      <c r="D36" s="44" t="inlineStr">
        <is>
          <t>05991</t>
        </is>
      </c>
      <c r="E36" s="3" t="inlineStr">
        <is>
          <t>CAMERON TECHNOLOGIES US, INC.</t>
        </is>
      </c>
      <c r="H36" t="inlineStr">
        <is>
          <t>1KWT0</t>
        </is>
      </c>
    </row>
    <row customHeight="1" ht="45" r="37">
      <c r="A37" s="63" t="inlineStr">
        <is>
          <t>1PS62</t>
        </is>
      </c>
      <c r="B37" s="70" t="inlineStr">
        <is>
          <t>CRYSTAL ENGINEERING</t>
        </is>
      </c>
      <c r="C37" s="59" t="inlineStr">
        <is>
          <t>crystal@ametek.com</t>
        </is>
      </c>
      <c r="D37" s="63" t="inlineStr">
        <is>
          <t>3GRA1</t>
        </is>
      </c>
      <c r="E37" s="3" t="inlineStr">
        <is>
          <t>LEDDYNAMICS INC</t>
        </is>
      </c>
      <c r="G37" s="94" t="inlineStr">
        <is>
          <t>bsparadeo@leddynamics.com</t>
        </is>
      </c>
    </row>
    <row r="38">
      <c r="D38" s="44" t="inlineStr">
        <is>
          <t>53059</t>
        </is>
      </c>
      <c r="E38" s="57" t="inlineStr">
        <is>
          <t>SPIRAX SARCO, INC.</t>
        </is>
      </c>
    </row>
    <row r="39">
      <c r="A39" s="44" t="inlineStr">
        <is>
          <t>07058</t>
        </is>
      </c>
      <c r="B39" s="3" t="inlineStr">
        <is>
          <t>AIREX RUBBER PRODUCTS CORPORATION</t>
        </is>
      </c>
      <c r="C39" s="7" t="inlineStr">
        <is>
          <t>bserenson@airexrubber.com</t>
        </is>
      </c>
      <c r="D39" s="44" t="n"/>
      <c r="E39" s="3" t="inlineStr">
        <is>
          <t>NMC/WOLLARD, INC.</t>
        </is>
      </c>
    </row>
    <row r="40">
      <c r="D40" s="45" t="inlineStr">
        <is>
          <t>1KWT0</t>
        </is>
      </c>
      <c r="E40" s="3" t="inlineStr">
        <is>
          <t>Sauer Compressors Usa, Inc.</t>
        </is>
      </c>
    </row>
    <row r="41">
      <c r="A41" s="45" t="inlineStr">
        <is>
          <t>82974</t>
        </is>
      </c>
      <c r="B41" s="42" t="inlineStr">
        <is>
          <t>Munter Kazandra.Torres@Munters.com</t>
        </is>
      </c>
      <c r="C41" s="59" t="inlineStr">
        <is>
          <t>partsairtusa@munters.com</t>
        </is>
      </c>
      <c r="D41" s="44" t="inlineStr">
        <is>
          <t>03FF4</t>
        </is>
      </c>
      <c r="E41" s="3" t="inlineStr">
        <is>
          <t>Atrex Energy, Inc.</t>
        </is>
      </c>
    </row>
    <row r="42">
      <c r="A42" s="45" t="inlineStr">
        <is>
          <t>1Z254</t>
        </is>
      </c>
      <c r="B42" s="13" t="inlineStr">
        <is>
          <t>JEROME-ASTRO</t>
        </is>
      </c>
      <c r="C42" s="7" t="inlineStr">
        <is>
          <t>taylor.jones@astrodynetdi.com</t>
        </is>
      </c>
      <c r="D42" s="44" t="inlineStr">
        <is>
          <t>95717</t>
        </is>
      </c>
      <c r="E42" s="3" t="inlineStr">
        <is>
          <t>GOULD J D CO INC</t>
        </is>
      </c>
    </row>
    <row r="43">
      <c r="A43" s="45" t="inlineStr">
        <is>
          <t>0LE36</t>
        </is>
      </c>
      <c r="B43" s="13" t="inlineStr">
        <is>
          <t>Connec</t>
        </is>
      </c>
      <c r="C43" s="7" t="inlineStr">
        <is>
          <t>srobinson@connectronicscorp.com</t>
        </is>
      </c>
      <c r="D43" s="44" t="inlineStr">
        <is>
          <t>21392</t>
        </is>
      </c>
      <c r="E43" s="75" t="inlineStr">
        <is>
          <t>PREECE INCORPORATED</t>
        </is>
      </c>
    </row>
    <row r="44">
      <c r="A44" s="45" t="inlineStr">
        <is>
          <t>0WN82</t>
        </is>
      </c>
      <c r="B44" s="13" t="inlineStr">
        <is>
          <t>THERMTROL</t>
        </is>
      </c>
      <c r="D44" s="44" t="inlineStr">
        <is>
          <t>30974</t>
        </is>
      </c>
      <c r="E44" s="3" t="inlineStr">
        <is>
          <t>AEROFIT, LLC</t>
        </is>
      </c>
    </row>
    <row r="45">
      <c r="A45" s="61" t="inlineStr">
        <is>
          <t>03QL3</t>
        </is>
      </c>
      <c r="B45" s="42" t="inlineStr">
        <is>
          <t>Newport</t>
        </is>
      </c>
      <c r="C45" s="59" t="inlineStr">
        <is>
          <t>dorothy.sablan@newport.com</t>
        </is>
      </c>
      <c r="D45" s="44" t="inlineStr">
        <is>
          <t>64667</t>
        </is>
      </c>
      <c r="E45" s="3" t="inlineStr">
        <is>
          <t>NATIONAL INSTRUMENTS CORPORATION</t>
        </is>
      </c>
    </row>
    <row r="46">
      <c r="A46" s="65" t="inlineStr">
        <is>
          <t>89022</t>
        </is>
      </c>
      <c r="B46" s="13" t="inlineStr">
        <is>
          <t>TDK-LAMBDA AMERICAS INC.</t>
        </is>
      </c>
      <c r="C46" s="59" t="inlineStr">
        <is>
          <t>Bonnie.West@us.tdk-lambda.com</t>
        </is>
      </c>
      <c r="D46" s="44" t="inlineStr">
        <is>
          <t>34345</t>
        </is>
      </c>
      <c r="E46" s="3" t="inlineStr">
        <is>
          <t>KULITE SEMICONDUCTOR PRODUCTS, INC</t>
        </is>
      </c>
    </row>
    <row r="47">
      <c r="A47" s="44" t="inlineStr">
        <is>
          <t>097B0</t>
        </is>
      </c>
      <c r="B47" s="13" t="inlineStr">
        <is>
          <t>Tim PRICE</t>
        </is>
      </c>
      <c r="D47" s="44" t="inlineStr">
        <is>
          <t>91663</t>
        </is>
      </c>
      <c r="E47" s="3" t="inlineStr">
        <is>
          <t>ARMEL ELECTRONICS INC</t>
        </is>
      </c>
    </row>
    <row r="48">
      <c r="B48" s="13" t="n"/>
      <c r="D48" s="44" t="inlineStr">
        <is>
          <t>68999</t>
        </is>
      </c>
      <c r="E48" s="3" t="inlineStr">
        <is>
          <t>Times Microwave Systems, Inc. DBA</t>
        </is>
      </c>
    </row>
    <row r="49">
      <c r="B49" s="13" t="n"/>
      <c r="D49" s="63" t="n">
        <v>82199</v>
      </c>
      <c r="E49" t="n">
        <v>24</v>
      </c>
    </row>
    <row customHeight="1" ht="18.75" r="50">
      <c r="A50" s="44" t="inlineStr">
        <is>
          <t>86928</t>
        </is>
      </c>
      <c r="B50" s="13" t="n"/>
      <c r="D50" s="13" t="inlineStr">
        <is>
          <t>1GWN9</t>
        </is>
      </c>
      <c r="E50" s="83" t="inlineStr">
        <is>
          <t>CLARUS TECHNOLOGIES, LLC DBA</t>
        </is>
      </c>
      <c r="F50" s="7" t="inlineStr">
        <is>
          <t>Kendra.Mitchell@colfaxfluidhandling.com</t>
        </is>
      </c>
    </row>
    <row r="51">
      <c r="A51" s="44" t="inlineStr">
        <is>
          <t>1CE49</t>
        </is>
      </c>
      <c r="B51" s="42" t="inlineStr">
        <is>
          <t>DRUCK</t>
        </is>
      </c>
      <c r="C51" s="59" t="inlineStr">
        <is>
          <t>ccpressureusa@ge.com</t>
        </is>
      </c>
      <c r="D51" s="59" t="n">
        <v>65586</v>
      </c>
      <c r="E51" s="3" t="inlineStr">
        <is>
          <t>Chromalox, Inc. DBA Ogden</t>
        </is>
      </c>
    </row>
    <row r="52">
      <c r="A52" s="44" t="inlineStr">
        <is>
          <t>51398</t>
        </is>
      </c>
      <c r="B52" s="56" t="inlineStr">
        <is>
          <t>Atrenne Computing Solutions</t>
        </is>
      </c>
      <c r="C52" s="7" t="inlineStr">
        <is>
          <t>ksoares@atrenne-cs.com</t>
        </is>
      </c>
      <c r="D52" s="7" t="n">
        <v>83533</v>
      </c>
      <c r="E52" s="3" t="inlineStr">
        <is>
          <t>ESSEX INDUSTRIES</t>
        </is>
      </c>
      <c r="F52" s="7" t="inlineStr">
        <is>
          <t>rgeisz@essexind.com</t>
        </is>
      </c>
    </row>
    <row r="53">
      <c r="B53" s="42" t="n"/>
      <c r="C53" s="7" t="inlineStr">
        <is>
          <t>heather@spartech-south.com</t>
        </is>
      </c>
      <c r="D53" s="7" t="inlineStr">
        <is>
          <t>0NJ18</t>
        </is>
      </c>
      <c r="E53" s="3" t="inlineStr">
        <is>
          <t>DOMETIC CORPORATION DIV SEALAND</t>
        </is>
      </c>
    </row>
    <row customHeight="1" ht="31.5" r="54">
      <c r="A54" s="44" t="inlineStr">
        <is>
          <t>86184</t>
        </is>
      </c>
      <c r="B54" s="42" t="inlineStr">
        <is>
          <t>GRISWOLD INDUSTRIES</t>
        </is>
      </c>
      <c r="C54" s="60" t="inlineStr">
        <is>
          <t>tdavis@cla-val.com</t>
        </is>
      </c>
      <c r="D54" s="59" t="n">
        <v>59165</v>
      </c>
      <c r="E54" s="3" t="inlineStr">
        <is>
          <t>Norman Filters</t>
        </is>
      </c>
      <c r="F54" s="13" t="inlineStr">
        <is>
          <t>jharty@normanfilters.com</t>
        </is>
      </c>
    </row>
    <row r="55">
      <c r="A55" s="44" t="inlineStr">
        <is>
          <t>0UF75</t>
        </is>
      </c>
      <c r="B55" s="42" t="inlineStr">
        <is>
          <t>CAMMENGA ASSOCIATES</t>
        </is>
      </c>
      <c r="D55" s="13" t="inlineStr">
        <is>
          <t>3VMM5</t>
        </is>
      </c>
      <c r="E55" s="3" t="inlineStr">
        <is>
          <t>TECHNA NDT LLC DBA TECHNA NDT</t>
        </is>
      </c>
      <c r="F55" s="7" t="inlineStr">
        <is>
          <t>Sales@TechnaNDT.com</t>
        </is>
      </c>
    </row>
    <row r="56">
      <c r="A56" s="44" t="inlineStr">
        <is>
          <t>5E938</t>
        </is>
      </c>
      <c r="B56" s="42" t="inlineStr">
        <is>
          <t>HYDROAIr</t>
        </is>
      </c>
      <c r="C56" s="7" t="inlineStr">
        <is>
          <t>kbriersmith@hydroair.net</t>
        </is>
      </c>
      <c r="D56" s="7" t="inlineStr">
        <is>
          <t>75Y25</t>
        </is>
      </c>
      <c r="E56" s="3" t="inlineStr">
        <is>
          <t>PROCURE, INC.</t>
        </is>
      </c>
      <c r="F56" s="7" t="inlineStr">
        <is>
          <t>sales@procureinc.us</t>
        </is>
      </c>
    </row>
    <row r="57">
      <c r="A57" s="44" t="inlineStr">
        <is>
          <t>5DR61</t>
        </is>
      </c>
      <c r="B57" s="42" t="inlineStr">
        <is>
          <t>PRECISION GOVERNORS</t>
        </is>
      </c>
      <c r="C57" s="7" t="inlineStr">
        <is>
          <t>brenze@pgcontrols.com</t>
        </is>
      </c>
      <c r="D57" s="7" t="n">
        <v>13675</v>
      </c>
      <c r="E57" s="3" t="inlineStr">
        <is>
          <t>WEMS</t>
        </is>
      </c>
      <c r="F57" s="7" t="inlineStr">
        <is>
          <t>cnotaro@wems.com</t>
        </is>
      </c>
    </row>
    <row customHeight="1" ht="30" r="58">
      <c r="B58" s="69" t="inlineStr">
        <is>
          <t>cskipper@us.pepperl-fuchs.com</t>
        </is>
      </c>
      <c r="D58" s="93" t="inlineStr">
        <is>
          <t>07294</t>
        </is>
      </c>
      <c r="E58" s="3" t="inlineStr">
        <is>
          <t>Genisco Filter Corp.</t>
        </is>
      </c>
      <c r="F58" s="94" t="inlineStr">
        <is>
          <t>adrian.cole@genisco.com</t>
        </is>
      </c>
    </row>
    <row r="59">
      <c r="A59" s="44" t="inlineStr">
        <is>
          <t>50619</t>
        </is>
      </c>
      <c r="B59" s="42" t="inlineStr">
        <is>
          <t>R,Kern</t>
        </is>
      </c>
      <c r="C59" s="59" t="inlineStr">
        <is>
          <t>Nancy@kerneng.com</t>
        </is>
      </c>
      <c r="D59" s="59" t="n">
        <v>79963</v>
      </c>
      <c r="E59" s="3" t="inlineStr">
        <is>
          <t>ZIERICK MFG CORP</t>
        </is>
      </c>
      <c r="F59" s="7" t="inlineStr">
        <is>
          <t>hdaffin@biscoind.com</t>
        </is>
      </c>
    </row>
    <row r="60">
      <c r="A60" s="44" t="inlineStr">
        <is>
          <t>1NB39</t>
        </is>
      </c>
      <c r="B60" s="42" t="inlineStr">
        <is>
          <t>Norsell</t>
        </is>
      </c>
      <c r="C60" s="59" t="inlineStr">
        <is>
          <t>calvin.duplechin@doverautomation.com</t>
        </is>
      </c>
      <c r="D60" s="59" t="inlineStr">
        <is>
          <t>3T081</t>
        </is>
      </c>
      <c r="E60" s="3" t="inlineStr">
        <is>
          <t>Westone Laboratories, Inc. DBA</t>
        </is>
      </c>
      <c r="F60" s="7" t="inlineStr">
        <is>
          <t>cindyt@westone.com</t>
        </is>
      </c>
    </row>
    <row customHeight="1" ht="30" r="61">
      <c r="A61" s="44" t="inlineStr">
        <is>
          <t>1N5X2</t>
        </is>
      </c>
      <c r="B61" s="3" t="inlineStr">
        <is>
          <t>EMPOWER RF SYSTEMS, I</t>
        </is>
      </c>
      <c r="C61" s="13" t="inlineStr">
        <is>
          <t>russell.hanson@empowerrf.com</t>
        </is>
      </c>
      <c r="D61" s="13" t="inlineStr">
        <is>
          <t>1DFQ0</t>
        </is>
      </c>
      <c r="E61" s="3" t="inlineStr">
        <is>
          <t>HVR ADVANCED POWER COMPONENTS,</t>
        </is>
      </c>
      <c r="F61" s="94" t="inlineStr">
        <is>
          <t>sales@hvrapc.com</t>
        </is>
      </c>
    </row>
    <row r="62">
      <c r="A62" s="44" t="inlineStr">
        <is>
          <t>1VJJ9</t>
        </is>
      </c>
      <c r="B62" s="42" t="inlineStr">
        <is>
          <t>Parts Express</t>
        </is>
      </c>
      <c r="C62" s="13" t="inlineStr">
        <is>
          <t>website</t>
        </is>
      </c>
      <c r="D62" s="13" t="inlineStr">
        <is>
          <t>1VZM8</t>
        </is>
      </c>
      <c r="E62" s="3" t="inlineStr">
        <is>
          <t>NEWARK ELECTRONICS CORPORATION</t>
        </is>
      </c>
    </row>
    <row r="63">
      <c r="D63" s="59" t="inlineStr">
        <is>
          <t>0C579</t>
        </is>
      </c>
      <c r="E63" s="69" t="inlineStr">
        <is>
          <t>WORLD MAGNETICS COMPANY </t>
        </is>
      </c>
      <c r="F63" t="inlineStr">
        <is>
          <t>sgalla@worldmagnetics.com</t>
        </is>
      </c>
    </row>
    <row r="64">
      <c r="A64" s="44" t="inlineStr">
        <is>
          <t>4Z9A3</t>
        </is>
      </c>
      <c r="B64" s="3" t="inlineStr">
        <is>
          <t>DIAGNOSTIC SOLUTIONS INTERNATIONAL 4</t>
        </is>
      </c>
      <c r="C64" s="7" t="inlineStr">
        <is>
          <t>Nicole.Acevedo@dsi-hums.com</t>
        </is>
      </c>
      <c r="D64" s="7" t="inlineStr">
        <is>
          <t>7AYE6</t>
        </is>
      </c>
      <c r="E64" s="3" t="inlineStr">
        <is>
          <t>KTSDI LLC DBA</t>
        </is>
      </c>
      <c r="F64" s="7" t="inlineStr">
        <is>
          <t>parts@KTSDI.com</t>
        </is>
      </c>
    </row>
    <row r="65">
      <c r="D65" s="104" t="inlineStr">
        <is>
          <t>1Q449</t>
        </is>
      </c>
      <c r="E65" s="3" t="inlineStr">
        <is>
          <t>BLUE SEA SYSTEMS, INC. DBA BLUE</t>
        </is>
      </c>
      <c r="F65" s="7" t="inlineStr">
        <is>
          <t>gabrielac@westmarine.com</t>
        </is>
      </c>
      <c r="G65" t="inlineStr">
        <is>
          <t>Website</t>
        </is>
      </c>
    </row>
    <row r="66">
      <c r="A66" s="44" t="inlineStr">
        <is>
          <t>1BZ19</t>
        </is>
      </c>
      <c r="B66" s="3" t="inlineStr">
        <is>
          <t>C S ANTENNAS, INC.</t>
        </is>
      </c>
      <c r="C66" s="7" t="inlineStr">
        <is>
          <t>nlandis@amphenol-antennas.com</t>
        </is>
      </c>
      <c r="D66" s="13" t="inlineStr">
        <is>
          <t>1UN88</t>
        </is>
      </c>
      <c r="E66" s="3" t="inlineStr">
        <is>
          <t>Miller-Leaman, Inc.</t>
        </is>
      </c>
      <c r="F66" s="7" t="inlineStr">
        <is>
          <t>rachelg@millerleaman.com</t>
        </is>
      </c>
    </row>
    <row r="67">
      <c r="A67" s="63" t="n"/>
      <c r="B67" s="3" t="inlineStr">
        <is>
          <t>IN-MAR</t>
        </is>
      </c>
      <c r="C67" s="59" t="inlineStr">
        <is>
          <t>Cyndee@inmarsystems.com</t>
        </is>
      </c>
      <c r="D67" s="13" t="n">
        <v>82199</v>
      </c>
      <c r="E67" s="3" t="inlineStr">
        <is>
          <t>RHODE SCHWARZ</t>
        </is>
      </c>
      <c r="F67" s="7" t="inlineStr">
        <is>
          <t>Service.RSA@RSA.Rohde-Schwarz.com</t>
        </is>
      </c>
    </row>
    <row r="68">
      <c r="A68" s="44" t="inlineStr">
        <is>
          <t>009P6</t>
        </is>
      </c>
      <c r="B68" t="inlineStr">
        <is>
          <t>DETECTO SCALE CO</t>
        </is>
      </c>
      <c r="E68" s="3" t="n"/>
    </row>
    <row r="69">
      <c r="A69" s="44" t="inlineStr">
        <is>
          <t>1VJJ9</t>
        </is>
      </c>
      <c r="B69" s="42" t="inlineStr">
        <is>
          <t>Parts Express</t>
        </is>
      </c>
      <c r="C69" s="7" t="inlineStr">
        <is>
          <t>elainerobles@moldeddevices.com</t>
        </is>
      </c>
      <c r="D69" s="13" t="n">
        <v>55636</v>
      </c>
      <c r="E69" s="3" t="inlineStr">
        <is>
          <t>Norland Products Inc</t>
        </is>
      </c>
    </row>
    <row r="70">
      <c r="D70" s="13" t="inlineStr">
        <is>
          <t>3A4R9</t>
        </is>
      </c>
      <c r="E70" s="3" t="inlineStr">
        <is>
          <t>DELTA T SYSTEMS INC.</t>
        </is>
      </c>
    </row>
    <row r="71">
      <c r="A71" s="44" t="inlineStr">
        <is>
          <t>66822</t>
        </is>
      </c>
      <c r="B71" s="3" t="inlineStr">
        <is>
          <t>MORPAC INDUSTRIES, INC. DBA</t>
        </is>
      </c>
      <c r="D71" s="13" t="n">
        <v>1946</v>
      </c>
      <c r="E71" s="3" t="inlineStr">
        <is>
          <t>COLE INSTRUMENT CORP. 3</t>
        </is>
      </c>
    </row>
    <row r="72">
      <c r="B72" t="inlineStr">
        <is>
          <t>HIRSCHMANN ELECTRONICS INC 3V1N9</t>
        </is>
      </c>
      <c r="D72" s="13" t="n">
        <v>14561</v>
      </c>
      <c r="E72" s="3" t="inlineStr">
        <is>
          <t>Magnatrol Valve Corporation DBA</t>
        </is>
      </c>
    </row>
    <row r="73">
      <c r="B73" s="3" t="inlineStr">
        <is>
          <t>DELKIN DEVICES, INC.</t>
        </is>
      </c>
      <c r="D73" s="13" t="inlineStr">
        <is>
          <t>06GU3</t>
        </is>
      </c>
      <c r="E73" s="3" t="inlineStr">
        <is>
          <t>LAIRD R F Products, Inc.</t>
        </is>
      </c>
    </row>
    <row r="74">
      <c r="A74" s="44" t="inlineStr">
        <is>
          <t>05991</t>
        </is>
      </c>
      <c r="B74" s="3" t="inlineStr">
        <is>
          <t>CAMERON TECHNOLOGIES US, INC.</t>
        </is>
      </c>
      <c r="C74" s="59" t="inlineStr">
        <is>
          <t>DBardsley2@cameron.slb.com</t>
        </is>
      </c>
      <c r="D74" s="13" t="inlineStr">
        <is>
          <t>0H7R3</t>
        </is>
      </c>
      <c r="E74" s="3" t="inlineStr">
        <is>
          <t>MACGREGOR USA INC. DBA</t>
        </is>
      </c>
    </row>
    <row r="75">
      <c r="A75" s="63" t="inlineStr">
        <is>
          <t>3GRA1</t>
        </is>
      </c>
      <c r="B75" s="3" t="inlineStr">
        <is>
          <t>LEDDYNAMICS INC</t>
        </is>
      </c>
      <c r="C75" s="59" t="inlineStr">
        <is>
          <t>bsparadeo@leddynamics.com</t>
        </is>
      </c>
      <c r="D75" s="13" t="n">
        <v>13047</v>
      </c>
      <c r="E75" s="3" t="inlineStr">
        <is>
          <t>MAURY MICROWAVE, INC.</t>
        </is>
      </c>
    </row>
    <row r="76">
      <c r="A76" s="63" t="n"/>
      <c r="B76" s="3" t="n"/>
      <c r="C76" s="59" t="n"/>
      <c r="D76" s="59" t="n"/>
    </row>
    <row r="77">
      <c r="A77" s="44" t="inlineStr">
        <is>
          <t>53059</t>
        </is>
      </c>
      <c r="B77" s="57" t="inlineStr">
        <is>
          <t>SPIRAX SARCO, INC.</t>
        </is>
      </c>
      <c r="C77" s="7" t="inlineStr">
        <is>
          <t>US.QUOTES@US.SPIRAXSARCO.COM</t>
        </is>
      </c>
      <c r="D77" s="7" t="n"/>
    </row>
    <row r="78">
      <c r="A78" s="44" t="inlineStr">
        <is>
          <t>71468</t>
        </is>
      </c>
      <c r="B78" s="51" t="inlineStr">
        <is>
          <t>I T T Cannon 71468</t>
        </is>
      </c>
      <c r="C78" s="59" t="inlineStr">
        <is>
          <t>lcerulli@brandel-stephens.com</t>
        </is>
      </c>
      <c r="D78" s="59" t="n"/>
    </row>
    <row r="79">
      <c r="A79" s="44" t="inlineStr">
        <is>
          <t>44185</t>
        </is>
      </c>
      <c r="B79" s="3" t="inlineStr">
        <is>
          <t>NMC/WOLLARD, INC.</t>
        </is>
      </c>
      <c r="C79" s="7" t="inlineStr">
        <is>
          <t>Mbrown@nmc-wollard.com</t>
        </is>
      </c>
      <c r="D79" s="7" t="n"/>
    </row>
    <row r="80">
      <c r="A80" s="44" t="inlineStr">
        <is>
          <t>56528</t>
        </is>
      </c>
      <c r="B80" t="inlineStr">
        <is>
          <t>FIL-COIL (FC) INC.</t>
        </is>
      </c>
      <c r="E80" t="inlineStr">
        <is>
          <t>VECTOR CONTROLS, INC. 4PUW1</t>
        </is>
      </c>
    </row>
    <row r="81">
      <c r="A81" s="44" t="inlineStr">
        <is>
          <t>19362</t>
        </is>
      </c>
      <c r="B81" t="inlineStr">
        <is>
          <t>DIT-MCO INTERNATIONAL LLC</t>
        </is>
      </c>
    </row>
    <row r="82">
      <c r="A82" s="44" t="inlineStr">
        <is>
          <t>0BA69</t>
        </is>
      </c>
      <c r="B82" t="inlineStr">
        <is>
          <t>NETWORKS INTERNATIONAL CORP.</t>
        </is>
      </c>
    </row>
    <row r="83">
      <c r="B83" s="3" t="inlineStr">
        <is>
          <t>DATAPATH, INC. DBA DATAPATH 1BPK0</t>
        </is>
      </c>
      <c r="C83" s="59" t="n"/>
    </row>
    <row r="84">
      <c r="A84" s="44" t="inlineStr">
        <is>
          <t>80756</t>
        </is>
      </c>
      <c r="B84" t="inlineStr">
        <is>
          <t>SPIROLOX, INC</t>
        </is>
      </c>
    </row>
    <row r="85">
      <c r="A85" s="44" t="inlineStr">
        <is>
          <t>K3602</t>
        </is>
      </c>
      <c r="B85" s="51" t="inlineStr">
        <is>
          <t>WELIN LAMBIE LIMITED DBA</t>
        </is>
      </c>
    </row>
    <row r="86">
      <c r="A86" s="44" t="inlineStr">
        <is>
          <t>06659</t>
        </is>
      </c>
      <c r="B86" s="51" t="inlineStr">
        <is>
          <t>TESTEK, LLC</t>
        </is>
      </c>
    </row>
    <row r="87">
      <c r="A87" s="44" t="inlineStr">
        <is>
          <t>54679</t>
        </is>
      </c>
      <c r="B87" t="inlineStr">
        <is>
          <t>FLOWMETRICS, INC. DBA</t>
        </is>
      </c>
    </row>
    <row r="88">
      <c r="A88" s="44" t="inlineStr">
        <is>
          <t>17454</t>
        </is>
      </c>
      <c r="B88" s="51" t="inlineStr">
        <is>
          <t>Timken Gears Services Inc. DBA</t>
        </is>
      </c>
      <c r="C88" s="13" t="inlineStr">
        <is>
          <t>Call</t>
        </is>
      </c>
    </row>
    <row r="89">
      <c r="A89" s="44" t="inlineStr">
        <is>
          <t>4J674</t>
        </is>
      </c>
      <c r="B89" t="inlineStr">
        <is>
          <t>LEADER TECH, INC. DBA HEICO COMPANY</t>
        </is>
      </c>
    </row>
    <row r="90">
      <c r="A90" s="44" t="inlineStr">
        <is>
          <t>3J6B1</t>
        </is>
      </c>
      <c r="B90" t="inlineStr">
        <is>
          <t>INDUSTRIAL WEBBING CORP.</t>
        </is>
      </c>
    </row>
    <row r="91">
      <c r="A91" s="44" t="inlineStr">
        <is>
          <t>K0216</t>
        </is>
      </c>
      <c r="B91" t="inlineStr">
        <is>
          <t>THALES OPTRONICS LIMITED.</t>
        </is>
      </c>
    </row>
    <row r="92">
      <c r="A92" s="44" t="inlineStr">
        <is>
          <t>U5503</t>
        </is>
      </c>
      <c r="B92" s="3" t="inlineStr">
        <is>
          <t>HIAB LIMITED DIV GOVERNMENT</t>
        </is>
      </c>
    </row>
    <row r="94">
      <c r="A94" s="44" t="inlineStr">
        <is>
          <t>6SPR5</t>
        </is>
      </c>
      <c r="B94" t="inlineStr">
        <is>
          <t>FLOWLINE VALVE AND CONTROLS,</t>
        </is>
      </c>
    </row>
    <row r="95">
      <c r="A95" s="45" t="inlineStr">
        <is>
          <t>1KWT0</t>
        </is>
      </c>
      <c r="B95" s="3" t="inlineStr">
        <is>
          <t>Sauer Compressors Usa, Inc.</t>
        </is>
      </c>
    </row>
    <row r="96">
      <c r="A96" s="44" t="inlineStr">
        <is>
          <t>1V8S5</t>
        </is>
      </c>
      <c r="B96" t="inlineStr">
        <is>
          <t>KNEE-PRO INDUSTRIES, INC</t>
        </is>
      </c>
    </row>
    <row r="97">
      <c r="A97" s="44" t="inlineStr">
        <is>
          <t>63009</t>
        </is>
      </c>
      <c r="B97" t="inlineStr">
        <is>
          <t>DONTECH INCORPORATED</t>
        </is>
      </c>
    </row>
    <row r="98">
      <c r="A98" s="44" t="inlineStr">
        <is>
          <t>17772</t>
        </is>
      </c>
      <c r="B98" t="inlineStr">
        <is>
          <t>AERO ENGINEERING MANUFACTURING</t>
        </is>
      </c>
    </row>
    <row r="99">
      <c r="A99" s="44" t="inlineStr">
        <is>
          <t>30205</t>
        </is>
      </c>
      <c r="B99" t="inlineStr">
        <is>
          <t>MERCER PRODUCTS MANUFACTURING</t>
        </is>
      </c>
    </row>
    <row r="100">
      <c r="A100" s="44" t="inlineStr">
        <is>
          <t>98991</t>
        </is>
      </c>
      <c r="B100" t="inlineStr">
        <is>
          <t>WORCESTER CONTROLS CORP P O BOX</t>
        </is>
      </c>
    </row>
    <row r="101">
      <c r="A101" s="44" t="inlineStr">
        <is>
          <t>52837</t>
        </is>
      </c>
      <c r="B101" t="inlineStr">
        <is>
          <t>WILDEN PUMP AND ENGINEERING CO</t>
        </is>
      </c>
    </row>
    <row r="102">
      <c r="A102" s="44" t="inlineStr">
        <is>
          <t>36575</t>
        </is>
      </c>
      <c r="B102" t="inlineStr">
        <is>
          <t>AIRCHIME MANUFACTURING CO LTD</t>
        </is>
      </c>
    </row>
    <row r="103">
      <c r="A103" s="44" t="inlineStr">
        <is>
          <t>82340</t>
        </is>
      </c>
      <c r="B103" t="inlineStr">
        <is>
          <t>EDO LLC DBA</t>
        </is>
      </c>
    </row>
    <row r="104">
      <c r="A104" s="44" t="inlineStr">
        <is>
          <t>04366</t>
        </is>
      </c>
      <c r="B104" t="inlineStr">
        <is>
          <t>LIQUID CONTROLS, L.L.C. DBA</t>
        </is>
      </c>
    </row>
    <row r="105">
      <c r="A105" s="44" t="inlineStr">
        <is>
          <t>00026</t>
        </is>
      </c>
      <c r="B105" t="inlineStr">
        <is>
          <t>MMC INTERNATIONAL CORP.</t>
        </is>
      </c>
    </row>
    <row r="106">
      <c r="A106" s="47" t="inlineStr">
        <is>
          <t>55378</t>
        </is>
      </c>
      <c r="B106" t="inlineStr">
        <is>
          <t>TRAC REGULATORS INC</t>
        </is>
      </c>
    </row>
    <row r="107">
      <c r="A107" s="44" t="inlineStr">
        <is>
          <t>1SEH7</t>
        </is>
      </c>
      <c r="B107" t="inlineStr">
        <is>
          <t>DELKIN DEVICES, INC.</t>
        </is>
      </c>
    </row>
    <row r="108">
      <c r="A108" s="44" t="inlineStr">
        <is>
          <t>03FF4</t>
        </is>
      </c>
      <c r="B108" s="3" t="inlineStr">
        <is>
          <t>Atrex Energy, Inc.</t>
        </is>
      </c>
      <c r="C108" s="7" t="inlineStr">
        <is>
          <t>mcalvo@acumentrics.com</t>
        </is>
      </c>
      <c r="D108" s="7" t="n"/>
    </row>
    <row r="109">
      <c r="A109" s="44" t="inlineStr">
        <is>
          <t>95717</t>
        </is>
      </c>
      <c r="B109" s="3" t="inlineStr">
        <is>
          <t>GOULD J D CO INC</t>
        </is>
      </c>
      <c r="C109" s="59" t="n"/>
      <c r="D109" s="59" t="n"/>
    </row>
    <row r="110">
      <c r="A110" s="45" t="n"/>
    </row>
    <row r="111">
      <c r="A111" s="44" t="inlineStr">
        <is>
          <t>38589</t>
        </is>
      </c>
      <c r="B111" t="inlineStr">
        <is>
          <t>MARTIN-DECKER TOTCO INC DBA M/D</t>
        </is>
      </c>
    </row>
    <row r="112">
      <c r="A112" s="44" t="inlineStr">
        <is>
          <t>09870</t>
        </is>
      </c>
      <c r="B112" t="inlineStr">
        <is>
          <t>BRANDSTROM INSTRUMENTS, INC. 09870</t>
        </is>
      </c>
    </row>
    <row r="113">
      <c r="A113" s="44" t="inlineStr">
        <is>
          <t>4Z9A3</t>
        </is>
      </c>
      <c r="B113" t="inlineStr">
        <is>
          <t>DIAGNOSTIC SOLUTIONS INTERNATIONAL</t>
        </is>
      </c>
    </row>
    <row r="114">
      <c r="C114" s="59" t="inlineStr">
        <is>
          <t>info@inmarsystems.com</t>
        </is>
      </c>
      <c r="D114" s="59" t="n"/>
    </row>
    <row r="115">
      <c r="A115" s="44" t="inlineStr">
        <is>
          <t>21392</t>
        </is>
      </c>
      <c r="B115" s="75" t="inlineStr">
        <is>
          <t>PREECE INCORPORATED</t>
        </is>
      </c>
      <c r="C115" s="7" t="inlineStr">
        <is>
          <t>sales@preeceinc.com</t>
        </is>
      </c>
      <c r="D115" s="7" t="n"/>
      <c r="E115" t="inlineStr">
        <is>
          <t>Call..(949) 770-9411</t>
        </is>
      </c>
    </row>
    <row r="117">
      <c r="A117" s="44" t="inlineStr">
        <is>
          <t>81860</t>
        </is>
      </c>
      <c r="B117" s="54" t="inlineStr">
        <is>
          <t>HUTCHINSON AEROSPACE INDUSTRY,</t>
        </is>
      </c>
    </row>
    <row r="119">
      <c r="A119" s="44" t="inlineStr">
        <is>
          <t>53882</t>
        </is>
      </c>
      <c r="B119" t="inlineStr">
        <is>
          <t>HACH ULTRA ANALYTICS INC. DBA</t>
        </is>
      </c>
    </row>
    <row r="120">
      <c r="A120" s="44" t="inlineStr">
        <is>
          <t>1KWT0</t>
        </is>
      </c>
      <c r="B120" t="inlineStr">
        <is>
          <t>Sauer Compressors Usa, Inc.</t>
        </is>
      </c>
    </row>
    <row r="122">
      <c r="A122" s="44" t="inlineStr">
        <is>
          <t>59672</t>
        </is>
      </c>
      <c r="B122" t="inlineStr">
        <is>
          <t>C V INTERNATIONAL, INC.</t>
        </is>
      </c>
    </row>
    <row r="123">
      <c r="A123" s="44" t="inlineStr">
        <is>
          <t>07524</t>
        </is>
      </c>
      <c r="B123" t="inlineStr">
        <is>
          <t>DOVER ENERGY, INC. DBA Blackmer</t>
        </is>
      </c>
    </row>
    <row r="126">
      <c r="A126" s="44" t="inlineStr">
        <is>
          <t>73949</t>
        </is>
      </c>
      <c r="B126" t="inlineStr">
        <is>
          <t>Guardian Electric Manufacturing</t>
        </is>
      </c>
    </row>
    <row r="127">
      <c r="A127" s="44" t="inlineStr">
        <is>
          <t>05236</t>
        </is>
      </c>
      <c r="B127" t="inlineStr">
        <is>
          <t>JONATHAN ENGINEERED SOLUTIONS 05236</t>
        </is>
      </c>
    </row>
    <row r="128">
      <c r="A128" s="44" t="inlineStr">
        <is>
          <t>65597</t>
        </is>
      </c>
      <c r="B128" t="inlineStr">
        <is>
          <t>Thales Defense Security, Inc.</t>
        </is>
      </c>
    </row>
    <row r="130">
      <c r="A130" s="44" t="inlineStr">
        <is>
          <t>10988</t>
        </is>
      </c>
      <c r="B130" t="inlineStr">
        <is>
          <t>CNH INDUSTRIAL AMERICA LLC 10988</t>
        </is>
      </c>
    </row>
    <row r="131">
      <c r="A131" s="45" t="inlineStr">
        <is>
          <t>71468</t>
        </is>
      </c>
      <c r="B131" s="3" t="inlineStr">
        <is>
          <t>I T T CANNON</t>
        </is>
      </c>
      <c r="C131" s="59" t="inlineStr">
        <is>
          <t>lcerulli@brandel-stephens.com</t>
        </is>
      </c>
      <c r="D131" s="59" t="n"/>
      <c r="E131" t="inlineStr">
        <is>
          <t>P/N KJA6T21W75PNL</t>
        </is>
      </c>
    </row>
    <row r="132">
      <c r="E132" t="inlineStr">
        <is>
          <t>P/N CA3102R28-2009-16P</t>
        </is>
      </c>
    </row>
    <row r="133">
      <c r="A133" s="44" t="inlineStr">
        <is>
          <t>33476</t>
        </is>
      </c>
      <c r="B133" t="inlineStr">
        <is>
          <t>Telegenix</t>
        </is>
      </c>
    </row>
    <row r="134">
      <c r="A134" s="44" t="inlineStr">
        <is>
          <t>06AG3</t>
        </is>
      </c>
      <c r="B134" s="3" t="inlineStr">
        <is>
          <t>DK MANUFACTURING LLC</t>
        </is>
      </c>
    </row>
    <row r="136">
      <c r="A136" s="44" t="inlineStr">
        <is>
          <t>D8265</t>
        </is>
      </c>
      <c r="B136" t="inlineStr">
        <is>
          <t>J.P. Sauer Sohn Maschinenbau GmbH</t>
        </is>
      </c>
      <c r="E136" s="10" t="inlineStr">
        <is>
          <t>4310123345715</t>
        </is>
      </c>
    </row>
    <row r="137">
      <c r="A137" s="44" t="inlineStr">
        <is>
          <t>89022</t>
        </is>
      </c>
      <c r="B137" t="inlineStr">
        <is>
          <t>TDK-LAMBDA AMERICAS INC.</t>
        </is>
      </c>
    </row>
    <row r="139">
      <c r="A139" s="44" t="inlineStr">
        <is>
          <t>12615</t>
        </is>
      </c>
      <c r="B139" t="inlineStr">
        <is>
          <t>U S TERMINALS INC</t>
        </is>
      </c>
      <c r="E139" t="inlineStr">
        <is>
          <t>5999-00-108-8499</t>
        </is>
      </c>
    </row>
    <row r="140">
      <c r="A140" s="44" t="inlineStr">
        <is>
          <t>0FDK5</t>
        </is>
      </c>
      <c r="B140" t="inlineStr">
        <is>
          <t>MELTRIC CORPORATION</t>
        </is>
      </c>
      <c r="E140" s="10" t="inlineStr">
        <is>
          <t>5935016541832</t>
        </is>
      </c>
    </row>
    <row r="141">
      <c r="A141" s="44" t="inlineStr">
        <is>
          <t>51435</t>
        </is>
      </c>
      <c r="B141" t="inlineStr">
        <is>
          <t>EMS Development Corporation</t>
        </is>
      </c>
    </row>
    <row r="142">
      <c r="A142" s="44" t="inlineStr">
        <is>
          <t>0RPE1</t>
        </is>
      </c>
      <c r="B142" t="inlineStr">
        <is>
          <t>BALLUFF INC</t>
        </is>
      </c>
    </row>
    <row r="143">
      <c r="A143" s="44" t="inlineStr">
        <is>
          <t>51435</t>
        </is>
      </c>
      <c r="B143" t="inlineStr">
        <is>
          <t>EMS Development Corporation 51435</t>
        </is>
      </c>
    </row>
    <row r="144">
      <c r="A144" s="44" t="inlineStr">
        <is>
          <t>1NPW9</t>
        </is>
      </c>
      <c r="B144" t="inlineStr">
        <is>
          <t>901 D, LLC</t>
        </is>
      </c>
    </row>
    <row r="145">
      <c r="A145" s="44" t="inlineStr">
        <is>
          <t>8Z410</t>
        </is>
      </c>
      <c r="B145" t="inlineStr">
        <is>
          <t>LEDTRONICS, INC.</t>
        </is>
      </c>
      <c r="C145" s="13" t="inlineStr">
        <is>
          <t>spoh@ledtronics.com</t>
        </is>
      </c>
    </row>
    <row r="146">
      <c r="A146" s="44" t="inlineStr">
        <is>
          <t>0LSP2</t>
        </is>
      </c>
      <c r="B146" t="inlineStr">
        <is>
          <t>SPECTRUM CONTROL, INC. DBA</t>
        </is>
      </c>
    </row>
    <row r="147">
      <c r="A147" s="44" t="inlineStr">
        <is>
          <t>0L9X3</t>
        </is>
      </c>
      <c r="B147" t="inlineStr">
        <is>
          <t>BALLARD COMMERCIAL INDUSTRIES,</t>
        </is>
      </c>
    </row>
    <row r="148">
      <c r="A148" s="47" t="inlineStr">
        <is>
          <t>3A7L4</t>
        </is>
      </c>
      <c r="B148" t="inlineStr">
        <is>
          <t>PROTOTYPE MACHINE CO. DBA Randolph</t>
        </is>
      </c>
    </row>
    <row r="149">
      <c r="A149" s="44" t="inlineStr">
        <is>
          <t>88759</t>
        </is>
      </c>
      <c r="B149" t="inlineStr">
        <is>
          <t>Dynatect Manufacturing, Inc. DBA</t>
        </is>
      </c>
    </row>
    <row r="150">
      <c r="A150" s="44" t="inlineStr">
        <is>
          <t>0AYP6</t>
        </is>
      </c>
      <c r="B150" t="inlineStr">
        <is>
          <t>SPECIFIC SYSTEMS, LTD.</t>
        </is>
      </c>
    </row>
    <row r="151">
      <c r="A151" s="44" t="inlineStr">
        <is>
          <t>640P7</t>
        </is>
      </c>
      <c r="B151" t="inlineStr">
        <is>
          <t>CRN Solutions, Inc. DBA Primus</t>
        </is>
      </c>
    </row>
    <row r="152">
      <c r="A152" s="44" t="inlineStr">
        <is>
          <t>0BKB8</t>
        </is>
      </c>
      <c r="B152" t="inlineStr">
        <is>
          <t>SUPERIOR PLASTICS, INC CAGE</t>
        </is>
      </c>
    </row>
    <row r="155">
      <c r="A155" s="44" t="inlineStr">
        <is>
          <t>1GVT4</t>
        </is>
      </c>
      <c r="B155" t="inlineStr">
        <is>
          <t>MEGAPHASE, L.L.C.</t>
        </is>
      </c>
    </row>
    <row r="156">
      <c r="A156" s="44" t="inlineStr">
        <is>
          <t>55345</t>
        </is>
      </c>
      <c r="B156" t="inlineStr">
        <is>
          <t>ALAMO AIRCRAFT, LTD</t>
        </is>
      </c>
    </row>
    <row r="157">
      <c r="A157" s="44" t="inlineStr">
        <is>
          <t>0AM43</t>
        </is>
      </c>
      <c r="B157" t="inlineStr">
        <is>
          <t>LCR Electronics</t>
        </is>
      </c>
    </row>
    <row r="158">
      <c r="A158" s="44" t="inlineStr">
        <is>
          <t>47WD8</t>
        </is>
      </c>
      <c r="B158" t="inlineStr">
        <is>
          <t>EVAC NORTH AMERICA</t>
        </is>
      </c>
    </row>
    <row r="159">
      <c r="A159" s="44" t="inlineStr">
        <is>
          <t>30974</t>
        </is>
      </c>
      <c r="B159" s="3" t="inlineStr">
        <is>
          <t>AEROFIT, LLC</t>
        </is>
      </c>
      <c r="C159" s="7" t="inlineStr">
        <is>
          <t>arojas@aerofit.com</t>
        </is>
      </c>
      <c r="D159" s="7" t="n"/>
    </row>
    <row r="160">
      <c r="A160" s="44" t="inlineStr">
        <is>
          <t>311K7</t>
        </is>
      </c>
      <c r="B160" t="inlineStr">
        <is>
          <t>KISSLING ELECTROTEC, INCORPORATED</t>
        </is>
      </c>
    </row>
    <row r="161">
      <c r="A161" s="44" t="inlineStr">
        <is>
          <t>13619</t>
        </is>
      </c>
      <c r="B161" t="inlineStr">
        <is>
          <t>EMS DEVELOPMENT CORPORATION</t>
        </is>
      </c>
    </row>
    <row r="162">
      <c r="A162" s="44" t="inlineStr">
        <is>
          <t>13669</t>
        </is>
      </c>
      <c r="B162" t="inlineStr">
        <is>
          <t>TESCOM CORPORATION DBA EMERSON</t>
        </is>
      </c>
    </row>
    <row r="163">
      <c r="A163" s="44" t="inlineStr">
        <is>
          <t>59577</t>
        </is>
      </c>
      <c r="B163" t="inlineStr">
        <is>
          <t>EASY VAC, INC.</t>
        </is>
      </c>
    </row>
    <row r="164">
      <c r="A164" s="44" t="inlineStr">
        <is>
          <t>11023</t>
        </is>
      </c>
      <c r="B164" t="inlineStr">
        <is>
          <t>FORENTA L.P.</t>
        </is>
      </c>
    </row>
    <row r="165">
      <c r="A165" s="45" t="inlineStr">
        <is>
          <t>8/13/2017</t>
        </is>
      </c>
    </row>
    <row r="166">
      <c r="A166" s="44" t="inlineStr">
        <is>
          <t>3FLE0</t>
        </is>
      </c>
      <c r="B166" t="inlineStr">
        <is>
          <t>VOLEX INC.</t>
        </is>
      </c>
    </row>
    <row r="167">
      <c r="A167" s="44" t="inlineStr">
        <is>
          <t>6LE50</t>
        </is>
      </c>
      <c r="B167" t="inlineStr">
        <is>
          <t>FLUID HANDLING, LLC DBA STANDARD</t>
        </is>
      </c>
      <c r="C167" s="7" t="inlineStr">
        <is>
          <t>kmartin@tencarva.com</t>
        </is>
      </c>
      <c r="D167" s="7" t="n"/>
    </row>
    <row r="168">
      <c r="A168" s="44" t="inlineStr">
        <is>
          <t>57500</t>
        </is>
      </c>
      <c r="B168" s="64" t="inlineStr">
        <is>
          <t>Teledyne Reynolds, Inc. DBA</t>
        </is>
      </c>
    </row>
    <row r="169">
      <c r="D169" s="7" t="n"/>
    </row>
    <row r="170">
      <c r="A170" s="44" t="inlineStr">
        <is>
          <t>98313</t>
        </is>
      </c>
      <c r="B170" t="inlineStr">
        <is>
          <t>Davis Aircraft Products Co., Inc.</t>
        </is>
      </c>
    </row>
    <row r="171">
      <c r="A171" s="44" t="inlineStr">
        <is>
          <t>3BFK5</t>
        </is>
      </c>
      <c r="B171" t="inlineStr">
        <is>
          <t>Richard Manno Company Inc.</t>
        </is>
      </c>
    </row>
    <row r="172">
      <c r="A172" s="44" t="inlineStr">
        <is>
          <t>23540</t>
        </is>
      </c>
      <c r="B172" t="inlineStr">
        <is>
          <t>NIAGARA PLASTICS L.L.C.</t>
        </is>
      </c>
    </row>
    <row r="173">
      <c r="A173" s="44" t="inlineStr">
        <is>
          <t>64415</t>
        </is>
      </c>
      <c r="B173" t="inlineStr">
        <is>
          <t>Selex ES Inc. DBA</t>
        </is>
      </c>
    </row>
    <row r="174">
      <c r="A174" s="44" t="inlineStr">
        <is>
          <t>74YZ3</t>
        </is>
      </c>
      <c r="B174" t="inlineStr">
        <is>
          <t>BROMINE SYSTEMS, INC.</t>
        </is>
      </c>
    </row>
    <row r="175">
      <c r="A175" s="44" t="inlineStr">
        <is>
          <t>04710</t>
        </is>
      </c>
      <c r="B175" s="3" t="inlineStr">
        <is>
          <t>WESCON PRODUCTS COMPANY DIV</t>
        </is>
      </c>
      <c r="C175" s="7" t="inlineStr">
        <is>
          <t>deanna.howell@wesconcontrols.com</t>
        </is>
      </c>
    </row>
    <row r="176">
      <c r="A176" s="44" t="inlineStr">
        <is>
          <t>8L945</t>
        </is>
      </c>
      <c r="B176" t="inlineStr">
        <is>
          <t>NORTHERN LIGHTS, INC. DBA NORTHERN</t>
        </is>
      </c>
    </row>
    <row r="177">
      <c r="A177" s="44" t="inlineStr">
        <is>
          <t>71176</t>
        </is>
      </c>
      <c r="B177" t="inlineStr">
        <is>
          <t>EMERSON ELECTRIC CO BROWNING MFG</t>
        </is>
      </c>
    </row>
    <row r="178">
      <c r="A178" s="44" t="inlineStr">
        <is>
          <t>52791</t>
        </is>
      </c>
      <c r="B178" t="inlineStr">
        <is>
          <t>Tecom Industries, Incorporated DBA</t>
        </is>
      </c>
    </row>
    <row r="179">
      <c r="A179" s="44" t="inlineStr">
        <is>
          <t>75078</t>
        </is>
      </c>
      <c r="B179" t="inlineStr">
        <is>
          <t>JACOBS MFG CO THE</t>
        </is>
      </c>
    </row>
    <row r="180">
      <c r="A180" s="44" t="inlineStr">
        <is>
          <t>07687</t>
        </is>
      </c>
      <c r="B180" t="inlineStr">
        <is>
          <t>HYDRA-MATIC PACKING CO INC</t>
        </is>
      </c>
    </row>
    <row r="181">
      <c r="A181" s="44" t="inlineStr">
        <is>
          <t>29381</t>
        </is>
      </c>
      <c r="B181" t="inlineStr">
        <is>
          <t>GICHNER SYSTEMS GROUP, INC. DBA</t>
        </is>
      </c>
    </row>
    <row r="182">
      <c r="A182" s="44" t="inlineStr">
        <is>
          <t>08748</t>
        </is>
      </c>
      <c r="B182" s="76" t="inlineStr">
        <is>
          <t>ELDEC CORPORATION DBA CRANE</t>
        </is>
      </c>
    </row>
    <row r="184">
      <c r="B184" s="13" t="n"/>
    </row>
    <row r="187">
      <c r="B187" s="13" t="n"/>
    </row>
    <row r="188">
      <c r="A188" s="52" t="n"/>
      <c r="B188" s="13" t="n"/>
    </row>
    <row r="189">
      <c r="B189" s="13" t="n"/>
      <c r="C189" s="59" t="n"/>
      <c r="D189" s="59" t="n"/>
    </row>
    <row r="191">
      <c r="B191" s="13" t="n"/>
    </row>
    <row r="193">
      <c r="A193" s="47" t="inlineStr">
        <is>
          <t>8/20/2017</t>
        </is>
      </c>
    </row>
    <row r="194">
      <c r="A194" s="44" t="inlineStr">
        <is>
          <t>1BW94</t>
        </is>
      </c>
      <c r="B194" t="inlineStr">
        <is>
          <t>OFFSHORE SPARS CO.</t>
        </is>
      </c>
    </row>
    <row r="195">
      <c r="A195" s="44" t="inlineStr">
        <is>
          <t>78314</t>
        </is>
      </c>
      <c r="B195" t="inlineStr">
        <is>
          <t>SIMS PUMP VALVE COMPANY, INC.</t>
        </is>
      </c>
    </row>
    <row r="196">
      <c r="A196" s="44" t="inlineStr">
        <is>
          <t>4HBU4</t>
        </is>
      </c>
      <c r="B196" t="inlineStr">
        <is>
          <t>KINGTRON VALVE &amp; CONTROL INC</t>
        </is>
      </c>
    </row>
    <row r="197">
      <c r="B197" t="inlineStr">
        <is>
          <t>SPIRAX SARCO, INC. 53059 P/N 62637</t>
        </is>
      </c>
    </row>
    <row r="198">
      <c r="A198" s="44" t="inlineStr">
        <is>
          <t>66CR4</t>
        </is>
      </c>
      <c r="B198" t="inlineStr">
        <is>
          <t>GRIEB MANUFACTURING COMPANY, INC.</t>
        </is>
      </c>
    </row>
    <row r="199">
      <c r="A199" s="44" t="inlineStr">
        <is>
          <t>22830</t>
        </is>
      </c>
      <c r="B199" t="inlineStr">
        <is>
          <t>Symetrics Industries, LLC DBA</t>
        </is>
      </c>
    </row>
    <row r="200">
      <c r="A200" s="44" t="inlineStr">
        <is>
          <t>34345</t>
        </is>
      </c>
      <c r="B200" s="3" t="inlineStr">
        <is>
          <t>KULITE SEMICONDUCTOR PRODUCTS, INC</t>
        </is>
      </c>
      <c r="C200" s="7" t="inlineStr">
        <is>
          <t>terie.briones@kulite.com</t>
        </is>
      </c>
      <c r="D200" s="7" t="n"/>
    </row>
    <row r="201">
      <c r="A201" s="44" t="inlineStr">
        <is>
          <t>1XP56</t>
        </is>
      </c>
      <c r="B201" t="inlineStr">
        <is>
          <t>AI-TEK INSTRUMENTS, LLC</t>
        </is>
      </c>
    </row>
    <row r="202">
      <c r="A202" s="44" t="inlineStr">
        <is>
          <t>34004</t>
        </is>
      </c>
      <c r="B202" t="inlineStr">
        <is>
          <t>STANLEY BLACK DECKER, INC. DBA</t>
        </is>
      </c>
    </row>
    <row r="203">
      <c r="A203" s="44" t="inlineStr">
        <is>
          <t>61796</t>
        </is>
      </c>
      <c r="B203" t="inlineStr">
        <is>
          <t>CEMEN TECH, INC.</t>
        </is>
      </c>
    </row>
    <row r="204">
      <c r="A204" s="44" t="inlineStr">
        <is>
          <t>1BW94</t>
        </is>
      </c>
      <c r="B204" t="inlineStr">
        <is>
          <t>OFFSHORE SPARS CO.</t>
        </is>
      </c>
    </row>
    <row r="205">
      <c r="A205" s="44" t="inlineStr">
        <is>
          <t>0NWE3</t>
        </is>
      </c>
      <c r="B205" t="inlineStr">
        <is>
          <t>CUSTOM CONTROLS CO DO NOT USE AS</t>
        </is>
      </c>
    </row>
    <row r="206">
      <c r="A206" s="44" t="inlineStr">
        <is>
          <t>4ZW64</t>
        </is>
      </c>
      <c r="B206" t="inlineStr">
        <is>
          <t>Brooks Instrument LLC</t>
        </is>
      </c>
    </row>
    <row r="207">
      <c r="A207" s="44" t="inlineStr">
        <is>
          <t>3DD99</t>
        </is>
      </c>
      <c r="B207" t="inlineStr">
        <is>
          <t>QUADRANT VALVE &amp; ACTUATOR LLC</t>
        </is>
      </c>
    </row>
    <row r="208">
      <c r="A208" s="44" t="inlineStr">
        <is>
          <t>70508</t>
        </is>
      </c>
      <c r="B208" t="inlineStr">
        <is>
          <t>AMERICAN METAL BEARING COMPANY</t>
        </is>
      </c>
    </row>
    <row r="209">
      <c r="A209" s="44" t="inlineStr">
        <is>
          <t>03705</t>
        </is>
      </c>
      <c r="B209" t="inlineStr">
        <is>
          <t>Apex Tool Group, LLC</t>
        </is>
      </c>
    </row>
    <row r="210">
      <c r="A210" s="44" t="inlineStr">
        <is>
          <t>91663</t>
        </is>
      </c>
      <c r="B210" s="3" t="inlineStr">
        <is>
          <t>ARMEL ELECTRONICS INC</t>
        </is>
      </c>
      <c r="C210" s="7" t="inlineStr">
        <is>
          <t>info@armelelectronics.com</t>
        </is>
      </c>
      <c r="D210" s="7" t="n"/>
    </row>
    <row r="211">
      <c r="A211" s="44" t="inlineStr">
        <is>
          <t>10236</t>
        </is>
      </c>
      <c r="B211" t="inlineStr">
        <is>
          <t>Electrodynamics, Inc. DBA L-3</t>
        </is>
      </c>
    </row>
    <row r="212">
      <c r="A212" s="44" t="inlineStr">
        <is>
          <t>31UG4</t>
        </is>
      </c>
      <c r="B212" t="inlineStr">
        <is>
          <t>AMERICAN DEFENSE SYSTEMS, INC. DBA</t>
        </is>
      </c>
    </row>
    <row r="213">
      <c r="A213" s="44" t="inlineStr">
        <is>
          <t>44185</t>
        </is>
      </c>
      <c r="B213" t="inlineStr">
        <is>
          <t>NMC/WOLLARD, INC.</t>
        </is>
      </c>
    </row>
    <row r="214">
      <c r="A214" s="44" t="inlineStr">
        <is>
          <t>I 0XBF7</t>
        </is>
      </c>
      <c r="B214" t="inlineStr">
        <is>
          <t>ENERGY TECHNOLOGIES, INC. DBA E T</t>
        </is>
      </c>
    </row>
    <row r="215">
      <c r="A215" s="44" t="inlineStr">
        <is>
          <t>54752</t>
        </is>
      </c>
      <c r="B215" t="inlineStr">
        <is>
          <t>R G Rollin Co</t>
        </is>
      </c>
    </row>
    <row r="216">
      <c r="A216" s="44" t="inlineStr">
        <is>
          <t>80735</t>
        </is>
      </c>
      <c r="B216" t="inlineStr">
        <is>
          <t>Columbus Mckinnon Corporation DBA 8</t>
        </is>
      </c>
    </row>
    <row r="217">
      <c r="A217" s="44" t="inlineStr">
        <is>
          <t>07058</t>
        </is>
      </c>
      <c r="B217" t="inlineStr">
        <is>
          <t>AIREX RUBBER PRODUCTS CORPORATION</t>
        </is>
      </c>
    </row>
    <row r="218">
      <c r="A218" s="44" t="inlineStr">
        <is>
          <t>94607</t>
        </is>
      </c>
      <c r="B218" t="inlineStr">
        <is>
          <t>AMOT CONTROLS CORPORATION</t>
        </is>
      </c>
    </row>
    <row r="219">
      <c r="A219" s="44" t="inlineStr">
        <is>
          <t>05BU0</t>
        </is>
      </c>
      <c r="B219" t="inlineStr">
        <is>
          <t>KIDDE TECHNOLOGIES INC DBA KIDDE</t>
        </is>
      </c>
    </row>
    <row r="221">
      <c r="A221" s="44" t="inlineStr">
        <is>
          <t>96046</t>
        </is>
      </c>
      <c r="B221" t="inlineStr">
        <is>
          <t>Crane Pumps Systems, Inc.</t>
        </is>
      </c>
    </row>
    <row r="222">
      <c r="A222" s="44" t="inlineStr">
        <is>
          <t>63544</t>
        </is>
      </c>
      <c r="B222" t="inlineStr">
        <is>
          <t>ENGINE MONITOR, INC. DBA E M I</t>
        </is>
      </c>
    </row>
    <row r="223">
      <c r="A223" s="44" t="inlineStr">
        <is>
          <t>60674</t>
        </is>
      </c>
      <c r="B223" t="inlineStr">
        <is>
          <t>MICROWAVE DEVICES INC</t>
        </is>
      </c>
    </row>
    <row r="224">
      <c r="A224" s="44" t="inlineStr">
        <is>
          <t>76364</t>
        </is>
      </c>
      <c r="B224" t="inlineStr">
        <is>
          <t>MILWAUKEE VALVE COMPANY, INC. DBA 76364</t>
        </is>
      </c>
    </row>
    <row r="225">
      <c r="A225" s="44" t="inlineStr">
        <is>
          <t>72197</t>
        </is>
      </c>
      <c r="B225" t="inlineStr">
        <is>
          <t>KVH INDUSTRIES, INC.</t>
        </is>
      </c>
    </row>
    <row r="226">
      <c r="A226" s="44" t="inlineStr">
        <is>
          <t>24664</t>
        </is>
      </c>
      <c r="B226" t="inlineStr">
        <is>
          <t>JONAL LABORATORIES INCORPORATED</t>
        </is>
      </c>
    </row>
    <row r="227">
      <c r="A227" s="44" t="inlineStr">
        <is>
          <t>59662</t>
        </is>
      </c>
      <c r="B227" t="inlineStr">
        <is>
          <t>XENOTRONIX / TLI INC</t>
        </is>
      </c>
    </row>
    <row r="228">
      <c r="A228" s="44" t="inlineStr">
        <is>
          <t>98810</t>
        </is>
      </c>
      <c r="B228" t="inlineStr">
        <is>
          <t>Aerosonic LLC</t>
        </is>
      </c>
    </row>
    <row r="229">
      <c r="A229" s="44" t="inlineStr">
        <is>
          <t>52476</t>
        </is>
      </c>
      <c r="B229" t="inlineStr">
        <is>
          <t>Coleman Microwave Co. DBA</t>
        </is>
      </c>
    </row>
    <row r="230">
      <c r="A230" s="44" t="inlineStr">
        <is>
          <t>27315</t>
        </is>
      </c>
      <c r="B230" t="inlineStr">
        <is>
          <t>MORRIS MATERIAL HANDLING, INC. DBA</t>
        </is>
      </c>
    </row>
    <row r="231">
      <c r="A231" s="44" t="inlineStr">
        <is>
          <t>06223</t>
        </is>
      </c>
      <c r="B231" t="inlineStr">
        <is>
          <t>KOOLTRONIC INC.</t>
        </is>
      </c>
    </row>
    <row r="232">
      <c r="A232" s="44" t="inlineStr">
        <is>
          <t>68999</t>
        </is>
      </c>
      <c r="B232" s="3" t="inlineStr">
        <is>
          <t>Times Microwave Systems, Inc. DBA</t>
        </is>
      </c>
      <c r="C232" s="7" t="inlineStr">
        <is>
          <t>tim.smith@timesmicro.com</t>
        </is>
      </c>
      <c r="D232" s="7" t="n"/>
    </row>
    <row r="233">
      <c r="A233" s="44" t="inlineStr">
        <is>
          <t>29293</t>
        </is>
      </c>
      <c r="B233" t="inlineStr">
        <is>
          <t>ADVANCE MFG.CO., INC.</t>
        </is>
      </c>
    </row>
    <row r="234">
      <c r="A234" s="44" t="inlineStr">
        <is>
          <t>6Z833</t>
        </is>
      </c>
      <c r="B234" t="inlineStr">
        <is>
          <t>Cortron, Inc.</t>
        </is>
      </c>
    </row>
    <row r="235">
      <c r="A235" s="44" t="inlineStr">
        <is>
          <t>09051</t>
        </is>
      </c>
      <c r="B235" t="inlineStr">
        <is>
          <t>GAYLORD INDUSTRIES, INC.</t>
        </is>
      </c>
    </row>
    <row r="237">
      <c r="A237" s="44" t="n">
        <v>82199</v>
      </c>
      <c r="B237" s="3" t="inlineStr">
        <is>
          <t>RHODE SCHWARZ</t>
        </is>
      </c>
      <c r="C237" s="7" t="inlineStr">
        <is>
          <t>Service.RSA@RSA.Rohde-Schwarz.com</t>
        </is>
      </c>
      <c r="D237" s="7" t="n"/>
    </row>
    <row r="239">
      <c r="A239" s="44" t="inlineStr">
        <is>
          <t>7Y065</t>
        </is>
      </c>
      <c r="B239" t="inlineStr">
        <is>
          <t>SAFEGUARDS TECHNOLOGY LLC DBA</t>
        </is>
      </c>
    </row>
    <row r="240">
      <c r="A240" s="44" t="inlineStr">
        <is>
          <t>81343</t>
        </is>
      </c>
      <c r="B240" t="inlineStr">
        <is>
          <t>SOCIETY OF AUTOMOTIVE ENGINEERS INC</t>
        </is>
      </c>
    </row>
    <row r="241">
      <c r="A241" s="44" t="inlineStr">
        <is>
          <t>35351</t>
        </is>
      </c>
      <c r="B241" t="inlineStr">
        <is>
          <t>GE AVIATION SYSTEMS LLC</t>
        </is>
      </c>
    </row>
    <row r="242">
      <c r="A242" s="44" t="inlineStr">
        <is>
          <t>62727</t>
        </is>
      </c>
      <c r="B242" t="inlineStr">
        <is>
          <t>MID-STATE SALES, INC. DBA</t>
        </is>
      </c>
    </row>
    <row r="243">
      <c r="A243" s="44" t="inlineStr">
        <is>
          <t>81815</t>
        </is>
      </c>
      <c r="B243" t="inlineStr">
        <is>
          <t>COMMUNICATION COIL, INC. DBA</t>
        </is>
      </c>
    </row>
    <row r="244">
      <c r="A244" s="44" t="inlineStr">
        <is>
          <t>72197</t>
        </is>
      </c>
      <c r="B244" t="inlineStr">
        <is>
          <t>KVH INDUSTRIES, INC.</t>
        </is>
      </c>
    </row>
    <row r="245">
      <c r="A245" s="44" t="inlineStr">
        <is>
          <t>13675</t>
        </is>
      </c>
      <c r="B245" s="3" t="inlineStr">
        <is>
          <t>WEMS INC. DBA WEMS ELECTRONICS</t>
        </is>
      </c>
      <c r="C245" s="7" t="inlineStr">
        <is>
          <t>cnotaro@wems.com</t>
        </is>
      </c>
    </row>
    <row r="246">
      <c r="A246" s="44" t="inlineStr">
        <is>
          <t>59025</t>
        </is>
      </c>
      <c r="B246" t="inlineStr">
        <is>
          <t>SUPFINA MACHINE COMPANY, INC</t>
        </is>
      </c>
    </row>
    <row r="247">
      <c r="A247" s="44" t="inlineStr">
        <is>
          <t>09032</t>
        </is>
      </c>
      <c r="B247" t="inlineStr">
        <is>
          <t>TATE ANDALE, INC. 0</t>
        </is>
      </c>
    </row>
    <row r="248">
      <c r="A248" s="44" t="inlineStr">
        <is>
          <t>97424</t>
        </is>
      </c>
      <c r="B248" t="inlineStr">
        <is>
          <t>AMETEK INC. DBA AMETEK AEROSPACE</t>
        </is>
      </c>
    </row>
    <row r="250">
      <c r="A250" s="44" t="inlineStr">
        <is>
          <t>0B1R9</t>
        </is>
      </c>
      <c r="B250" t="inlineStr">
        <is>
          <t>TRAINA MECHANICAL, INC.</t>
        </is>
      </c>
    </row>
    <row r="251">
      <c r="A251" s="44" t="inlineStr">
        <is>
          <t>3XLP1</t>
        </is>
      </c>
      <c r="B251" t="inlineStr">
        <is>
          <t>POWERFLARE CORPORATION 3</t>
        </is>
      </c>
    </row>
    <row r="252">
      <c r="A252" s="44" t="inlineStr">
        <is>
          <t>0EYA6</t>
        </is>
      </c>
      <c r="B252" t="inlineStr">
        <is>
          <t>WARTSILA DEFENSE, INC.</t>
        </is>
      </c>
    </row>
    <row r="253">
      <c r="A253" s="44" t="inlineStr">
        <is>
          <t>59157</t>
        </is>
      </c>
      <c r="B253" t="inlineStr">
        <is>
          <t>LOOS CO., INC. DBA WIRE ROPE DIV</t>
        </is>
      </c>
    </row>
    <row r="255">
      <c r="A255" s="44" t="inlineStr">
        <is>
          <t>03RT1</t>
        </is>
      </c>
      <c r="B255" t="inlineStr">
        <is>
          <t>Ultravolt, Inc.</t>
        </is>
      </c>
    </row>
    <row r="256">
      <c r="A256" s="44" t="inlineStr">
        <is>
          <t>92997</t>
        </is>
      </c>
      <c r="B256" t="inlineStr">
        <is>
          <t>MILWAUKEE SPRAYER MFG. CO. INC.</t>
        </is>
      </c>
    </row>
    <row r="257">
      <c r="A257" s="44" t="inlineStr">
        <is>
          <t>29192</t>
        </is>
      </c>
      <c r="B257" t="inlineStr">
        <is>
          <t>OLYMPUS SCIENTIFIC SOLUTIONS</t>
        </is>
      </c>
    </row>
    <row r="258">
      <c r="A258" s="44" t="inlineStr">
        <is>
          <t>28968</t>
        </is>
      </c>
      <c r="B258" t="inlineStr">
        <is>
          <t>Circor Instrumentation</t>
        </is>
      </c>
    </row>
    <row r="259">
      <c r="A259" s="44" t="inlineStr">
        <is>
          <t>85213</t>
        </is>
      </c>
      <c r="B259" t="inlineStr">
        <is>
          <t>L.C.DOANE COMPANY,THE</t>
        </is>
      </c>
    </row>
    <row r="260">
      <c r="A260" s="44" t="inlineStr">
        <is>
          <t>94874</t>
        </is>
      </c>
      <c r="B260" t="inlineStr">
        <is>
          <t>DROITCOUR COMPANY</t>
        </is>
      </c>
    </row>
    <row r="261">
      <c r="A261" s="44" t="inlineStr">
        <is>
          <t>76588</t>
        </is>
      </c>
      <c r="B261" t="inlineStr">
        <is>
          <t>CORE INDUSTRIES INC.</t>
        </is>
      </c>
    </row>
    <row r="262">
      <c r="A262" s="44" t="inlineStr">
        <is>
          <t>62749</t>
        </is>
      </c>
      <c r="B262" t="inlineStr">
        <is>
          <t>NORTECH CORP</t>
        </is>
      </c>
    </row>
    <row r="263">
      <c r="A263" s="44" t="inlineStr">
        <is>
          <t>22508</t>
        </is>
      </c>
      <c r="B263" t="inlineStr">
        <is>
          <t>FISHER CONTROLS CO INC</t>
        </is>
      </c>
    </row>
    <row r="264">
      <c r="A264" s="44" t="inlineStr">
        <is>
          <t>91363</t>
        </is>
      </c>
      <c r="B264" t="inlineStr">
        <is>
          <t>NORRISEAL NORRIS VALUES DIV DBA</t>
        </is>
      </c>
    </row>
    <row r="265">
      <c r="A265" s="44" t="inlineStr">
        <is>
          <t>0H015</t>
        </is>
      </c>
      <c r="B265" t="inlineStr">
        <is>
          <t>BW TECHNOLOGIES LTD</t>
        </is>
      </c>
    </row>
    <row r="266">
      <c r="A266" s="44" t="inlineStr">
        <is>
          <t>55822</t>
        </is>
      </c>
      <c r="B266" t="inlineStr">
        <is>
          <t>GST INDUSTRIES INC. DBA</t>
        </is>
      </c>
    </row>
    <row r="267">
      <c r="A267" s="44" t="inlineStr">
        <is>
          <t>61510</t>
        </is>
      </c>
      <c r="B267" t="inlineStr">
        <is>
          <t>THERMO KING CORPORATION DBA</t>
        </is>
      </c>
    </row>
    <row r="268">
      <c r="A268" s="44" t="inlineStr">
        <is>
          <t>21013</t>
        </is>
      </c>
      <c r="B268" t="inlineStr">
        <is>
          <t>METREX VALVE CORP.</t>
        </is>
      </c>
    </row>
    <row r="269">
      <c r="A269" s="44" t="inlineStr">
        <is>
          <t>H6077</t>
        </is>
      </c>
      <c r="B269" t="inlineStr">
        <is>
          <t>MAFO NAVAL CLOSURES B.V.</t>
        </is>
      </c>
    </row>
    <row r="270">
      <c r="A270" s="44" t="inlineStr">
        <is>
          <t>3KMC3</t>
        </is>
      </c>
      <c r="B270" t="inlineStr">
        <is>
          <t>ZISTOS CORPORATION</t>
        </is>
      </c>
    </row>
    <row r="271">
      <c r="A271" s="44" t="inlineStr">
        <is>
          <t>1DFQ0</t>
        </is>
      </c>
      <c r="B271" t="inlineStr">
        <is>
          <t>HVR ADVANCED POWER COMPONENTS,</t>
        </is>
      </c>
    </row>
    <row r="272">
      <c r="A272" s="44" t="inlineStr">
        <is>
          <t>34423</t>
        </is>
      </c>
      <c r="B272" t="inlineStr">
        <is>
          <t>CLARKE HESS COMMUNICATION RESEARCH</t>
        </is>
      </c>
    </row>
    <row r="273">
      <c r="A273" s="45" t="inlineStr">
        <is>
          <t>0EYB3</t>
        </is>
      </c>
      <c r="B273" s="3" t="inlineStr">
        <is>
          <t>LONDON BRIDGE TRADING COMPANY, LTD</t>
        </is>
      </c>
    </row>
    <row r="274">
      <c r="A274" s="44" t="inlineStr">
        <is>
          <t>56878</t>
        </is>
      </c>
      <c r="B274" t="inlineStr">
        <is>
          <t>SPS TECHNOLOGIES, LLC DBA</t>
        </is>
      </c>
    </row>
    <row r="275">
      <c r="A275" s="44" t="inlineStr">
        <is>
          <t>34423</t>
        </is>
      </c>
      <c r="B275" t="inlineStr">
        <is>
          <t>CLARKE HESS COMMUNICATION RESEARCH</t>
        </is>
      </c>
    </row>
    <row r="276">
      <c r="A276" s="44" t="inlineStr">
        <is>
          <t>09257</t>
        </is>
      </c>
      <c r="B276" t="inlineStr">
        <is>
          <t>TRELLEBORG SEALING SOLUTIONS US,</t>
        </is>
      </c>
    </row>
    <row r="277">
      <c r="A277" s="44" t="inlineStr">
        <is>
          <t>28014</t>
        </is>
      </c>
      <c r="B277" t="inlineStr">
        <is>
          <t>General Plastics Manufacturing Co</t>
        </is>
      </c>
    </row>
    <row r="278">
      <c r="A278" s="44" t="inlineStr">
        <is>
          <t>44294</t>
        </is>
      </c>
      <c r="B278" t="inlineStr">
        <is>
          <t>Numberall Stamp Tool Co, Inc</t>
        </is>
      </c>
    </row>
    <row r="279">
      <c r="A279" s="44" t="inlineStr">
        <is>
          <t>99479</t>
        </is>
      </c>
      <c r="B279" t="inlineStr">
        <is>
          <t>BOWMAR, LLC DBA</t>
        </is>
      </c>
    </row>
    <row r="280">
      <c r="A280" s="44" t="inlineStr">
        <is>
          <t>55566</t>
        </is>
      </c>
      <c r="B280" t="inlineStr">
        <is>
          <t>Matthew Warren, Inc DBA RAF</t>
        </is>
      </c>
    </row>
    <row r="281">
      <c r="A281" s="44" t="inlineStr">
        <is>
          <t>3W5J0</t>
        </is>
      </c>
      <c r="B281" t="inlineStr">
        <is>
          <t>APPLIED POROUS TECHNOLOGIES, INC.</t>
        </is>
      </c>
    </row>
    <row r="282">
      <c r="A282" s="44" t="inlineStr">
        <is>
          <t>28480</t>
        </is>
      </c>
      <c r="B282" t="inlineStr">
        <is>
          <t>HEWLETT-PACKARD COMPANY DBA HP</t>
        </is>
      </c>
    </row>
    <row r="283">
      <c r="A283" s="44" t="inlineStr">
        <is>
          <t>47432</t>
        </is>
      </c>
      <c r="B283" t="inlineStr">
        <is>
          <t>INTERSPIRO, INC.</t>
        </is>
      </c>
    </row>
    <row r="284">
      <c r="A284" s="44" t="inlineStr">
        <is>
          <t>65996</t>
        </is>
      </c>
      <c r="B284" t="inlineStr">
        <is>
          <t>WAGO CORPORATION</t>
        </is>
      </c>
    </row>
    <row r="285">
      <c r="A285" s="44" t="inlineStr">
        <is>
          <t>3KMC3</t>
        </is>
      </c>
      <c r="B285" t="inlineStr">
        <is>
          <t>ZISTOS CORPORATION</t>
        </is>
      </c>
    </row>
    <row r="286">
      <c r="A286" s="44" t="inlineStr">
        <is>
          <t>3HHC6</t>
        </is>
      </c>
      <c r="B286" t="inlineStr">
        <is>
          <t>TOOL HOUSE INC., THE</t>
        </is>
      </c>
    </row>
    <row r="287">
      <c r="A287" s="44" t="inlineStr">
        <is>
          <t>10055</t>
        </is>
      </c>
      <c r="B287" t="inlineStr">
        <is>
          <t>MARINE ELECTRONICS, LLC SALES</t>
        </is>
      </c>
    </row>
    <row r="288">
      <c r="A288" s="44" t="inlineStr">
        <is>
          <t>0GZA0</t>
        </is>
      </c>
      <c r="B288" t="inlineStr">
        <is>
          <t>TEMPLETON KENLY &amp; CO. INC DBA TK</t>
        </is>
      </c>
    </row>
    <row r="289">
      <c r="A289" s="44" t="inlineStr">
        <is>
          <t>73760</t>
        </is>
      </c>
      <c r="B289" s="3" t="inlineStr">
        <is>
          <t>ITT Aerospace Controls LLC DBA ITT</t>
        </is>
      </c>
    </row>
    <row r="290">
      <c r="A290" s="44" t="inlineStr">
        <is>
          <t>1U1C6</t>
        </is>
      </c>
      <c r="B290" t="inlineStr">
        <is>
          <t>Mettler-toledo Thornton, Inc. DBA</t>
        </is>
      </c>
    </row>
    <row r="291">
      <c r="A291" s="44" t="inlineStr">
        <is>
          <t>52806</t>
        </is>
      </c>
      <c r="B291" t="inlineStr">
        <is>
          <t>THE SALVAJOR COMPANY</t>
        </is>
      </c>
    </row>
    <row r="294">
      <c r="A294" s="44" t="inlineStr">
        <is>
          <t>6LE50</t>
        </is>
      </c>
      <c r="B294" t="inlineStr">
        <is>
          <t>FLUID HANDLING, LLC DBA STANDARD</t>
        </is>
      </c>
    </row>
    <row r="295">
      <c r="A295" s="44" t="inlineStr">
        <is>
          <t>62950</t>
        </is>
      </c>
      <c r="B295" t="inlineStr">
        <is>
          <t>EXCELTEC INTL CORP</t>
        </is>
      </c>
    </row>
    <row r="296">
      <c r="B296" t="inlineStr">
        <is>
          <t>Star Cases, LLC DBA ZERO</t>
        </is>
      </c>
    </row>
    <row r="297">
      <c r="A297" s="44" t="inlineStr">
        <is>
          <t>55908</t>
        </is>
      </c>
      <c r="B297" t="inlineStr">
        <is>
          <t>METROPOLE PRODUCTS, INC.</t>
        </is>
      </c>
    </row>
    <row r="298">
      <c r="A298" s="44" t="inlineStr">
        <is>
          <t>07294</t>
        </is>
      </c>
      <c r="B298" t="inlineStr">
        <is>
          <t>Genisco Filter Corp.</t>
        </is>
      </c>
    </row>
    <row r="299">
      <c r="A299" s="44" t="inlineStr">
        <is>
          <t>06666</t>
        </is>
      </c>
      <c r="B299" t="inlineStr">
        <is>
          <t>GENERAL DEVICES CO INC</t>
        </is>
      </c>
    </row>
    <row r="300">
      <c r="A300" s="44" t="inlineStr">
        <is>
          <t>90800</t>
        </is>
      </c>
      <c r="B300" t="inlineStr">
        <is>
          <t>ROMAC INDUSTRIES, INC. DBA HAYS</t>
        </is>
      </c>
    </row>
    <row r="301">
      <c r="A301" s="44" t="inlineStr">
        <is>
          <t>U5503</t>
        </is>
      </c>
      <c r="B301" t="inlineStr">
        <is>
          <t>HIAB LIMITED DIV GOVERNMENT</t>
        </is>
      </c>
    </row>
    <row r="302">
      <c r="A302" s="44" t="inlineStr">
        <is>
          <t>52406</t>
        </is>
      </c>
      <c r="B302" t="inlineStr">
        <is>
          <t>RUGGLES-KLINGEMANN MFG CO DBA THE</t>
        </is>
      </c>
    </row>
    <row r="303">
      <c r="A303" s="44" t="inlineStr">
        <is>
          <t>96948</t>
        </is>
      </c>
      <c r="B303" t="inlineStr">
        <is>
          <t>KEPNER PRODUCTS COMPANY DBA</t>
        </is>
      </c>
    </row>
    <row r="304">
      <c r="A304" s="44" t="inlineStr">
        <is>
          <t>7BP65</t>
        </is>
      </c>
      <c r="B304" t="inlineStr">
        <is>
          <t>MARINE INDUSTRIES WEST LLC</t>
        </is>
      </c>
    </row>
    <row r="305">
      <c r="A305" s="44" t="inlineStr">
        <is>
          <t>79566</t>
        </is>
      </c>
      <c r="B305" t="inlineStr">
        <is>
          <t>Whitney Blake Company DBA</t>
        </is>
      </c>
    </row>
    <row r="306">
      <c r="A306" s="44" t="inlineStr">
        <is>
          <t>0NM25</t>
        </is>
      </c>
      <c r="B306" t="inlineStr">
        <is>
          <t>Clean-Seal Inc</t>
        </is>
      </c>
    </row>
    <row r="307">
      <c r="A307" s="44" t="inlineStr">
        <is>
          <t>A196G</t>
        </is>
      </c>
      <c r="B307" t="inlineStr">
        <is>
          <t>MASTSYSTEM INTL OY DBA COBHAM MAST</t>
        </is>
      </c>
    </row>
    <row r="308">
      <c r="A308" s="45" t="inlineStr">
        <is>
          <t>11/12/2017</t>
        </is>
      </c>
    </row>
    <row r="309">
      <c r="A309" s="44" t="inlineStr">
        <is>
          <t>73957</t>
        </is>
      </c>
      <c r="B309" t="inlineStr">
        <is>
          <t>GROOV-PIN CORPORATION</t>
        </is>
      </c>
    </row>
    <row r="310">
      <c r="A310" s="44" t="inlineStr">
        <is>
          <t>56043</t>
        </is>
      </c>
      <c r="B310" t="inlineStr">
        <is>
          <t>HYDRO-TEST PRODUCTS, INC.</t>
        </is>
      </c>
    </row>
    <row r="311">
      <c r="A311" s="44" t="inlineStr">
        <is>
          <t>6L622</t>
        </is>
      </c>
      <c r="B311" t="inlineStr">
        <is>
          <t>Draeger, Inc.</t>
        </is>
      </c>
    </row>
    <row r="312">
      <c r="A312" s="44" t="inlineStr">
        <is>
          <t>0B9E8</t>
        </is>
      </c>
      <c r="B312" t="inlineStr">
        <is>
          <t>ENVIRO SYSTEMS, INC. DBA</t>
        </is>
      </c>
    </row>
    <row r="313">
      <c r="A313" s="44" t="inlineStr">
        <is>
          <t>97539</t>
        </is>
      </c>
      <c r="B313" t="inlineStr">
        <is>
          <t>A P M Hexseal Corporation</t>
        </is>
      </c>
    </row>
    <row r="314">
      <c r="A314" s="44" t="inlineStr">
        <is>
          <t>96165</t>
        </is>
      </c>
      <c r="B314" t="inlineStr">
        <is>
          <t>CHICAGO FAUCET CO</t>
        </is>
      </c>
    </row>
    <row r="315">
      <c r="A315" s="44" t="inlineStr">
        <is>
          <t>64030</t>
        </is>
      </c>
      <c r="B315" t="inlineStr">
        <is>
          <t>HYDRO ENGINEERING, INC</t>
        </is>
      </c>
    </row>
    <row r="316">
      <c r="A316" s="44" t="inlineStr">
        <is>
          <t>09051</t>
        </is>
      </c>
      <c r="B316" t="inlineStr">
        <is>
          <t>GAYLORD INDUSTRIES, INC.</t>
        </is>
      </c>
    </row>
    <row r="317">
      <c r="A317" s="44" t="inlineStr">
        <is>
          <t>84147</t>
        </is>
      </c>
      <c r="B317" t="inlineStr">
        <is>
          <t>ANDREW LLC</t>
        </is>
      </c>
    </row>
    <row r="318">
      <c r="A318" s="44" t="inlineStr">
        <is>
          <t>62950</t>
        </is>
      </c>
      <c r="B318" t="inlineStr">
        <is>
          <t>EXCELTEC INTL CORP</t>
        </is>
      </c>
    </row>
    <row r="319">
      <c r="A319" s="44" t="inlineStr">
        <is>
          <t>2F607</t>
        </is>
      </c>
      <c r="B319" t="inlineStr">
        <is>
          <t>BONITRON INC.</t>
        </is>
      </c>
    </row>
    <row r="320">
      <c r="A320" s="45" t="inlineStr">
        <is>
          <t>6LE50</t>
        </is>
      </c>
      <c r="B320" s="3" t="inlineStr">
        <is>
          <t>FLUID HANDLING, LLC DBA STANDARD</t>
        </is>
      </c>
    </row>
    <row r="321">
      <c r="A321" s="44" t="inlineStr">
        <is>
          <t>54035</t>
        </is>
      </c>
      <c r="B321" t="inlineStr">
        <is>
          <t>SUN HYDRAULICS CORP</t>
        </is>
      </c>
    </row>
    <row r="322">
      <c r="B322" t="inlineStr">
        <is>
          <t>ZIERICK MFG CORP 79963</t>
        </is>
      </c>
    </row>
    <row r="323">
      <c r="A323" s="45" t="inlineStr">
        <is>
          <t>3F033</t>
        </is>
      </c>
      <c r="B323" s="3" t="inlineStr">
        <is>
          <t>VPI ACQUISITION COMPANY LLC DBA</t>
        </is>
      </c>
    </row>
  </sheetData>
  <hyperlinks>
    <hyperlink ref="C3" r:id="rId68"/>
    <hyperlink ref="C5" r:id="rId69"/>
    <hyperlink ref="C6" r:id="rId70"/>
    <hyperlink ref="C7" r:id="rId71"/>
    <hyperlink display="https://www.dibbs.bsm.dla.mil/RFQ/RFQNsn.aspx?value=5325014622867&amp;category=nsn&amp;Scope=all" ref="J12" tooltip="go to NSN view" r:id="rId72"/>
    <hyperlink ref="C14" r:id="rId73"/>
    <hyperlink ref="C16" r:id="rId74"/>
    <hyperlink ref="C18" r:id="rId75"/>
    <hyperlink ref="C19" r:id="rId76"/>
    <hyperlink ref="C20" r:id="rId77"/>
    <hyperlink ref="C21" r:id="rId78"/>
    <hyperlink ref="C25" r:id="rId79"/>
    <hyperlink ref="B27" r:id="rId80"/>
    <hyperlink ref="C27" r:id="rId81"/>
    <hyperlink ref="C28" r:id="rId82"/>
    <hyperlink ref="E29" r:id="rId83"/>
    <hyperlink ref="C31" r:id="rId84"/>
    <hyperlink ref="C34" r:id="rId85"/>
    <hyperlink ref="C35" r:id="rId86"/>
    <hyperlink ref="C37" r:id="rId87"/>
    <hyperlink ref="C39" r:id="rId88"/>
    <hyperlink ref="C41" r:id="rId89"/>
    <hyperlink ref="C42" r:id="rId90"/>
    <hyperlink ref="C43" r:id="rId91"/>
    <hyperlink ref="C45" r:id="rId92"/>
    <hyperlink ref="C46" r:id="rId93"/>
    <hyperlink ref="F50" r:id="rId94"/>
    <hyperlink ref="C51" r:id="rId95"/>
    <hyperlink ref="C52" r:id="rId96"/>
    <hyperlink ref="F52" r:id="rId97"/>
    <hyperlink ref="C53" r:id="rId98"/>
    <hyperlink ref="F55" r:id="rId99"/>
    <hyperlink ref="C56" r:id="rId100"/>
    <hyperlink ref="F56" r:id="rId101"/>
    <hyperlink ref="C57" r:id="rId102"/>
    <hyperlink ref="F57" r:id="rId103"/>
    <hyperlink ref="B58" r:id="rId104"/>
    <hyperlink ref="C59" r:id="rId105"/>
    <hyperlink ref="F59" r:id="rId106"/>
    <hyperlink ref="C60" r:id="rId107"/>
    <hyperlink ref="F60" r:id="rId108"/>
    <hyperlink display="sgalla@worldmagnetics.com" ref="E63" r:id="rId109"/>
    <hyperlink ref="C64" r:id="rId110"/>
    <hyperlink display="mailto:parts@KTSDI.com" ref="F64" r:id="rId111"/>
    <hyperlink ref="F65" r:id="rId112"/>
    <hyperlink ref="C66" r:id="rId113"/>
    <hyperlink ref="F66" r:id="rId114"/>
    <hyperlink ref="C67" r:id="rId115"/>
    <hyperlink ref="F67" r:id="rId116"/>
    <hyperlink ref="C69" r:id="rId117"/>
    <hyperlink ref="C74" r:id="rId118"/>
    <hyperlink ref="C75" r:id="rId119"/>
    <hyperlink ref="C77" r:id="rId120"/>
    <hyperlink ref="C78" r:id="rId121"/>
    <hyperlink ref="C79" r:id="rId122"/>
    <hyperlink ref="C108" r:id="rId123"/>
    <hyperlink ref="C114" r:id="rId124"/>
    <hyperlink ref="C115" r:id="rId125"/>
    <hyperlink ref="C131" r:id="rId126"/>
    <hyperlink ref="C159" r:id="rId127"/>
    <hyperlink ref="C167" r:id="rId128"/>
    <hyperlink ref="C175" r:id="rId129"/>
    <hyperlink ref="C200" r:id="rId130"/>
    <hyperlink ref="C210" r:id="rId131"/>
    <hyperlink ref="C232" r:id="rId132"/>
    <hyperlink ref="C237" r:id="rId133"/>
    <hyperlink ref="C245" r:id="rId134"/>
    <hyperlink ref="C3" r:id="rId68"/>
    <hyperlink ref="C5" r:id="rId69"/>
    <hyperlink ref="C6" r:id="rId70"/>
    <hyperlink ref="C7" r:id="rId71"/>
    <hyperlink display="https://www.dibbs.bsm.dla.mil/RFQ/RFQNsn.aspx?value=5325014622867&amp;category=nsn&amp;Scope=all" ref="J12" tooltip="go to NSN view" r:id="rId72"/>
    <hyperlink ref="C14" r:id="rId73"/>
    <hyperlink ref="C16" r:id="rId74"/>
    <hyperlink ref="C18" r:id="rId75"/>
    <hyperlink ref="C19" r:id="rId76"/>
    <hyperlink ref="C20" r:id="rId77"/>
    <hyperlink ref="C21" r:id="rId78"/>
    <hyperlink ref="C25" r:id="rId79"/>
    <hyperlink ref="B27" r:id="rId80"/>
    <hyperlink ref="C27" r:id="rId81"/>
    <hyperlink ref="C28" r:id="rId82"/>
    <hyperlink ref="E29" r:id="rId83"/>
    <hyperlink ref="C31" r:id="rId84"/>
    <hyperlink ref="C34" r:id="rId85"/>
    <hyperlink ref="C35" r:id="rId86"/>
    <hyperlink ref="C37" r:id="rId87"/>
    <hyperlink ref="C39" r:id="rId88"/>
    <hyperlink ref="C41" r:id="rId89"/>
    <hyperlink ref="C42" r:id="rId90"/>
    <hyperlink ref="C43" r:id="rId91"/>
    <hyperlink ref="C45" r:id="rId92"/>
    <hyperlink ref="C46" r:id="rId93"/>
    <hyperlink ref="F50" r:id="rId94"/>
    <hyperlink ref="C51" r:id="rId95"/>
    <hyperlink ref="C52" r:id="rId96"/>
    <hyperlink ref="F52" r:id="rId97"/>
    <hyperlink ref="C53" r:id="rId98"/>
    <hyperlink ref="F55" r:id="rId99"/>
    <hyperlink ref="C56" r:id="rId100"/>
    <hyperlink ref="F56" r:id="rId101"/>
    <hyperlink ref="C57" r:id="rId102"/>
    <hyperlink ref="F57" r:id="rId103"/>
    <hyperlink ref="B58" r:id="rId104"/>
    <hyperlink ref="C59" r:id="rId105"/>
    <hyperlink ref="F59" r:id="rId106"/>
    <hyperlink ref="C60" r:id="rId107"/>
    <hyperlink ref="F60" r:id="rId108"/>
    <hyperlink display="sgalla@worldmagnetics.com" ref="E63" r:id="rId109"/>
    <hyperlink ref="C64" r:id="rId110"/>
    <hyperlink display="mailto:parts@KTSDI.com" ref="F64" r:id="rId111"/>
    <hyperlink ref="F65" r:id="rId112"/>
    <hyperlink ref="C66" r:id="rId113"/>
    <hyperlink ref="F66" r:id="rId114"/>
    <hyperlink ref="C67" r:id="rId115"/>
    <hyperlink ref="F67" r:id="rId116"/>
    <hyperlink ref="C69" r:id="rId117"/>
    <hyperlink ref="C74" r:id="rId118"/>
    <hyperlink ref="C75" r:id="rId119"/>
    <hyperlink ref="C77" r:id="rId120"/>
    <hyperlink ref="C78" r:id="rId121"/>
    <hyperlink ref="C79" r:id="rId122"/>
    <hyperlink ref="C108" r:id="rId123"/>
    <hyperlink ref="C114" r:id="rId124"/>
    <hyperlink ref="C115" r:id="rId125"/>
    <hyperlink ref="C131" r:id="rId126"/>
    <hyperlink ref="C159" r:id="rId127"/>
    <hyperlink ref="C167" r:id="rId128"/>
    <hyperlink ref="C175" r:id="rId129"/>
    <hyperlink ref="C200" r:id="rId130"/>
    <hyperlink ref="C210" r:id="rId131"/>
    <hyperlink ref="C232" r:id="rId132"/>
    <hyperlink ref="C237" r:id="rId133"/>
    <hyperlink ref="C245" r:id="rId134"/>
  </hyperlinks>
  <pageMargins bottom="0.75" footer="0.3" header="0.3" left="0.7" right="0.7" top="0.75"/>
  <pageSetup orientation="portrait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 outlineLevelCol="0"/>
  <cols>
    <col bestFit="1" customWidth="1" max="1" min="1" width="9.5703125"/>
    <col customWidth="1" max="2" min="2" width="20.42578125"/>
    <col customWidth="1" max="3" min="3" width="39.85546875"/>
  </cols>
  <sheetData>
    <row r="1">
      <c r="B1" t="inlineStr">
        <is>
          <t>CAGE CODES</t>
        </is>
      </c>
    </row>
    <row customHeight="1" ht="15.75" r="2">
      <c r="A2" s="44" t="inlineStr">
        <is>
          <t>0LB15</t>
        </is>
      </c>
      <c r="B2" s="3" t="inlineStr">
        <is>
          <t>DOUGLAS AUTOTECH</t>
        </is>
      </c>
      <c r="C2" s="7" t="inlineStr">
        <is>
          <t>mikep@peerlessusa.com</t>
        </is>
      </c>
    </row>
    <row customHeight="1" ht="15.75" r="3">
      <c r="A3" s="44" t="inlineStr">
        <is>
          <t>33670</t>
        </is>
      </c>
      <c r="B3" t="inlineStr">
        <is>
          <t>Perry</t>
        </is>
      </c>
      <c r="C3" s="13" t="n"/>
    </row>
    <row customHeight="1" ht="15.75" r="4">
      <c r="A4" s="44" t="inlineStr">
        <is>
          <t>3TGF0</t>
        </is>
      </c>
      <c r="B4" s="3" t="inlineStr">
        <is>
          <t>PEERLESS INDUSTRIAL</t>
        </is>
      </c>
      <c r="C4" s="7" t="inlineStr">
        <is>
          <t>mikep@peerlessusa.com</t>
        </is>
      </c>
    </row>
    <row customHeight="1" ht="15.75" r="5">
      <c r="A5" s="44" t="inlineStr">
        <is>
          <t>22519</t>
        </is>
      </c>
      <c r="B5" s="3" t="inlineStr">
        <is>
          <t>Data Delay</t>
        </is>
      </c>
      <c r="C5" s="59" t="inlineStr">
        <is>
          <t>paulk@datadelay.com</t>
        </is>
      </c>
    </row>
    <row customHeight="1" ht="15.75" r="6">
      <c r="A6" s="44" t="inlineStr">
        <is>
          <t>82829</t>
        </is>
      </c>
      <c r="B6" t="inlineStr">
        <is>
          <t>Allen</t>
        </is>
      </c>
      <c r="C6" s="59" t="inlineStr">
        <is>
          <t>erin@newerasalesteam.com</t>
        </is>
      </c>
      <c r="J6" t="n">
        <v>0</v>
      </c>
    </row>
    <row customHeight="1" ht="15.75" r="7">
      <c r="A7" s="44" t="inlineStr">
        <is>
          <t>1PND8</t>
        </is>
      </c>
      <c r="B7" t="inlineStr">
        <is>
          <t>TSE</t>
        </is>
      </c>
      <c r="C7" s="13" t="n"/>
      <c r="J7" t="n">
        <v>11388</v>
      </c>
    </row>
    <row customHeight="1" ht="15.75" r="8">
      <c r="A8" s="44" t="inlineStr">
        <is>
          <t>52476</t>
        </is>
      </c>
      <c r="C8" s="13" t="n"/>
      <c r="J8" t="n">
        <v>18328</v>
      </c>
    </row>
    <row customHeight="1" ht="15.75" r="9">
      <c r="A9" s="44" t="inlineStr">
        <is>
          <t>92555</t>
        </is>
      </c>
      <c r="B9" s="13" t="inlineStr">
        <is>
          <t>lee</t>
        </is>
      </c>
      <c r="C9" s="13" t="n"/>
      <c r="J9" t="n">
        <v>1827.36</v>
      </c>
    </row>
    <row customHeight="1" ht="15.75" r="10">
      <c r="A10" s="44" t="inlineStr">
        <is>
          <t>3MBT2</t>
        </is>
      </c>
      <c r="B10" s="13" t="inlineStr">
        <is>
          <t>Ahler</t>
        </is>
      </c>
      <c r="C10" s="13" t="n"/>
      <c r="J10" t="n">
        <v>7345</v>
      </c>
    </row>
    <row customHeight="1" ht="15.75" r="11">
      <c r="A11" s="44" t="inlineStr">
        <is>
          <t>06324</t>
        </is>
      </c>
      <c r="B11" s="13" t="inlineStr">
        <is>
          <t>Glenair</t>
        </is>
      </c>
      <c r="C11" s="13" t="n"/>
      <c r="D11" t="n">
        <v>29</v>
      </c>
      <c r="E11" t="n">
        <v>35</v>
      </c>
      <c r="F11">
        <f>+D11*E11</f>
        <v/>
      </c>
      <c r="J11" t="n">
        <v>1561.3</v>
      </c>
    </row>
    <row customHeight="1" ht="15.75" r="12">
      <c r="A12" s="44" t="inlineStr">
        <is>
          <t>19362</t>
        </is>
      </c>
      <c r="B12" s="13" t="inlineStr">
        <is>
          <t>ditmco</t>
        </is>
      </c>
      <c r="C12" s="13" t="inlineStr">
        <is>
          <t>JBacon@ditmco.com</t>
        </is>
      </c>
      <c r="F12" t="n">
        <v>740</v>
      </c>
      <c r="J12" t="n">
        <v>815.04</v>
      </c>
    </row>
    <row customHeight="1" ht="15.75" r="13">
      <c r="A13" s="44" t="inlineStr">
        <is>
          <t>15542</t>
        </is>
      </c>
      <c r="B13" s="3" t="inlineStr">
        <is>
          <t>SCIENTIFIC COMPONENTS CORP DBA</t>
        </is>
      </c>
      <c r="C13" s="59" t="inlineStr">
        <is>
          <t>la@minicircuits.com</t>
        </is>
      </c>
      <c r="F13">
        <f>+F11/F12</f>
        <v/>
      </c>
      <c r="J13" t="n">
        <v>10192.62</v>
      </c>
    </row>
    <row customHeight="1" ht="15.75" r="14">
      <c r="A14" s="44" t="inlineStr">
        <is>
          <t>81901</t>
        </is>
      </c>
      <c r="B14" s="13" t="inlineStr">
        <is>
          <t>CPI</t>
        </is>
      </c>
      <c r="C14" s="13" t="n"/>
      <c r="D14" t="n">
        <v>431.3</v>
      </c>
      <c r="E14" t="n">
        <v>17</v>
      </c>
      <c r="F14">
        <f>+D14*E14</f>
        <v/>
      </c>
      <c r="J14" t="n">
        <v>0</v>
      </c>
    </row>
    <row customHeight="1" ht="15.75" r="15">
      <c r="A15" s="44" t="inlineStr">
        <is>
          <t>92021</t>
        </is>
      </c>
      <c r="B15" s="13" t="inlineStr">
        <is>
          <t>PBM</t>
        </is>
      </c>
      <c r="C15" s="59" t="inlineStr">
        <is>
          <t>darlapotter@fluidflow.com</t>
        </is>
      </c>
      <c r="J15">
        <f>SUM(J6:J14)</f>
        <v/>
      </c>
    </row>
    <row customHeight="1" ht="15.75" r="16">
      <c r="A16" s="44" t="n"/>
      <c r="B16" s="13" t="n"/>
      <c r="C16" s="13" t="n"/>
    </row>
    <row customHeight="1" ht="15.75" r="17">
      <c r="A17" s="44" t="inlineStr">
        <is>
          <t>30941</t>
        </is>
      </c>
      <c r="B17" s="13" t="inlineStr">
        <is>
          <t>east</t>
        </is>
      </c>
      <c r="C17" s="59" t="inlineStr">
        <is>
          <t>sbutler@eastwestindustries.com</t>
        </is>
      </c>
    </row>
    <row customHeight="1" ht="15.75" r="18">
      <c r="A18" s="44" t="inlineStr">
        <is>
          <t>54572</t>
        </is>
      </c>
      <c r="B18" s="13" t="inlineStr">
        <is>
          <t>SLMTI</t>
        </is>
      </c>
      <c r="C18" s="59" t="inlineStr">
        <is>
          <t>Anna.Nichols@slmti.com</t>
        </is>
      </c>
    </row>
    <row customHeight="1" ht="15" r="19">
      <c r="A19" s="45" t="inlineStr">
        <is>
          <t>66935</t>
        </is>
      </c>
      <c r="B19" s="13" t="inlineStr">
        <is>
          <t>York</t>
        </is>
      </c>
      <c r="C19" s="60" t="inlineStr">
        <is>
          <t>jennifer.ann1.ludwig@jcifederal.com</t>
        </is>
      </c>
    </row>
    <row customHeight="1" ht="15.75" r="20">
      <c r="A20" s="45" t="inlineStr">
        <is>
          <t>53919</t>
        </is>
      </c>
      <c r="B20" s="42" t="inlineStr">
        <is>
          <t>PASTERNACK ENTERPRISES</t>
        </is>
      </c>
      <c r="C20" s="59" t="inlineStr">
        <is>
          <t>sales@pasternack.com</t>
        </is>
      </c>
    </row>
  </sheetData>
  <hyperlinks>
    <hyperlink ref="C2" r:id="rId11"/>
    <hyperlink ref="C4" r:id="rId12"/>
    <hyperlink ref="C5" r:id="rId13"/>
    <hyperlink ref="C6" r:id="rId14"/>
    <hyperlink ref="C13" r:id="rId15"/>
    <hyperlink ref="C15" r:id="rId16"/>
    <hyperlink ref="C17" r:id="rId17"/>
    <hyperlink ref="C18" r:id="rId18"/>
    <hyperlink ref="C19" r:id="rId19"/>
    <hyperlink ref="C20" r:id="rId20"/>
    <hyperlink ref="C2" r:id="rId11"/>
    <hyperlink ref="C4" r:id="rId12"/>
    <hyperlink ref="C5" r:id="rId13"/>
    <hyperlink ref="C6" r:id="rId14"/>
    <hyperlink ref="C13" r:id="rId15"/>
    <hyperlink ref="C15" r:id="rId16"/>
    <hyperlink ref="C17" r:id="rId17"/>
    <hyperlink ref="C18" r:id="rId18"/>
    <hyperlink ref="C19" r:id="rId19"/>
    <hyperlink ref="C20" r:id="rId20"/>
  </hyperlinks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Ali Kalwar</dc:creator>
  <dcterms:created xsi:type="dcterms:W3CDTF">2016-08-23T12:41:39Z</dcterms:created>
  <dcterms:modified xsi:type="dcterms:W3CDTF">2019-06-27T22:02:42Z</dcterms:modified>
  <cp:lastModifiedBy>Computer</cp:lastModifiedBy>
  <cp:lastPrinted>2019-02-25T17:00:58Z</cp:lastPrinted>
</cp:coreProperties>
</file>