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vinash Patel\Desktop\WestSim_App\WestSim\"/>
    </mc:Choice>
  </mc:AlternateContent>
  <xr:revisionPtr revIDLastSave="0" documentId="13_ncr:1_{801F252D-B4BC-4FA6-99E9-76E795AEB325}" xr6:coauthVersionLast="41" xr6:coauthVersionMax="41" xr10:uidLastSave="{00000000-0000-0000-0000-000000000000}"/>
  <bookViews>
    <workbookView xWindow="-28920" yWindow="-1470" windowWidth="29040" windowHeight="15840" firstSheet="1" activeTab="2" xr2:uid="{00000000-000D-0000-FFFF-FFFF00000000}"/>
  </bookViews>
  <sheets>
    <sheet name="QuoteCal" sheetId="1" state="hidden" r:id="rId1"/>
    <sheet name="FLATAX" sheetId="2" r:id="rId2"/>
    <sheet name="DLAORDERS" sheetId="3" r:id="rId3"/>
    <sheet name="SHipInvice" sheetId="4" r:id="rId4"/>
    <sheet name="OTHERORDERS" sheetId="5" state="hidden" r:id="rId5"/>
    <sheet name="Qcal" sheetId="6" r:id="rId6"/>
    <sheet name="Receiving" sheetId="7" state="hidden" r:id="rId7"/>
    <sheet name="CageNSN" sheetId="8" r:id="rId8"/>
    <sheet name="Sheet4" sheetId="9" state="hidden" r:id="rId9"/>
    <sheet name="Servicestimeshhet" sheetId="10" state="hidden" r:id="rId10"/>
    <sheet name="2016Expan" sheetId="11" state="hidden" r:id="rId11"/>
    <sheet name="Sheet5" sheetId="12" state="hidden" r:id="rId12"/>
    <sheet name="Sheet3" sheetId="13" state="hidden" r:id="rId13"/>
    <sheet name="Sheet6" sheetId="14" state="hidden" r:id="rId14"/>
    <sheet name="Invoices" sheetId="15" r:id="rId15"/>
    <sheet name="Glenair" sheetId="16" state="hidden" r:id="rId16"/>
    <sheet name="CageCodes" sheetId="17" r:id="rId17"/>
    <sheet name="Sheet1" sheetId="18" r:id="rId18"/>
  </sheets>
  <definedNames>
    <definedName name="Award_Date" localSheetId="2">DLAORDERS!$G:$G</definedName>
    <definedName name="Award_Price">DLAORDERS!$K:$K</definedName>
    <definedName name="Company_Name">DLAORDERS!$F:$F</definedName>
    <definedName name="Contract_Number" localSheetId="2">DLAORDERS!$B:$B</definedName>
    <definedName name="Due_Date" localSheetId="2">DLAORDERS!$H:$H</definedName>
    <definedName name="Invoice_Number" localSheetId="3">SHipInvice!$I:$I</definedName>
    <definedName name="Margin" localSheetId="2">DLAORDERS!$M:$M</definedName>
    <definedName name="NSN_Number" localSheetId="2">DLAORDERS!$D:$D</definedName>
    <definedName name="Part_Cost" localSheetId="2">DLAORDERS!$L:$L</definedName>
    <definedName name="PO_Number" localSheetId="2">DLAORDERS!$I:$I</definedName>
    <definedName name="Quantity">DLAORDERS!$E:$E</definedName>
    <definedName name="Shipment_Date" localSheetId="3">SHipInvice!$J:$J</definedName>
    <definedName name="Shipment_Number" localSheetId="3">SHipInvice!$H:$H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948" i="3" l="1"/>
  <c r="D308" i="17"/>
  <c r="G10" i="16"/>
  <c r="H7" i="16"/>
  <c r="H282" i="15"/>
  <c r="D278" i="15"/>
  <c r="K275" i="15"/>
  <c r="K277" i="15" s="1"/>
  <c r="M275" i="15" s="1"/>
  <c r="C273" i="15"/>
  <c r="H272" i="15"/>
  <c r="G268" i="15"/>
  <c r="E268" i="15"/>
  <c r="C268" i="15"/>
  <c r="I265" i="15"/>
  <c r="E262" i="15"/>
  <c r="G261" i="15"/>
  <c r="C261" i="15"/>
  <c r="G254" i="15"/>
  <c r="E253" i="15"/>
  <c r="C253" i="15"/>
  <c r="I252" i="15"/>
  <c r="K248" i="15"/>
  <c r="I245" i="15"/>
  <c r="K244" i="15"/>
  <c r="E242" i="15"/>
  <c r="C234" i="15"/>
  <c r="G232" i="15"/>
  <c r="E230" i="15"/>
  <c r="C230" i="15"/>
  <c r="G228" i="15"/>
  <c r="G225" i="15"/>
  <c r="C221" i="15"/>
  <c r="G218" i="15"/>
  <c r="K213" i="15"/>
  <c r="I205" i="15"/>
  <c r="C205" i="15"/>
  <c r="G203" i="15"/>
  <c r="E203" i="15"/>
  <c r="C198" i="15"/>
  <c r="J197" i="15"/>
  <c r="F194" i="15"/>
  <c r="L193" i="15"/>
  <c r="H193" i="15"/>
  <c r="G187" i="15"/>
  <c r="Q186" i="15"/>
  <c r="O184" i="15"/>
  <c r="M184" i="15"/>
  <c r="K183" i="15"/>
  <c r="Q179" i="15"/>
  <c r="G179" i="15"/>
  <c r="O178" i="15"/>
  <c r="S177" i="15"/>
  <c r="Q173" i="15"/>
  <c r="G170" i="15"/>
  <c r="G167" i="15"/>
  <c r="J159" i="15"/>
  <c r="D157" i="15"/>
  <c r="H156" i="15"/>
  <c r="F155" i="15"/>
  <c r="G152" i="15"/>
  <c r="K150" i="15"/>
  <c r="M148" i="15"/>
  <c r="I148" i="15"/>
  <c r="I144" i="15"/>
  <c r="E144" i="15"/>
  <c r="K142" i="15"/>
  <c r="B141" i="15"/>
  <c r="L135" i="15"/>
  <c r="J134" i="15"/>
  <c r="H133" i="15"/>
  <c r="H134" i="15" s="1"/>
  <c r="F125" i="15"/>
  <c r="D125" i="15"/>
  <c r="J122" i="15"/>
  <c r="H117" i="15"/>
  <c r="B116" i="15"/>
  <c r="H112" i="15"/>
  <c r="D106" i="15"/>
  <c r="L105" i="15"/>
  <c r="H103" i="15"/>
  <c r="F103" i="15"/>
  <c r="B103" i="15"/>
  <c r="D99" i="15"/>
  <c r="B99" i="15"/>
  <c r="H97" i="15"/>
  <c r="L96" i="15"/>
  <c r="F96" i="15"/>
  <c r="J95" i="15"/>
  <c r="C89" i="15"/>
  <c r="I83" i="15"/>
  <c r="E76" i="15"/>
  <c r="G75" i="15"/>
  <c r="C75" i="15"/>
  <c r="D73" i="15"/>
  <c r="D74" i="15" s="1"/>
  <c r="I68" i="15"/>
  <c r="C65" i="15"/>
  <c r="G63" i="15"/>
  <c r="E61" i="15"/>
  <c r="I60" i="15"/>
  <c r="C54" i="15"/>
  <c r="E51" i="15"/>
  <c r="G45" i="15"/>
  <c r="C40" i="15"/>
  <c r="P39" i="15"/>
  <c r="E39" i="15"/>
  <c r="C35" i="15"/>
  <c r="E34" i="15"/>
  <c r="G33" i="15"/>
  <c r="N32" i="15"/>
  <c r="P31" i="15"/>
  <c r="R27" i="15"/>
  <c r="N27" i="15"/>
  <c r="H27" i="15"/>
  <c r="L26" i="15"/>
  <c r="P25" i="15"/>
  <c r="B23" i="15"/>
  <c r="S22" i="15"/>
  <c r="N22" i="15"/>
  <c r="S21" i="15"/>
  <c r="R20" i="15"/>
  <c r="R21" i="15" s="1"/>
  <c r="P20" i="15"/>
  <c r="Q20" i="15" s="1"/>
  <c r="B14" i="15"/>
  <c r="H11" i="15"/>
  <c r="D9" i="15"/>
  <c r="H7" i="15"/>
  <c r="I6" i="15"/>
  <c r="I8" i="14"/>
  <c r="H7" i="14"/>
  <c r="G7" i="14"/>
  <c r="I6" i="14"/>
  <c r="I5" i="14"/>
  <c r="I4" i="14"/>
  <c r="I7" i="14" s="1"/>
  <c r="H4" i="14"/>
  <c r="G37" i="13"/>
  <c r="F37" i="13"/>
  <c r="H36" i="13"/>
  <c r="H35" i="13"/>
  <c r="H34" i="13"/>
  <c r="H33" i="13"/>
  <c r="H32" i="13"/>
  <c r="H31" i="13"/>
  <c r="H30" i="13"/>
  <c r="H29" i="13"/>
  <c r="H28" i="13"/>
  <c r="H27" i="13"/>
  <c r="H26" i="13"/>
  <c r="H25" i="13"/>
  <c r="H24" i="13"/>
  <c r="H23" i="13"/>
  <c r="H22" i="13"/>
  <c r="H21" i="13"/>
  <c r="H20" i="13"/>
  <c r="H19" i="13"/>
  <c r="H18" i="13"/>
  <c r="H17" i="13"/>
  <c r="H37" i="13" s="1"/>
  <c r="G16" i="13"/>
  <c r="F16" i="13"/>
  <c r="H15" i="13"/>
  <c r="H14" i="13"/>
  <c r="H13" i="13"/>
  <c r="H11" i="13"/>
  <c r="H10" i="13"/>
  <c r="H9" i="13"/>
  <c r="H8" i="13"/>
  <c r="H7" i="13"/>
  <c r="H6" i="13"/>
  <c r="H5" i="13"/>
  <c r="H4" i="13"/>
  <c r="H3" i="13"/>
  <c r="H16" i="13" s="1"/>
  <c r="K7" i="12"/>
  <c r="K6" i="12"/>
  <c r="K5" i="12"/>
  <c r="K57" i="11"/>
  <c r="K55" i="11"/>
  <c r="I50" i="11"/>
  <c r="G50" i="11"/>
  <c r="J50" i="11" s="1"/>
  <c r="F50" i="11"/>
  <c r="E50" i="11"/>
  <c r="H50" i="11" s="1"/>
  <c r="H49" i="11"/>
  <c r="H48" i="11"/>
  <c r="H47" i="11"/>
  <c r="G42" i="11"/>
  <c r="F42" i="11"/>
  <c r="E42" i="11"/>
  <c r="H41" i="11"/>
  <c r="H40" i="11"/>
  <c r="H39" i="11"/>
  <c r="H38" i="11"/>
  <c r="H37" i="11"/>
  <c r="C33" i="11"/>
  <c r="K23" i="11"/>
  <c r="G23" i="11"/>
  <c r="F23" i="11"/>
  <c r="B23" i="11"/>
  <c r="D18" i="11"/>
  <c r="D23" i="11" s="1"/>
  <c r="I17" i="11"/>
  <c r="I14" i="11"/>
  <c r="H14" i="11"/>
  <c r="G14" i="11"/>
  <c r="J13" i="11"/>
  <c r="C13" i="11"/>
  <c r="C23" i="11" s="1"/>
  <c r="L11" i="11"/>
  <c r="J11" i="11"/>
  <c r="I11" i="11"/>
  <c r="H11" i="11"/>
  <c r="H23" i="11" s="1"/>
  <c r="E10" i="11"/>
  <c r="E23" i="11" s="1"/>
  <c r="I9" i="11"/>
  <c r="I23" i="11" s="1"/>
  <c r="B8" i="11"/>
  <c r="J7" i="11"/>
  <c r="J23" i="11" s="1"/>
  <c r="I49" i="10"/>
  <c r="I45" i="10"/>
  <c r="I41" i="10"/>
  <c r="I37" i="10"/>
  <c r="I30" i="10"/>
  <c r="I26" i="10"/>
  <c r="I22" i="10"/>
  <c r="I18" i="10"/>
  <c r="I31" i="10" s="1"/>
  <c r="I13" i="10"/>
  <c r="I10" i="10"/>
  <c r="I7" i="10"/>
  <c r="J15" i="9"/>
  <c r="F14" i="9"/>
  <c r="F13" i="9"/>
  <c r="F11" i="9"/>
  <c r="L77" i="6"/>
  <c r="L73" i="6"/>
  <c r="J72" i="6"/>
  <c r="L68" i="6"/>
  <c r="L64" i="6"/>
  <c r="J64" i="6"/>
  <c r="D62" i="6"/>
  <c r="D61" i="6"/>
  <c r="C61" i="6"/>
  <c r="J60" i="6"/>
  <c r="J55" i="6"/>
  <c r="L53" i="6"/>
  <c r="J47" i="6"/>
  <c r="L43" i="6"/>
  <c r="J42" i="6"/>
  <c r="D39" i="6"/>
  <c r="D38" i="6"/>
  <c r="G34" i="6"/>
  <c r="K32" i="6"/>
  <c r="I32" i="6"/>
  <c r="E32" i="6"/>
  <c r="E35" i="6" s="1"/>
  <c r="G26" i="6"/>
  <c r="K22" i="6"/>
  <c r="I21" i="6"/>
  <c r="D19" i="6"/>
  <c r="B17" i="6"/>
  <c r="I16" i="6"/>
  <c r="G16" i="6"/>
  <c r="D16" i="6"/>
  <c r="D15" i="6"/>
  <c r="K14" i="6"/>
  <c r="D14" i="6"/>
  <c r="D13" i="6"/>
  <c r="J12" i="6"/>
  <c r="F12" i="6"/>
  <c r="D12" i="6"/>
  <c r="D8" i="6"/>
  <c r="D10" i="6" s="1"/>
  <c r="N6" i="6"/>
  <c r="J6" i="6"/>
  <c r="G3" i="6"/>
  <c r="C3" i="6"/>
  <c r="D3" i="6" s="1"/>
  <c r="F3" i="6" s="1"/>
  <c r="J15" i="5"/>
  <c r="H14" i="5"/>
  <c r="G14" i="5"/>
  <c r="I14" i="5" s="1"/>
  <c r="J14" i="5" s="1"/>
  <c r="K7" i="5"/>
  <c r="I7" i="5"/>
  <c r="G6" i="5"/>
  <c r="I5" i="5"/>
  <c r="K5" i="5" s="1"/>
  <c r="K4" i="5"/>
  <c r="I4" i="5"/>
  <c r="I3" i="5"/>
  <c r="K3" i="5" s="1"/>
  <c r="H3" i="5"/>
  <c r="H6" i="5" s="1"/>
  <c r="G773" i="4"/>
  <c r="M727" i="4"/>
  <c r="G711" i="4"/>
  <c r="G668" i="4"/>
  <c r="L647" i="4"/>
  <c r="G624" i="4"/>
  <c r="G581" i="4"/>
  <c r="M562" i="4"/>
  <c r="G378" i="4"/>
  <c r="M947" i="3"/>
  <c r="M946" i="3"/>
  <c r="M945" i="3"/>
  <c r="M944" i="3"/>
  <c r="M943" i="3"/>
  <c r="M942" i="3"/>
  <c r="M941" i="3"/>
  <c r="M940" i="3"/>
  <c r="L939" i="3"/>
  <c r="M939" i="3" s="1"/>
  <c r="M938" i="3"/>
  <c r="M937" i="3"/>
  <c r="M936" i="3"/>
  <c r="M935" i="3"/>
  <c r="M934" i="3"/>
  <c r="M933" i="3"/>
  <c r="M932" i="3"/>
  <c r="M931" i="3"/>
  <c r="M930" i="3"/>
  <c r="M929" i="3"/>
  <c r="M928" i="3"/>
  <c r="M927" i="3"/>
  <c r="M926" i="3"/>
  <c r="M925" i="3"/>
  <c r="M924" i="3"/>
  <c r="M923" i="3"/>
  <c r="M922" i="3"/>
  <c r="M921" i="3"/>
  <c r="M920" i="3"/>
  <c r="M919" i="3"/>
  <c r="M918" i="3"/>
  <c r="M917" i="3"/>
  <c r="M916" i="3"/>
  <c r="M915" i="3"/>
  <c r="M914" i="3"/>
  <c r="M913" i="3"/>
  <c r="K911" i="3"/>
  <c r="P910" i="3"/>
  <c r="M910" i="3"/>
  <c r="P909" i="3"/>
  <c r="M909" i="3"/>
  <c r="P908" i="3"/>
  <c r="M908" i="3"/>
  <c r="P907" i="3"/>
  <c r="M907" i="3"/>
  <c r="P906" i="3"/>
  <c r="M906" i="3"/>
  <c r="P905" i="3"/>
  <c r="M905" i="3"/>
  <c r="P904" i="3"/>
  <c r="M904" i="3"/>
  <c r="P903" i="3"/>
  <c r="M903" i="3"/>
  <c r="M902" i="3"/>
  <c r="L902" i="3"/>
  <c r="P902" i="3" s="1"/>
  <c r="P901" i="3"/>
  <c r="M901" i="3"/>
  <c r="P900" i="3"/>
  <c r="M900" i="3"/>
  <c r="L899" i="3"/>
  <c r="M898" i="3"/>
  <c r="L898" i="3"/>
  <c r="P898" i="3" s="1"/>
  <c r="P897" i="3"/>
  <c r="M897" i="3"/>
  <c r="P896" i="3"/>
  <c r="M896" i="3"/>
  <c r="P895" i="3"/>
  <c r="M895" i="3"/>
  <c r="P894" i="3"/>
  <c r="M894" i="3"/>
  <c r="L893" i="3"/>
  <c r="P893" i="3" s="1"/>
  <c r="P892" i="3"/>
  <c r="M892" i="3"/>
  <c r="P891" i="3"/>
  <c r="M891" i="3"/>
  <c r="P890" i="3"/>
  <c r="M890" i="3"/>
  <c r="M889" i="3"/>
  <c r="L889" i="3"/>
  <c r="P889" i="3" s="1"/>
  <c r="L888" i="3"/>
  <c r="P888" i="3" s="1"/>
  <c r="P887" i="3"/>
  <c r="M887" i="3"/>
  <c r="P886" i="3"/>
  <c r="M886" i="3"/>
  <c r="P885" i="3"/>
  <c r="M885" i="3"/>
  <c r="P884" i="3"/>
  <c r="M884" i="3"/>
  <c r="P883" i="3"/>
  <c r="M883" i="3"/>
  <c r="M882" i="3"/>
  <c r="L882" i="3"/>
  <c r="P882" i="3" s="1"/>
  <c r="P881" i="3"/>
  <c r="M881" i="3"/>
  <c r="L880" i="3"/>
  <c r="P879" i="3"/>
  <c r="M879" i="3"/>
  <c r="L878" i="3"/>
  <c r="P878" i="3" s="1"/>
  <c r="P877" i="3"/>
  <c r="M877" i="3"/>
  <c r="P876" i="3"/>
  <c r="M876" i="3"/>
  <c r="L875" i="3"/>
  <c r="L874" i="3"/>
  <c r="P874" i="3" s="1"/>
  <c r="P873" i="3"/>
  <c r="M873" i="3"/>
  <c r="L873" i="3"/>
  <c r="M872" i="3"/>
  <c r="L872" i="3"/>
  <c r="P872" i="3" s="1"/>
  <c r="P871" i="3"/>
  <c r="M871" i="3"/>
  <c r="P870" i="3"/>
  <c r="M870" i="3"/>
  <c r="L870" i="3"/>
  <c r="P869" i="3"/>
  <c r="M869" i="3"/>
  <c r="P868" i="3"/>
  <c r="M868" i="3"/>
  <c r="L868" i="3"/>
  <c r="P867" i="3"/>
  <c r="M867" i="3"/>
  <c r="P866" i="3"/>
  <c r="M866" i="3"/>
  <c r="P865" i="3"/>
  <c r="M865" i="3"/>
  <c r="P864" i="3"/>
  <c r="M864" i="3"/>
  <c r="P863" i="3"/>
  <c r="M863" i="3"/>
  <c r="P862" i="3"/>
  <c r="M862" i="3"/>
  <c r="P861" i="3"/>
  <c r="M861" i="3"/>
  <c r="P860" i="3"/>
  <c r="M860" i="3"/>
  <c r="P859" i="3"/>
  <c r="M859" i="3"/>
  <c r="P858" i="3"/>
  <c r="N858" i="3"/>
  <c r="M858" i="3"/>
  <c r="P857" i="3"/>
  <c r="M857" i="3"/>
  <c r="P856" i="3"/>
  <c r="M856" i="3"/>
  <c r="K854" i="3"/>
  <c r="P853" i="3"/>
  <c r="M853" i="3"/>
  <c r="P852" i="3"/>
  <c r="M852" i="3"/>
  <c r="P851" i="3"/>
  <c r="M851" i="3"/>
  <c r="P850" i="3"/>
  <c r="M850" i="3"/>
  <c r="L849" i="3"/>
  <c r="P848" i="3"/>
  <c r="M848" i="3"/>
  <c r="P847" i="3"/>
  <c r="M847" i="3"/>
  <c r="P846" i="3"/>
  <c r="M846" i="3"/>
  <c r="P845" i="3"/>
  <c r="M845" i="3"/>
  <c r="P844" i="3"/>
  <c r="M844" i="3"/>
  <c r="M843" i="3"/>
  <c r="L843" i="3"/>
  <c r="P843" i="3" s="1"/>
  <c r="L842" i="3"/>
  <c r="P841" i="3"/>
  <c r="L841" i="3"/>
  <c r="M841" i="3" s="1"/>
  <c r="P840" i="3"/>
  <c r="M840" i="3"/>
  <c r="P839" i="3"/>
  <c r="M839" i="3"/>
  <c r="L838" i="3"/>
  <c r="P838" i="3" s="1"/>
  <c r="P837" i="3"/>
  <c r="M837" i="3"/>
  <c r="L836" i="3"/>
  <c r="M836" i="3" s="1"/>
  <c r="P835" i="3"/>
  <c r="M835" i="3"/>
  <c r="P834" i="3"/>
  <c r="M834" i="3"/>
  <c r="P833" i="3"/>
  <c r="M833" i="3"/>
  <c r="P832" i="3"/>
  <c r="M832" i="3"/>
  <c r="P831" i="3"/>
  <c r="M831" i="3"/>
  <c r="P830" i="3"/>
  <c r="M830" i="3"/>
  <c r="P829" i="3"/>
  <c r="M829" i="3"/>
  <c r="P828" i="3"/>
  <c r="M828" i="3"/>
  <c r="P827" i="3"/>
  <c r="M827" i="3"/>
  <c r="P826" i="3"/>
  <c r="M826" i="3"/>
  <c r="P825" i="3"/>
  <c r="M825" i="3"/>
  <c r="P824" i="3"/>
  <c r="M824" i="3"/>
  <c r="P823" i="3"/>
  <c r="M823" i="3"/>
  <c r="P822" i="3"/>
  <c r="M822" i="3"/>
  <c r="P821" i="3"/>
  <c r="M821" i="3"/>
  <c r="P820" i="3"/>
  <c r="M820" i="3"/>
  <c r="P819" i="3"/>
  <c r="M819" i="3"/>
  <c r="P818" i="3"/>
  <c r="M818" i="3"/>
  <c r="P817" i="3"/>
  <c r="M817" i="3"/>
  <c r="L816" i="3"/>
  <c r="P815" i="3"/>
  <c r="M815" i="3"/>
  <c r="M814" i="3"/>
  <c r="L814" i="3"/>
  <c r="P814" i="3" s="1"/>
  <c r="P813" i="3"/>
  <c r="M813" i="3"/>
  <c r="P812" i="3"/>
  <c r="M812" i="3"/>
  <c r="P811" i="3"/>
  <c r="M811" i="3"/>
  <c r="P810" i="3"/>
  <c r="M810" i="3"/>
  <c r="P809" i="3"/>
  <c r="M809" i="3"/>
  <c r="P808" i="3"/>
  <c r="M808" i="3"/>
  <c r="P807" i="3"/>
  <c r="M807" i="3"/>
  <c r="P806" i="3"/>
  <c r="M806" i="3"/>
  <c r="P805" i="3"/>
  <c r="M805" i="3"/>
  <c r="L804" i="3"/>
  <c r="P804" i="3" s="1"/>
  <c r="P803" i="3"/>
  <c r="M803" i="3"/>
  <c r="P802" i="3"/>
  <c r="M802" i="3"/>
  <c r="K799" i="3"/>
  <c r="P798" i="3"/>
  <c r="L798" i="3"/>
  <c r="M798" i="3" s="1"/>
  <c r="P797" i="3"/>
  <c r="M797" i="3"/>
  <c r="P796" i="3"/>
  <c r="M796" i="3"/>
  <c r="P795" i="3"/>
  <c r="M795" i="3"/>
  <c r="P794" i="3"/>
  <c r="M794" i="3"/>
  <c r="P793" i="3"/>
  <c r="M793" i="3"/>
  <c r="P792" i="3"/>
  <c r="M792" i="3"/>
  <c r="P791" i="3"/>
  <c r="M791" i="3"/>
  <c r="L791" i="3"/>
  <c r="P790" i="3"/>
  <c r="M790" i="3"/>
  <c r="P789" i="3"/>
  <c r="M789" i="3"/>
  <c r="P788" i="3"/>
  <c r="M788" i="3"/>
  <c r="P787" i="3"/>
  <c r="M787" i="3"/>
  <c r="P786" i="3"/>
  <c r="M786" i="3"/>
  <c r="P785" i="3"/>
  <c r="M785" i="3"/>
  <c r="P784" i="3"/>
  <c r="M784" i="3"/>
  <c r="P783" i="3"/>
  <c r="M783" i="3"/>
  <c r="P782" i="3"/>
  <c r="M782" i="3"/>
  <c r="P781" i="3"/>
  <c r="M781" i="3"/>
  <c r="P780" i="3"/>
  <c r="M780" i="3"/>
  <c r="P779" i="3"/>
  <c r="M779" i="3"/>
  <c r="P778" i="3"/>
  <c r="M778" i="3"/>
  <c r="P777" i="3"/>
  <c r="M777" i="3"/>
  <c r="L776" i="3"/>
  <c r="P776" i="3" s="1"/>
  <c r="P775" i="3"/>
  <c r="M775" i="3"/>
  <c r="M774" i="3"/>
  <c r="L774" i="3"/>
  <c r="P774" i="3" s="1"/>
  <c r="M773" i="3"/>
  <c r="L773" i="3"/>
  <c r="P773" i="3" s="1"/>
  <c r="P772" i="3"/>
  <c r="M772" i="3"/>
  <c r="P771" i="3"/>
  <c r="M771" i="3"/>
  <c r="P770" i="3"/>
  <c r="M770" i="3"/>
  <c r="P769" i="3"/>
  <c r="M769" i="3"/>
  <c r="P768" i="3"/>
  <c r="M768" i="3"/>
  <c r="P767" i="3"/>
  <c r="M767" i="3"/>
  <c r="P766" i="3"/>
  <c r="M766" i="3"/>
  <c r="P765" i="3"/>
  <c r="M765" i="3"/>
  <c r="P764" i="3"/>
  <c r="M764" i="3"/>
  <c r="P763" i="3"/>
  <c r="M763" i="3"/>
  <c r="L762" i="3"/>
  <c r="P761" i="3"/>
  <c r="M761" i="3"/>
  <c r="P760" i="3"/>
  <c r="M760" i="3"/>
  <c r="P759" i="3"/>
  <c r="M759" i="3"/>
  <c r="P758" i="3"/>
  <c r="O758" i="3"/>
  <c r="N758" i="3"/>
  <c r="M758" i="3"/>
  <c r="K756" i="3"/>
  <c r="P755" i="3"/>
  <c r="M755" i="3"/>
  <c r="P754" i="3"/>
  <c r="M754" i="3"/>
  <c r="P753" i="3"/>
  <c r="M753" i="3"/>
  <c r="P752" i="3"/>
  <c r="M752" i="3"/>
  <c r="P751" i="3"/>
  <c r="M751" i="3"/>
  <c r="P750" i="3"/>
  <c r="M750" i="3"/>
  <c r="P749" i="3"/>
  <c r="M749" i="3"/>
  <c r="L748" i="3"/>
  <c r="P748" i="3" s="1"/>
  <c r="P747" i="3"/>
  <c r="M747" i="3"/>
  <c r="P746" i="3"/>
  <c r="M746" i="3"/>
  <c r="P745" i="3"/>
  <c r="M745" i="3"/>
  <c r="P744" i="3"/>
  <c r="M744" i="3"/>
  <c r="P743" i="3"/>
  <c r="M743" i="3"/>
  <c r="L742" i="3"/>
  <c r="P741" i="3"/>
  <c r="M741" i="3"/>
  <c r="P740" i="3"/>
  <c r="M740" i="3"/>
  <c r="P739" i="3"/>
  <c r="M739" i="3"/>
  <c r="P738" i="3"/>
  <c r="M738" i="3"/>
  <c r="P737" i="3"/>
  <c r="M737" i="3"/>
  <c r="P736" i="3"/>
  <c r="M736" i="3"/>
  <c r="P735" i="3"/>
  <c r="M735" i="3"/>
  <c r="P734" i="3"/>
  <c r="M734" i="3"/>
  <c r="P733" i="3"/>
  <c r="M733" i="3"/>
  <c r="P732" i="3"/>
  <c r="M732" i="3"/>
  <c r="P731" i="3"/>
  <c r="M731" i="3"/>
  <c r="P730" i="3"/>
  <c r="M730" i="3"/>
  <c r="P729" i="3"/>
  <c r="M729" i="3"/>
  <c r="M728" i="3"/>
  <c r="L728" i="3"/>
  <c r="P728" i="3" s="1"/>
  <c r="L727" i="3"/>
  <c r="N726" i="3"/>
  <c r="M726" i="3"/>
  <c r="L726" i="3"/>
  <c r="P726" i="3" s="1"/>
  <c r="L725" i="3"/>
  <c r="P724" i="3"/>
  <c r="M724" i="3"/>
  <c r="P723" i="3"/>
  <c r="K722" i="3"/>
  <c r="P721" i="3"/>
  <c r="L721" i="3"/>
  <c r="M721" i="3" s="1"/>
  <c r="P720" i="3"/>
  <c r="M720" i="3"/>
  <c r="P719" i="3"/>
  <c r="M719" i="3"/>
  <c r="M718" i="3"/>
  <c r="L718" i="3"/>
  <c r="P718" i="3" s="1"/>
  <c r="P717" i="3"/>
  <c r="M717" i="3"/>
  <c r="P716" i="3"/>
  <c r="L716" i="3"/>
  <c r="M716" i="3" s="1"/>
  <c r="P715" i="3"/>
  <c r="M715" i="3"/>
  <c r="P714" i="3"/>
  <c r="M714" i="3"/>
  <c r="P713" i="3"/>
  <c r="M713" i="3"/>
  <c r="P712" i="3"/>
  <c r="M712" i="3"/>
  <c r="P711" i="3"/>
  <c r="M711" i="3"/>
  <c r="N710" i="3"/>
  <c r="M710" i="3"/>
  <c r="L710" i="3"/>
  <c r="P710" i="3" s="1"/>
  <c r="L709" i="3"/>
  <c r="P709" i="3" s="1"/>
  <c r="P708" i="3"/>
  <c r="M708" i="3"/>
  <c r="P707" i="3"/>
  <c r="M707" i="3"/>
  <c r="P706" i="3"/>
  <c r="N706" i="3"/>
  <c r="M706" i="3"/>
  <c r="P705" i="3"/>
  <c r="M705" i="3"/>
  <c r="P704" i="3"/>
  <c r="M704" i="3"/>
  <c r="P703" i="3"/>
  <c r="M703" i="3"/>
  <c r="P702" i="3"/>
  <c r="M702" i="3"/>
  <c r="P701" i="3"/>
  <c r="M701" i="3"/>
  <c r="M700" i="3"/>
  <c r="L700" i="3"/>
  <c r="P700" i="3" s="1"/>
  <c r="P699" i="3"/>
  <c r="M699" i="3"/>
  <c r="L698" i="3"/>
  <c r="P698" i="3" s="1"/>
  <c r="P697" i="3"/>
  <c r="M697" i="3"/>
  <c r="P696" i="3"/>
  <c r="M696" i="3"/>
  <c r="P695" i="3"/>
  <c r="N695" i="3"/>
  <c r="M695" i="3"/>
  <c r="P694" i="3"/>
  <c r="M694" i="3"/>
  <c r="M693" i="3"/>
  <c r="P692" i="3"/>
  <c r="M692" i="3"/>
  <c r="P691" i="3"/>
  <c r="M691" i="3"/>
  <c r="P690" i="3"/>
  <c r="M690" i="3"/>
  <c r="M689" i="3"/>
  <c r="L689" i="3"/>
  <c r="P689" i="3" s="1"/>
  <c r="P688" i="3"/>
  <c r="M688" i="3"/>
  <c r="P687" i="3"/>
  <c r="M687" i="3"/>
  <c r="L687" i="3"/>
  <c r="M686" i="3"/>
  <c r="L686" i="3"/>
  <c r="P685" i="3"/>
  <c r="M685" i="3"/>
  <c r="P684" i="3"/>
  <c r="M684" i="3"/>
  <c r="P683" i="3"/>
  <c r="M683" i="3"/>
  <c r="K680" i="3"/>
  <c r="P679" i="3"/>
  <c r="M679" i="3"/>
  <c r="P678" i="3"/>
  <c r="M678" i="3"/>
  <c r="P677" i="3"/>
  <c r="M677" i="3"/>
  <c r="P676" i="3"/>
  <c r="M676" i="3"/>
  <c r="P675" i="3"/>
  <c r="M675" i="3"/>
  <c r="P674" i="3"/>
  <c r="M674" i="3"/>
  <c r="P673" i="3"/>
  <c r="M673" i="3"/>
  <c r="P672" i="3"/>
  <c r="M672" i="3"/>
  <c r="P671" i="3"/>
  <c r="M671" i="3"/>
  <c r="P670" i="3"/>
  <c r="M670" i="3"/>
  <c r="L669" i="3"/>
  <c r="P669" i="3" s="1"/>
  <c r="P668" i="3"/>
  <c r="M668" i="3"/>
  <c r="L667" i="3"/>
  <c r="P666" i="3"/>
  <c r="M666" i="3"/>
  <c r="P665" i="3"/>
  <c r="M665" i="3"/>
  <c r="P664" i="3"/>
  <c r="M664" i="3"/>
  <c r="P663" i="3"/>
  <c r="M663" i="3"/>
  <c r="P662" i="3"/>
  <c r="M662" i="3"/>
  <c r="P661" i="3"/>
  <c r="M661" i="3"/>
  <c r="L660" i="3"/>
  <c r="P660" i="3" s="1"/>
  <c r="P659" i="3"/>
  <c r="M659" i="3"/>
  <c r="P658" i="3"/>
  <c r="M658" i="3"/>
  <c r="P657" i="3"/>
  <c r="M657" i="3"/>
  <c r="P656" i="3"/>
  <c r="M656" i="3"/>
  <c r="P655" i="3"/>
  <c r="M655" i="3"/>
  <c r="P654" i="3"/>
  <c r="M654" i="3"/>
  <c r="P653" i="3"/>
  <c r="M653" i="3"/>
  <c r="M652" i="3"/>
  <c r="L652" i="3"/>
  <c r="P651" i="3"/>
  <c r="M651" i="3"/>
  <c r="P650" i="3"/>
  <c r="M650" i="3"/>
  <c r="L649" i="3"/>
  <c r="L648" i="3"/>
  <c r="M648" i="3" s="1"/>
  <c r="P647" i="3"/>
  <c r="M647" i="3"/>
  <c r="L647" i="3"/>
  <c r="M646" i="3"/>
  <c r="L646" i="3"/>
  <c r="P646" i="3" s="1"/>
  <c r="P645" i="3"/>
  <c r="M645" i="3"/>
  <c r="P644" i="3"/>
  <c r="M644" i="3"/>
  <c r="L643" i="3"/>
  <c r="P642" i="3"/>
  <c r="M642" i="3"/>
  <c r="P641" i="3"/>
  <c r="M641" i="3"/>
  <c r="P640" i="3"/>
  <c r="M640" i="3"/>
  <c r="P639" i="3"/>
  <c r="M639" i="3"/>
  <c r="P638" i="3"/>
  <c r="M638" i="3"/>
  <c r="M637" i="3"/>
  <c r="P636" i="3"/>
  <c r="M636" i="3"/>
  <c r="P635" i="3"/>
  <c r="M635" i="3"/>
  <c r="P634" i="3"/>
  <c r="M634" i="3"/>
  <c r="L633" i="3"/>
  <c r="P632" i="3"/>
  <c r="M632" i="3"/>
  <c r="P631" i="3"/>
  <c r="P630" i="3"/>
  <c r="K629" i="3"/>
  <c r="P628" i="3"/>
  <c r="L628" i="3"/>
  <c r="M628" i="3" s="1"/>
  <c r="P627" i="3"/>
  <c r="M627" i="3"/>
  <c r="P626" i="3"/>
  <c r="M626" i="3"/>
  <c r="P625" i="3"/>
  <c r="N625" i="3"/>
  <c r="L625" i="3"/>
  <c r="M625" i="3" s="1"/>
  <c r="P624" i="3"/>
  <c r="M624" i="3"/>
  <c r="M623" i="3"/>
  <c r="L623" i="3"/>
  <c r="P623" i="3" s="1"/>
  <c r="L622" i="3"/>
  <c r="P621" i="3"/>
  <c r="M621" i="3"/>
  <c r="L621" i="3"/>
  <c r="P620" i="3"/>
  <c r="M620" i="3"/>
  <c r="L619" i="3"/>
  <c r="P618" i="3"/>
  <c r="L618" i="3"/>
  <c r="M618" i="3" s="1"/>
  <c r="P617" i="3"/>
  <c r="M617" i="3"/>
  <c r="P616" i="3"/>
  <c r="M616" i="3"/>
  <c r="P615" i="3"/>
  <c r="M615" i="3"/>
  <c r="L615" i="3"/>
  <c r="P614" i="3"/>
  <c r="M614" i="3"/>
  <c r="P613" i="3"/>
  <c r="L613" i="3"/>
  <c r="M613" i="3" s="1"/>
  <c r="P612" i="3"/>
  <c r="M612" i="3"/>
  <c r="P611" i="3"/>
  <c r="M611" i="3"/>
  <c r="P610" i="3"/>
  <c r="M610" i="3"/>
  <c r="P609" i="3"/>
  <c r="M609" i="3"/>
  <c r="P608" i="3"/>
  <c r="M608" i="3"/>
  <c r="P607" i="3"/>
  <c r="M607" i="3"/>
  <c r="P606" i="3"/>
  <c r="M606" i="3"/>
  <c r="P605" i="3"/>
  <c r="N605" i="3"/>
  <c r="M605" i="3"/>
  <c r="P604" i="3"/>
  <c r="M604" i="3"/>
  <c r="P603" i="3"/>
  <c r="M603" i="3"/>
  <c r="P602" i="3"/>
  <c r="M602" i="3"/>
  <c r="P601" i="3"/>
  <c r="M601" i="3"/>
  <c r="P600" i="3"/>
  <c r="M600" i="3"/>
  <c r="P599" i="3"/>
  <c r="M599" i="3"/>
  <c r="P598" i="3"/>
  <c r="M598" i="3"/>
  <c r="P597" i="3"/>
  <c r="M597" i="3"/>
  <c r="P596" i="3"/>
  <c r="L596" i="3"/>
  <c r="M596" i="3" s="1"/>
  <c r="P595" i="3"/>
  <c r="O595" i="3"/>
  <c r="M595" i="3"/>
  <c r="M594" i="3"/>
  <c r="L594" i="3"/>
  <c r="P594" i="3" s="1"/>
  <c r="P593" i="3"/>
  <c r="M593" i="3"/>
  <c r="P592" i="3"/>
  <c r="M592" i="3"/>
  <c r="P591" i="3"/>
  <c r="M591" i="3"/>
  <c r="P590" i="3"/>
  <c r="M590" i="3"/>
  <c r="L589" i="3"/>
  <c r="P588" i="3"/>
  <c r="M588" i="3"/>
  <c r="P587" i="3"/>
  <c r="M587" i="3"/>
  <c r="P586" i="3"/>
  <c r="M586" i="3"/>
  <c r="N585" i="3"/>
  <c r="L585" i="3"/>
  <c r="L629" i="3" s="1"/>
  <c r="P584" i="3"/>
  <c r="M584" i="3"/>
  <c r="K582" i="3"/>
  <c r="P581" i="3"/>
  <c r="M581" i="3"/>
  <c r="P580" i="3"/>
  <c r="M580" i="3"/>
  <c r="L579" i="3"/>
  <c r="L578" i="3"/>
  <c r="P577" i="3"/>
  <c r="M577" i="3"/>
  <c r="P576" i="3"/>
  <c r="M576" i="3"/>
  <c r="P575" i="3"/>
  <c r="L575" i="3"/>
  <c r="M575" i="3" s="1"/>
  <c r="P574" i="3"/>
  <c r="L574" i="3"/>
  <c r="M574" i="3" s="1"/>
  <c r="O574" i="3" s="1"/>
  <c r="P573" i="3"/>
  <c r="L573" i="3"/>
  <c r="M573" i="3" s="1"/>
  <c r="O573" i="3" s="1"/>
  <c r="P572" i="3"/>
  <c r="M572" i="3"/>
  <c r="P571" i="3"/>
  <c r="M571" i="3"/>
  <c r="P570" i="3"/>
  <c r="N570" i="3"/>
  <c r="M570" i="3"/>
  <c r="P569" i="3"/>
  <c r="M569" i="3"/>
  <c r="P568" i="3"/>
  <c r="M568" i="3"/>
  <c r="M567" i="3"/>
  <c r="O567" i="3" s="1"/>
  <c r="L567" i="3"/>
  <c r="P567" i="3" s="1"/>
  <c r="L566" i="3"/>
  <c r="P566" i="3" s="1"/>
  <c r="P565" i="3"/>
  <c r="M565" i="3"/>
  <c r="P564" i="3"/>
  <c r="M564" i="3"/>
  <c r="P563" i="3"/>
  <c r="M563" i="3"/>
  <c r="P562" i="3"/>
  <c r="M562" i="3"/>
  <c r="P561" i="3"/>
  <c r="M561" i="3"/>
  <c r="P560" i="3"/>
  <c r="M560" i="3"/>
  <c r="Q559" i="3"/>
  <c r="P559" i="3"/>
  <c r="M559" i="3"/>
  <c r="P558" i="3"/>
  <c r="M558" i="3"/>
  <c r="M557" i="3"/>
  <c r="L557" i="3"/>
  <c r="P557" i="3" s="1"/>
  <c r="P556" i="3"/>
  <c r="M556" i="3"/>
  <c r="P555" i="3"/>
  <c r="M555" i="3"/>
  <c r="P554" i="3"/>
  <c r="M554" i="3"/>
  <c r="P553" i="3"/>
  <c r="L553" i="3"/>
  <c r="M553" i="3" s="1"/>
  <c r="P552" i="3"/>
  <c r="M552" i="3"/>
  <c r="P551" i="3"/>
  <c r="M551" i="3"/>
  <c r="P550" i="3"/>
  <c r="N550" i="3"/>
  <c r="M550" i="3"/>
  <c r="P549" i="3"/>
  <c r="M549" i="3"/>
  <c r="P548" i="3"/>
  <c r="M548" i="3"/>
  <c r="L547" i="3"/>
  <c r="P546" i="3"/>
  <c r="M546" i="3"/>
  <c r="P545" i="3"/>
  <c r="M545" i="3"/>
  <c r="P544" i="3"/>
  <c r="M544" i="3"/>
  <c r="P543" i="3"/>
  <c r="M543" i="3"/>
  <c r="P542" i="3"/>
  <c r="M542" i="3"/>
  <c r="P541" i="3"/>
  <c r="M541" i="3"/>
  <c r="P540" i="3"/>
  <c r="M540" i="3"/>
  <c r="P538" i="3"/>
  <c r="P537" i="3"/>
  <c r="K536" i="3"/>
  <c r="N535" i="3"/>
  <c r="M535" i="3"/>
  <c r="L535" i="3"/>
  <c r="P535" i="3" s="1"/>
  <c r="P534" i="3"/>
  <c r="M534" i="3"/>
  <c r="P533" i="3"/>
  <c r="M533" i="3"/>
  <c r="P532" i="3"/>
  <c r="M532" i="3"/>
  <c r="P531" i="3"/>
  <c r="M531" i="3"/>
  <c r="L530" i="3"/>
  <c r="P529" i="3"/>
  <c r="M529" i="3"/>
  <c r="P528" i="3"/>
  <c r="M528" i="3"/>
  <c r="P527" i="3"/>
  <c r="M527" i="3"/>
  <c r="P526" i="3"/>
  <c r="M526" i="3"/>
  <c r="P525" i="3"/>
  <c r="M525" i="3"/>
  <c r="L524" i="3"/>
  <c r="P524" i="3" s="1"/>
  <c r="N523" i="3"/>
  <c r="L523" i="3"/>
  <c r="P523" i="3" s="1"/>
  <c r="P522" i="3"/>
  <c r="M522" i="3"/>
  <c r="L521" i="3"/>
  <c r="P521" i="3" s="1"/>
  <c r="P520" i="3"/>
  <c r="M520" i="3"/>
  <c r="P519" i="3"/>
  <c r="M519" i="3"/>
  <c r="P518" i="3"/>
  <c r="M518" i="3"/>
  <c r="L517" i="3"/>
  <c r="M517" i="3" s="1"/>
  <c r="N516" i="3"/>
  <c r="L516" i="3"/>
  <c r="M516" i="3" s="1"/>
  <c r="P515" i="3"/>
  <c r="M515" i="3"/>
  <c r="P514" i="3"/>
  <c r="M514" i="3"/>
  <c r="P513" i="3"/>
  <c r="M513" i="3"/>
  <c r="L513" i="3"/>
  <c r="P512" i="3"/>
  <c r="M512" i="3"/>
  <c r="P511" i="3"/>
  <c r="M511" i="3"/>
  <c r="P510" i="3"/>
  <c r="O510" i="3"/>
  <c r="M510" i="3"/>
  <c r="L510" i="3"/>
  <c r="P509" i="3"/>
  <c r="M509" i="3"/>
  <c r="P508" i="3"/>
  <c r="M508" i="3"/>
  <c r="P507" i="3"/>
  <c r="M507" i="3"/>
  <c r="P506" i="3"/>
  <c r="L506" i="3"/>
  <c r="M506" i="3" s="1"/>
  <c r="P505" i="3"/>
  <c r="M505" i="3"/>
  <c r="P504" i="3"/>
  <c r="M504" i="3"/>
  <c r="P503" i="3"/>
  <c r="M503" i="3"/>
  <c r="L503" i="3"/>
  <c r="P502" i="3"/>
  <c r="M502" i="3"/>
  <c r="P501" i="3"/>
  <c r="L501" i="3"/>
  <c r="M501" i="3" s="1"/>
  <c r="P500" i="3"/>
  <c r="M500" i="3"/>
  <c r="L499" i="3"/>
  <c r="P498" i="3"/>
  <c r="M498" i="3"/>
  <c r="P497" i="3"/>
  <c r="M497" i="3"/>
  <c r="P496" i="3"/>
  <c r="L496" i="3"/>
  <c r="M496" i="3" s="1"/>
  <c r="P495" i="3"/>
  <c r="M495" i="3"/>
  <c r="P494" i="3"/>
  <c r="M494" i="3"/>
  <c r="O494" i="3" s="1"/>
  <c r="P493" i="3"/>
  <c r="M493" i="3"/>
  <c r="O493" i="3" s="1"/>
  <c r="P492" i="3"/>
  <c r="M492" i="3"/>
  <c r="O492" i="3" s="1"/>
  <c r="P491" i="3"/>
  <c r="M491" i="3"/>
  <c r="O491" i="3" s="1"/>
  <c r="L490" i="3"/>
  <c r="P490" i="3" s="1"/>
  <c r="L489" i="3"/>
  <c r="P489" i="3" s="1"/>
  <c r="P488" i="3"/>
  <c r="M488" i="3"/>
  <c r="O488" i="3" s="1"/>
  <c r="P487" i="3"/>
  <c r="M487" i="3"/>
  <c r="O487" i="3" s="1"/>
  <c r="P486" i="3"/>
  <c r="O486" i="3"/>
  <c r="M486" i="3"/>
  <c r="P485" i="3"/>
  <c r="M485" i="3"/>
  <c r="O485" i="3" s="1"/>
  <c r="P484" i="3"/>
  <c r="M484" i="3"/>
  <c r="P483" i="3"/>
  <c r="M483" i="3"/>
  <c r="O483" i="3" s="1"/>
  <c r="P482" i="3"/>
  <c r="M482" i="3"/>
  <c r="O482" i="3" s="1"/>
  <c r="P481" i="3"/>
  <c r="M481" i="3"/>
  <c r="O481" i="3" s="1"/>
  <c r="P480" i="3"/>
  <c r="O480" i="3"/>
  <c r="K479" i="3"/>
  <c r="P478" i="3"/>
  <c r="M478" i="3"/>
  <c r="O478" i="3" s="1"/>
  <c r="P477" i="3"/>
  <c r="O477" i="3"/>
  <c r="M477" i="3"/>
  <c r="P476" i="3"/>
  <c r="O476" i="3"/>
  <c r="N476" i="3"/>
  <c r="M476" i="3"/>
  <c r="P475" i="3"/>
  <c r="M475" i="3"/>
  <c r="O475" i="3" s="1"/>
  <c r="P474" i="3"/>
  <c r="M474" i="3"/>
  <c r="O474" i="3" s="1"/>
  <c r="L473" i="3"/>
  <c r="P472" i="3"/>
  <c r="M472" i="3"/>
  <c r="O472" i="3" s="1"/>
  <c r="P471" i="3"/>
  <c r="M471" i="3"/>
  <c r="O471" i="3" s="1"/>
  <c r="P470" i="3"/>
  <c r="M470" i="3"/>
  <c r="O470" i="3" s="1"/>
  <c r="P469" i="3"/>
  <c r="M469" i="3"/>
  <c r="O469" i="3" s="1"/>
  <c r="P468" i="3"/>
  <c r="M468" i="3"/>
  <c r="O468" i="3" s="1"/>
  <c r="P467" i="3"/>
  <c r="O467" i="3"/>
  <c r="N467" i="3"/>
  <c r="M467" i="3"/>
  <c r="P466" i="3"/>
  <c r="O466" i="3"/>
  <c r="M466" i="3"/>
  <c r="P465" i="3"/>
  <c r="M465" i="3"/>
  <c r="O465" i="3" s="1"/>
  <c r="P464" i="3"/>
  <c r="M464" i="3"/>
  <c r="O464" i="3" s="1"/>
  <c r="N463" i="3"/>
  <c r="L463" i="3"/>
  <c r="P462" i="3"/>
  <c r="M462" i="3"/>
  <c r="O462" i="3" s="1"/>
  <c r="P461" i="3"/>
  <c r="M461" i="3"/>
  <c r="O461" i="3" s="1"/>
  <c r="P460" i="3"/>
  <c r="O460" i="3"/>
  <c r="L460" i="3"/>
  <c r="M460" i="3" s="1"/>
  <c r="P459" i="3"/>
  <c r="O459" i="3"/>
  <c r="M459" i="3"/>
  <c r="P458" i="3"/>
  <c r="M458" i="3"/>
  <c r="O458" i="3" s="1"/>
  <c r="P457" i="3"/>
  <c r="M457" i="3"/>
  <c r="O457" i="3" s="1"/>
  <c r="P456" i="3"/>
  <c r="N456" i="3"/>
  <c r="M456" i="3"/>
  <c r="P455" i="3"/>
  <c r="M455" i="3"/>
  <c r="O455" i="3" s="1"/>
  <c r="P454" i="3"/>
  <c r="O454" i="3"/>
  <c r="M454" i="3"/>
  <c r="P453" i="3"/>
  <c r="M453" i="3"/>
  <c r="O453" i="3" s="1"/>
  <c r="P452" i="3"/>
  <c r="M452" i="3"/>
  <c r="O452" i="3" s="1"/>
  <c r="P451" i="3"/>
  <c r="M451" i="3"/>
  <c r="O451" i="3" s="1"/>
  <c r="P450" i="3"/>
  <c r="M450" i="3"/>
  <c r="O450" i="3" s="1"/>
  <c r="P449" i="3"/>
  <c r="M449" i="3"/>
  <c r="O449" i="3" s="1"/>
  <c r="P448" i="3"/>
  <c r="M448" i="3"/>
  <c r="O448" i="3" s="1"/>
  <c r="P447" i="3"/>
  <c r="M447" i="3"/>
  <c r="O447" i="3" s="1"/>
  <c r="P446" i="3"/>
  <c r="M446" i="3"/>
  <c r="O446" i="3" s="1"/>
  <c r="P445" i="3"/>
  <c r="M445" i="3"/>
  <c r="O445" i="3" s="1"/>
  <c r="P444" i="3"/>
  <c r="M444" i="3"/>
  <c r="O444" i="3" s="1"/>
  <c r="P443" i="3"/>
  <c r="M443" i="3"/>
  <c r="O443" i="3" s="1"/>
  <c r="P442" i="3"/>
  <c r="O442" i="3"/>
  <c r="M442" i="3"/>
  <c r="P441" i="3"/>
  <c r="M441" i="3"/>
  <c r="O441" i="3" s="1"/>
  <c r="P440" i="3"/>
  <c r="M440" i="3"/>
  <c r="O440" i="3" s="1"/>
  <c r="P439" i="3"/>
  <c r="M439" i="3"/>
  <c r="O439" i="3" s="1"/>
  <c r="L438" i="3"/>
  <c r="P437" i="3"/>
  <c r="M437" i="3"/>
  <c r="O437" i="3" s="1"/>
  <c r="K435" i="3"/>
  <c r="P434" i="3"/>
  <c r="M434" i="3"/>
  <c r="P433" i="3"/>
  <c r="M433" i="3"/>
  <c r="P432" i="3"/>
  <c r="M432" i="3"/>
  <c r="P431" i="3"/>
  <c r="M431" i="3"/>
  <c r="P430" i="3"/>
  <c r="M430" i="3"/>
  <c r="P429" i="3"/>
  <c r="M429" i="3"/>
  <c r="P428" i="3"/>
  <c r="M428" i="3"/>
  <c r="P427" i="3"/>
  <c r="M427" i="3"/>
  <c r="P426" i="3"/>
  <c r="M426" i="3"/>
  <c r="P425" i="3"/>
  <c r="M425" i="3"/>
  <c r="O425" i="3" s="1"/>
  <c r="P424" i="3"/>
  <c r="M424" i="3"/>
  <c r="O424" i="3" s="1"/>
  <c r="P423" i="3"/>
  <c r="M423" i="3"/>
  <c r="O423" i="3" s="1"/>
  <c r="P422" i="3"/>
  <c r="M422" i="3"/>
  <c r="O422" i="3" s="1"/>
  <c r="L421" i="3"/>
  <c r="P421" i="3" s="1"/>
  <c r="P420" i="3"/>
  <c r="M420" i="3"/>
  <c r="O420" i="3" s="1"/>
  <c r="P419" i="3"/>
  <c r="M419" i="3"/>
  <c r="O419" i="3" s="1"/>
  <c r="P418" i="3"/>
  <c r="M418" i="3"/>
  <c r="O418" i="3" s="1"/>
  <c r="N417" i="3"/>
  <c r="M417" i="3"/>
  <c r="O417" i="3" s="1"/>
  <c r="L417" i="3"/>
  <c r="P417" i="3" s="1"/>
  <c r="P416" i="3"/>
  <c r="M416" i="3"/>
  <c r="O416" i="3" s="1"/>
  <c r="P415" i="3"/>
  <c r="M415" i="3"/>
  <c r="O415" i="3" s="1"/>
  <c r="P414" i="3"/>
  <c r="M414" i="3"/>
  <c r="O414" i="3" s="1"/>
  <c r="L414" i="3"/>
  <c r="P413" i="3"/>
  <c r="M413" i="3"/>
  <c r="O413" i="3" s="1"/>
  <c r="L412" i="3"/>
  <c r="L411" i="3"/>
  <c r="P410" i="3"/>
  <c r="O410" i="3"/>
  <c r="M410" i="3"/>
  <c r="L409" i="3"/>
  <c r="P409" i="3" s="1"/>
  <c r="L408" i="3"/>
  <c r="P408" i="3" s="1"/>
  <c r="P407" i="3"/>
  <c r="M407" i="3"/>
  <c r="O407" i="3" s="1"/>
  <c r="L407" i="3"/>
  <c r="P406" i="3"/>
  <c r="M406" i="3"/>
  <c r="O406" i="3" s="1"/>
  <c r="P405" i="3"/>
  <c r="M405" i="3"/>
  <c r="O405" i="3" s="1"/>
  <c r="P404" i="3"/>
  <c r="M404" i="3"/>
  <c r="O404" i="3" s="1"/>
  <c r="P403" i="3"/>
  <c r="M403" i="3"/>
  <c r="O403" i="3" s="1"/>
  <c r="L402" i="3"/>
  <c r="P402" i="3" s="1"/>
  <c r="P401" i="3"/>
  <c r="M401" i="3"/>
  <c r="O401" i="3" s="1"/>
  <c r="P400" i="3"/>
  <c r="M400" i="3"/>
  <c r="O400" i="3" s="1"/>
  <c r="P399" i="3"/>
  <c r="M399" i="3"/>
  <c r="O399" i="3" s="1"/>
  <c r="P398" i="3"/>
  <c r="O398" i="3"/>
  <c r="M398" i="3"/>
  <c r="P397" i="3"/>
  <c r="M397" i="3"/>
  <c r="O397" i="3" s="1"/>
  <c r="P396" i="3"/>
  <c r="O396" i="3"/>
  <c r="M396" i="3"/>
  <c r="P395" i="3"/>
  <c r="M395" i="3"/>
  <c r="O395" i="3" s="1"/>
  <c r="L394" i="3"/>
  <c r="P393" i="3"/>
  <c r="M393" i="3"/>
  <c r="O393" i="3" s="1"/>
  <c r="L392" i="3"/>
  <c r="P392" i="3" s="1"/>
  <c r="P391" i="3"/>
  <c r="M391" i="3"/>
  <c r="O391" i="3" s="1"/>
  <c r="P390" i="3"/>
  <c r="M390" i="3"/>
  <c r="O390" i="3" s="1"/>
  <c r="P389" i="3"/>
  <c r="M389" i="3"/>
  <c r="O389" i="3" s="1"/>
  <c r="P388" i="3"/>
  <c r="O388" i="3"/>
  <c r="M388" i="3"/>
  <c r="L387" i="3"/>
  <c r="P387" i="3" s="1"/>
  <c r="N386" i="3"/>
  <c r="L386" i="3"/>
  <c r="P386" i="3" s="1"/>
  <c r="P385" i="3"/>
  <c r="O385" i="3"/>
  <c r="M385" i="3"/>
  <c r="P384" i="3"/>
  <c r="M384" i="3"/>
  <c r="O384" i="3" s="1"/>
  <c r="L384" i="3"/>
  <c r="P383" i="3"/>
  <c r="M383" i="3"/>
  <c r="O383" i="3" s="1"/>
  <c r="P382" i="3"/>
  <c r="O382" i="3"/>
  <c r="M382" i="3"/>
  <c r="K380" i="3"/>
  <c r="P379" i="3"/>
  <c r="O379" i="3"/>
  <c r="M379" i="3"/>
  <c r="P378" i="3"/>
  <c r="N378" i="3"/>
  <c r="M378" i="3"/>
  <c r="P377" i="3"/>
  <c r="M377" i="3"/>
  <c r="O377" i="3" s="1"/>
  <c r="P376" i="3"/>
  <c r="O376" i="3"/>
  <c r="M376" i="3"/>
  <c r="P375" i="3"/>
  <c r="M375" i="3"/>
  <c r="O375" i="3" s="1"/>
  <c r="P374" i="3"/>
  <c r="M374" i="3"/>
  <c r="O374" i="3" s="1"/>
  <c r="P373" i="3"/>
  <c r="M373" i="3"/>
  <c r="O373" i="3" s="1"/>
  <c r="L373" i="3"/>
  <c r="P372" i="3"/>
  <c r="N372" i="3"/>
  <c r="M372" i="3"/>
  <c r="P371" i="3"/>
  <c r="M371" i="3"/>
  <c r="O371" i="3" s="1"/>
  <c r="P370" i="3"/>
  <c r="O370" i="3"/>
  <c r="M370" i="3"/>
  <c r="M369" i="3"/>
  <c r="O369" i="3" s="1"/>
  <c r="P368" i="3"/>
  <c r="M368" i="3"/>
  <c r="O368" i="3" s="1"/>
  <c r="P367" i="3"/>
  <c r="O367" i="3"/>
  <c r="M367" i="3"/>
  <c r="N366" i="3"/>
  <c r="L366" i="3"/>
  <c r="M366" i="3" s="1"/>
  <c r="O366" i="3" s="1"/>
  <c r="P365" i="3"/>
  <c r="O365" i="3"/>
  <c r="M365" i="3"/>
  <c r="P364" i="3"/>
  <c r="M364" i="3"/>
  <c r="O364" i="3" s="1"/>
  <c r="P363" i="3"/>
  <c r="M363" i="3"/>
  <c r="O363" i="3" s="1"/>
  <c r="P362" i="3"/>
  <c r="M362" i="3"/>
  <c r="O362" i="3" s="1"/>
  <c r="P361" i="3"/>
  <c r="M361" i="3"/>
  <c r="O361" i="3" s="1"/>
  <c r="P360" i="3"/>
  <c r="M360" i="3"/>
  <c r="O360" i="3" s="1"/>
  <c r="P359" i="3"/>
  <c r="O359" i="3"/>
  <c r="M359" i="3"/>
  <c r="P358" i="3"/>
  <c r="M358" i="3"/>
  <c r="O358" i="3" s="1"/>
  <c r="P357" i="3"/>
  <c r="O357" i="3"/>
  <c r="M357" i="3"/>
  <c r="P356" i="3"/>
  <c r="M356" i="3"/>
  <c r="O356" i="3" s="1"/>
  <c r="P355" i="3"/>
  <c r="M355" i="3"/>
  <c r="O355" i="3" s="1"/>
  <c r="P354" i="3"/>
  <c r="M354" i="3"/>
  <c r="O354" i="3" s="1"/>
  <c r="P353" i="3"/>
  <c r="M353" i="3"/>
  <c r="O353" i="3" s="1"/>
  <c r="P352" i="3"/>
  <c r="M352" i="3"/>
  <c r="O352" i="3" s="1"/>
  <c r="P351" i="3"/>
  <c r="O351" i="3"/>
  <c r="M351" i="3"/>
  <c r="P350" i="3"/>
  <c r="M350" i="3"/>
  <c r="O350" i="3" s="1"/>
  <c r="P349" i="3"/>
  <c r="O349" i="3"/>
  <c r="M349" i="3"/>
  <c r="P348" i="3"/>
  <c r="M348" i="3"/>
  <c r="O348" i="3" s="1"/>
  <c r="L348" i="3"/>
  <c r="P347" i="3"/>
  <c r="M347" i="3"/>
  <c r="O347" i="3" s="1"/>
  <c r="P346" i="3"/>
  <c r="O346" i="3"/>
  <c r="M346" i="3"/>
  <c r="P345" i="3"/>
  <c r="M345" i="3"/>
  <c r="O345" i="3" s="1"/>
  <c r="P344" i="3"/>
  <c r="M344" i="3"/>
  <c r="O344" i="3" s="1"/>
  <c r="P343" i="3"/>
  <c r="M343" i="3"/>
  <c r="O343" i="3" s="1"/>
  <c r="P342" i="3"/>
  <c r="M342" i="3"/>
  <c r="O342" i="3" s="1"/>
  <c r="P341" i="3"/>
  <c r="M341" i="3"/>
  <c r="O341" i="3" s="1"/>
  <c r="P340" i="3"/>
  <c r="O340" i="3"/>
  <c r="M340" i="3"/>
  <c r="P339" i="3"/>
  <c r="N339" i="3"/>
  <c r="M339" i="3"/>
  <c r="O339" i="3" s="1"/>
  <c r="P338" i="3"/>
  <c r="M338" i="3"/>
  <c r="O338" i="3" s="1"/>
  <c r="P337" i="3"/>
  <c r="O337" i="3"/>
  <c r="M337" i="3"/>
  <c r="P336" i="3"/>
  <c r="M336" i="3"/>
  <c r="O336" i="3" s="1"/>
  <c r="P335" i="3"/>
  <c r="M335" i="3"/>
  <c r="O335" i="3" s="1"/>
  <c r="P334" i="3"/>
  <c r="M334" i="3"/>
  <c r="O334" i="3" s="1"/>
  <c r="P333" i="3"/>
  <c r="M333" i="3"/>
  <c r="O333" i="3" s="1"/>
  <c r="P332" i="3"/>
  <c r="M332" i="3"/>
  <c r="O332" i="3" s="1"/>
  <c r="P331" i="3"/>
  <c r="M331" i="3"/>
  <c r="O331" i="3" s="1"/>
  <c r="P330" i="3"/>
  <c r="M330" i="3"/>
  <c r="O330" i="3" s="1"/>
  <c r="P329" i="3"/>
  <c r="O329" i="3"/>
  <c r="M329" i="3"/>
  <c r="P328" i="3"/>
  <c r="M328" i="3"/>
  <c r="O328" i="3" s="1"/>
  <c r="P327" i="3"/>
  <c r="M327" i="3"/>
  <c r="O327" i="3" s="1"/>
  <c r="P326" i="3"/>
  <c r="M326" i="3"/>
  <c r="O326" i="3" s="1"/>
  <c r="L326" i="3"/>
  <c r="P325" i="3"/>
  <c r="M325" i="3"/>
  <c r="O325" i="3" s="1"/>
  <c r="P324" i="3"/>
  <c r="M324" i="3"/>
  <c r="O324" i="3" s="1"/>
  <c r="P323" i="3"/>
  <c r="M323" i="3"/>
  <c r="O323" i="3" s="1"/>
  <c r="P322" i="3"/>
  <c r="O322" i="3"/>
  <c r="K321" i="3"/>
  <c r="P320" i="3"/>
  <c r="M320" i="3"/>
  <c r="O320" i="3" s="1"/>
  <c r="P319" i="3"/>
  <c r="M319" i="3"/>
  <c r="O319" i="3" s="1"/>
  <c r="L318" i="3"/>
  <c r="P318" i="3" s="1"/>
  <c r="P317" i="3"/>
  <c r="M317" i="3"/>
  <c r="O317" i="3" s="1"/>
  <c r="L316" i="3"/>
  <c r="P315" i="3"/>
  <c r="O315" i="3"/>
  <c r="M315" i="3"/>
  <c r="P314" i="3"/>
  <c r="M314" i="3"/>
  <c r="O314" i="3" s="1"/>
  <c r="P313" i="3"/>
  <c r="M313" i="3"/>
  <c r="O313" i="3" s="1"/>
  <c r="P312" i="3"/>
  <c r="M312" i="3"/>
  <c r="O312" i="3" s="1"/>
  <c r="P311" i="3"/>
  <c r="M311" i="3"/>
  <c r="O311" i="3" s="1"/>
  <c r="P310" i="3"/>
  <c r="M310" i="3"/>
  <c r="O310" i="3" s="1"/>
  <c r="P309" i="3"/>
  <c r="M309" i="3"/>
  <c r="O309" i="3" s="1"/>
  <c r="P308" i="3"/>
  <c r="M308" i="3"/>
  <c r="O308" i="3" s="1"/>
  <c r="N307" i="3"/>
  <c r="M307" i="3"/>
  <c r="O307" i="3" s="1"/>
  <c r="L307" i="3"/>
  <c r="P307" i="3" s="1"/>
  <c r="P306" i="3"/>
  <c r="M306" i="3"/>
  <c r="O306" i="3" s="1"/>
  <c r="P305" i="3"/>
  <c r="O305" i="3"/>
  <c r="M305" i="3"/>
  <c r="P304" i="3"/>
  <c r="M304" i="3"/>
  <c r="O304" i="3" s="1"/>
  <c r="L304" i="3"/>
  <c r="L303" i="3"/>
  <c r="P303" i="3" s="1"/>
  <c r="P302" i="3"/>
  <c r="M302" i="3"/>
  <c r="O302" i="3" s="1"/>
  <c r="P301" i="3"/>
  <c r="O301" i="3"/>
  <c r="M301" i="3"/>
  <c r="P300" i="3"/>
  <c r="M300" i="3"/>
  <c r="O300" i="3" s="1"/>
  <c r="P299" i="3"/>
  <c r="M299" i="3"/>
  <c r="O299" i="3" s="1"/>
  <c r="P298" i="3"/>
  <c r="M298" i="3"/>
  <c r="O298" i="3" s="1"/>
  <c r="P297" i="3"/>
  <c r="M297" i="3"/>
  <c r="O297" i="3" s="1"/>
  <c r="P296" i="3"/>
  <c r="M296" i="3"/>
  <c r="O296" i="3" s="1"/>
  <c r="P295" i="3"/>
  <c r="M295" i="3"/>
  <c r="O295" i="3" s="1"/>
  <c r="P294" i="3"/>
  <c r="M294" i="3"/>
  <c r="O294" i="3" s="1"/>
  <c r="P293" i="3"/>
  <c r="O293" i="3"/>
  <c r="M293" i="3"/>
  <c r="P292" i="3"/>
  <c r="M292" i="3"/>
  <c r="O292" i="3" s="1"/>
  <c r="P291" i="3"/>
  <c r="O291" i="3"/>
  <c r="M291" i="3"/>
  <c r="P290" i="3"/>
  <c r="M290" i="3"/>
  <c r="O290" i="3" s="1"/>
  <c r="P289" i="3"/>
  <c r="M289" i="3"/>
  <c r="O289" i="3" s="1"/>
  <c r="P288" i="3"/>
  <c r="M288" i="3"/>
  <c r="O288" i="3" s="1"/>
  <c r="L288" i="3"/>
  <c r="O287" i="3"/>
  <c r="L286" i="3"/>
  <c r="K286" i="3"/>
  <c r="P285" i="3"/>
  <c r="M285" i="3"/>
  <c r="O285" i="3" s="1"/>
  <c r="P284" i="3"/>
  <c r="O284" i="3"/>
  <c r="M284" i="3"/>
  <c r="P283" i="3"/>
  <c r="M283" i="3"/>
  <c r="O283" i="3" s="1"/>
  <c r="P282" i="3"/>
  <c r="M282" i="3"/>
  <c r="O282" i="3" s="1"/>
  <c r="P281" i="3"/>
  <c r="M281" i="3"/>
  <c r="O281" i="3" s="1"/>
  <c r="P280" i="3"/>
  <c r="M280" i="3"/>
  <c r="O280" i="3" s="1"/>
  <c r="P279" i="3"/>
  <c r="M279" i="3"/>
  <c r="O279" i="3" s="1"/>
  <c r="P278" i="3"/>
  <c r="O278" i="3"/>
  <c r="M278" i="3"/>
  <c r="P277" i="3"/>
  <c r="M277" i="3"/>
  <c r="O277" i="3" s="1"/>
  <c r="P276" i="3"/>
  <c r="O276" i="3"/>
  <c r="M276" i="3"/>
  <c r="P275" i="3"/>
  <c r="M275" i="3"/>
  <c r="O275" i="3" s="1"/>
  <c r="P274" i="3"/>
  <c r="M274" i="3"/>
  <c r="O274" i="3" s="1"/>
  <c r="P273" i="3"/>
  <c r="M273" i="3"/>
  <c r="O273" i="3" s="1"/>
  <c r="P272" i="3"/>
  <c r="M272" i="3"/>
  <c r="O272" i="3" s="1"/>
  <c r="P271" i="3"/>
  <c r="M271" i="3"/>
  <c r="O271" i="3" s="1"/>
  <c r="P270" i="3"/>
  <c r="O270" i="3"/>
  <c r="M270" i="3"/>
  <c r="P269" i="3"/>
  <c r="M269" i="3"/>
  <c r="O269" i="3" s="1"/>
  <c r="P268" i="3"/>
  <c r="O268" i="3"/>
  <c r="M268" i="3"/>
  <c r="P267" i="3"/>
  <c r="O267" i="3"/>
  <c r="P266" i="3"/>
  <c r="M266" i="3"/>
  <c r="O266" i="3" s="1"/>
  <c r="P265" i="3"/>
  <c r="O265" i="3"/>
  <c r="M265" i="3"/>
  <c r="P264" i="3"/>
  <c r="M264" i="3"/>
  <c r="O264" i="3" s="1"/>
  <c r="P263" i="3"/>
  <c r="O263" i="3"/>
  <c r="M263" i="3"/>
  <c r="P262" i="3"/>
  <c r="M262" i="3"/>
  <c r="O262" i="3" s="1"/>
  <c r="P261" i="3"/>
  <c r="M261" i="3"/>
  <c r="O261" i="3" s="1"/>
  <c r="P260" i="3"/>
  <c r="M260" i="3"/>
  <c r="O260" i="3" s="1"/>
  <c r="P259" i="3"/>
  <c r="M259" i="3"/>
  <c r="O259" i="3" s="1"/>
  <c r="P258" i="3"/>
  <c r="M258" i="3"/>
  <c r="O258" i="3" s="1"/>
  <c r="P257" i="3"/>
  <c r="O257" i="3"/>
  <c r="M257" i="3"/>
  <c r="P256" i="3"/>
  <c r="M256" i="3"/>
  <c r="O256" i="3" s="1"/>
  <c r="P255" i="3"/>
  <c r="O255" i="3"/>
  <c r="M255" i="3"/>
  <c r="P254" i="3"/>
  <c r="M254" i="3"/>
  <c r="O254" i="3" s="1"/>
  <c r="P253" i="3"/>
  <c r="M253" i="3"/>
  <c r="O253" i="3" s="1"/>
  <c r="P252" i="3"/>
  <c r="M252" i="3"/>
  <c r="O252" i="3" s="1"/>
  <c r="O251" i="3"/>
  <c r="L250" i="3"/>
  <c r="M250" i="3" s="1"/>
  <c r="O250" i="3" s="1"/>
  <c r="K250" i="3"/>
  <c r="P249" i="3"/>
  <c r="M249" i="3"/>
  <c r="O249" i="3" s="1"/>
  <c r="P248" i="3"/>
  <c r="M248" i="3"/>
  <c r="O248" i="3" s="1"/>
  <c r="P247" i="3"/>
  <c r="O247" i="3"/>
  <c r="M247" i="3"/>
  <c r="P246" i="3"/>
  <c r="M246" i="3"/>
  <c r="O246" i="3" s="1"/>
  <c r="P245" i="3"/>
  <c r="O245" i="3"/>
  <c r="M245" i="3"/>
  <c r="P244" i="3"/>
  <c r="N244" i="3"/>
  <c r="M244" i="3"/>
  <c r="P243" i="3"/>
  <c r="M243" i="3"/>
  <c r="P242" i="3"/>
  <c r="M242" i="3"/>
  <c r="P241" i="3"/>
  <c r="M241" i="3"/>
  <c r="P240" i="3"/>
  <c r="M240" i="3"/>
  <c r="P239" i="3"/>
  <c r="M239" i="3"/>
  <c r="P238" i="3"/>
  <c r="M238" i="3"/>
  <c r="P237" i="3"/>
  <c r="M237" i="3"/>
  <c r="P236" i="3"/>
  <c r="M236" i="3"/>
  <c r="P235" i="3"/>
  <c r="M235" i="3"/>
  <c r="P234" i="3"/>
  <c r="M234" i="3"/>
  <c r="P233" i="3"/>
  <c r="M233" i="3"/>
  <c r="P232" i="3"/>
  <c r="M232" i="3"/>
  <c r="P231" i="3"/>
  <c r="M231" i="3"/>
  <c r="P230" i="3"/>
  <c r="M230" i="3"/>
  <c r="P229" i="3"/>
  <c r="M229" i="3"/>
  <c r="M228" i="3"/>
  <c r="P227" i="3"/>
  <c r="M227" i="3"/>
  <c r="P226" i="3"/>
  <c r="M226" i="3"/>
  <c r="P225" i="3"/>
  <c r="M225" i="3"/>
  <c r="P224" i="3"/>
  <c r="M224" i="3"/>
  <c r="P223" i="3"/>
  <c r="M223" i="3"/>
  <c r="P222" i="3"/>
  <c r="M222" i="3"/>
  <c r="P221" i="3"/>
  <c r="M221" i="3"/>
  <c r="P220" i="3"/>
  <c r="M220" i="3"/>
  <c r="P219" i="3"/>
  <c r="M219" i="3"/>
  <c r="P218" i="3"/>
  <c r="M218" i="3"/>
  <c r="P217" i="3"/>
  <c r="M217" i="3"/>
  <c r="P216" i="3"/>
  <c r="M216" i="3"/>
  <c r="P215" i="3"/>
  <c r="M215" i="3"/>
  <c r="P214" i="3"/>
  <c r="N214" i="3"/>
  <c r="M214" i="3"/>
  <c r="P213" i="3"/>
  <c r="M213" i="3"/>
  <c r="O213" i="3" s="1"/>
  <c r="L211" i="3"/>
  <c r="K211" i="3"/>
  <c r="P210" i="3"/>
  <c r="M210" i="3"/>
  <c r="O210" i="3" s="1"/>
  <c r="P209" i="3"/>
  <c r="O209" i="3"/>
  <c r="M209" i="3"/>
  <c r="P208" i="3"/>
  <c r="M208" i="3"/>
  <c r="O208" i="3" s="1"/>
  <c r="P207" i="3"/>
  <c r="M207" i="3"/>
  <c r="O207" i="3" s="1"/>
  <c r="P206" i="3"/>
  <c r="M206" i="3"/>
  <c r="O206" i="3" s="1"/>
  <c r="P205" i="3"/>
  <c r="M205" i="3"/>
  <c r="O205" i="3" s="1"/>
  <c r="P204" i="3"/>
  <c r="M204" i="3"/>
  <c r="O204" i="3" s="1"/>
  <c r="P203" i="3"/>
  <c r="O203" i="3"/>
  <c r="M203" i="3"/>
  <c r="P202" i="3"/>
  <c r="M202" i="3"/>
  <c r="O202" i="3" s="1"/>
  <c r="P201" i="3"/>
  <c r="O201" i="3"/>
  <c r="M201" i="3"/>
  <c r="P200" i="3"/>
  <c r="M200" i="3"/>
  <c r="O200" i="3" s="1"/>
  <c r="P199" i="3"/>
  <c r="M199" i="3"/>
  <c r="O199" i="3" s="1"/>
  <c r="P198" i="3"/>
  <c r="M198" i="3"/>
  <c r="O198" i="3" s="1"/>
  <c r="P197" i="3"/>
  <c r="M197" i="3"/>
  <c r="O197" i="3" s="1"/>
  <c r="P196" i="3"/>
  <c r="M196" i="3"/>
  <c r="O196" i="3" s="1"/>
  <c r="P195" i="3"/>
  <c r="O195" i="3"/>
  <c r="M195" i="3"/>
  <c r="P194" i="3"/>
  <c r="M194" i="3"/>
  <c r="O194" i="3" s="1"/>
  <c r="P193" i="3"/>
  <c r="O193" i="3"/>
  <c r="M193" i="3"/>
  <c r="P192" i="3"/>
  <c r="M192" i="3"/>
  <c r="O192" i="3" s="1"/>
  <c r="P191" i="3"/>
  <c r="M191" i="3"/>
  <c r="O191" i="3" s="1"/>
  <c r="P190" i="3"/>
  <c r="M190" i="3"/>
  <c r="O190" i="3" s="1"/>
  <c r="P189" i="3"/>
  <c r="M189" i="3"/>
  <c r="O189" i="3" s="1"/>
  <c r="P188" i="3"/>
  <c r="M188" i="3"/>
  <c r="O188" i="3" s="1"/>
  <c r="P187" i="3"/>
  <c r="O187" i="3"/>
  <c r="M187" i="3"/>
  <c r="P186" i="3"/>
  <c r="M186" i="3"/>
  <c r="O186" i="3" s="1"/>
  <c r="P185" i="3"/>
  <c r="O185" i="3"/>
  <c r="M185" i="3"/>
  <c r="P184" i="3"/>
  <c r="M184" i="3"/>
  <c r="O184" i="3" s="1"/>
  <c r="P183" i="3"/>
  <c r="M183" i="3"/>
  <c r="O183" i="3" s="1"/>
  <c r="P182" i="3"/>
  <c r="M182" i="3"/>
  <c r="O182" i="3" s="1"/>
  <c r="P181" i="3"/>
  <c r="M181" i="3"/>
  <c r="O181" i="3" s="1"/>
  <c r="P180" i="3"/>
  <c r="M180" i="3"/>
  <c r="O180" i="3" s="1"/>
  <c r="P179" i="3"/>
  <c r="O179" i="3"/>
  <c r="M179" i="3"/>
  <c r="P178" i="3"/>
  <c r="M178" i="3"/>
  <c r="O178" i="3" s="1"/>
  <c r="P177" i="3"/>
  <c r="O177" i="3"/>
  <c r="M177" i="3"/>
  <c r="P176" i="3"/>
  <c r="M176" i="3"/>
  <c r="O176" i="3" s="1"/>
  <c r="P175" i="3"/>
  <c r="M175" i="3"/>
  <c r="O175" i="3" s="1"/>
  <c r="P174" i="3"/>
  <c r="M174" i="3"/>
  <c r="O174" i="3" s="1"/>
  <c r="P173" i="3"/>
  <c r="M173" i="3"/>
  <c r="O173" i="3" s="1"/>
  <c r="P172" i="3"/>
  <c r="M172" i="3"/>
  <c r="O172" i="3" s="1"/>
  <c r="P171" i="3"/>
  <c r="O171" i="3"/>
  <c r="M171" i="3"/>
  <c r="P170" i="3"/>
  <c r="M170" i="3"/>
  <c r="O170" i="3" s="1"/>
  <c r="P169" i="3"/>
  <c r="O169" i="3"/>
  <c r="M169" i="3"/>
  <c r="O168" i="3"/>
  <c r="K167" i="3"/>
  <c r="P166" i="3"/>
  <c r="M166" i="3"/>
  <c r="O166" i="3" s="1"/>
  <c r="P165" i="3"/>
  <c r="O165" i="3"/>
  <c r="M165" i="3"/>
  <c r="L164" i="3"/>
  <c r="P164" i="3" s="1"/>
  <c r="P163" i="3"/>
  <c r="M163" i="3"/>
  <c r="O163" i="3" s="1"/>
  <c r="P162" i="3"/>
  <c r="M162" i="3"/>
  <c r="O162" i="3" s="1"/>
  <c r="P161" i="3"/>
  <c r="M161" i="3"/>
  <c r="O161" i="3" s="1"/>
  <c r="P160" i="3"/>
  <c r="O160" i="3"/>
  <c r="M160" i="3"/>
  <c r="P159" i="3"/>
  <c r="M159" i="3"/>
  <c r="O159" i="3" s="1"/>
  <c r="P158" i="3"/>
  <c r="M158" i="3"/>
  <c r="O158" i="3" s="1"/>
  <c r="P157" i="3"/>
  <c r="O157" i="3"/>
  <c r="M157" i="3"/>
  <c r="P156" i="3"/>
  <c r="M156" i="3"/>
  <c r="O156" i="3" s="1"/>
  <c r="P155" i="3"/>
  <c r="M155" i="3"/>
  <c r="O155" i="3" s="1"/>
  <c r="L154" i="3"/>
  <c r="P154" i="3" s="1"/>
  <c r="P153" i="3"/>
  <c r="M153" i="3"/>
  <c r="O153" i="3" s="1"/>
  <c r="P152" i="3"/>
  <c r="M152" i="3"/>
  <c r="O152" i="3" s="1"/>
  <c r="P151" i="3"/>
  <c r="M151" i="3"/>
  <c r="O151" i="3" s="1"/>
  <c r="P150" i="3"/>
  <c r="M150" i="3"/>
  <c r="O150" i="3" s="1"/>
  <c r="P149" i="3"/>
  <c r="M149" i="3"/>
  <c r="O149" i="3" s="1"/>
  <c r="P148" i="3"/>
  <c r="O148" i="3"/>
  <c r="M148" i="3"/>
  <c r="P147" i="3"/>
  <c r="O147" i="3"/>
  <c r="M147" i="3"/>
  <c r="P146" i="3"/>
  <c r="N146" i="3"/>
  <c r="M146" i="3"/>
  <c r="P145" i="3"/>
  <c r="M145" i="3"/>
  <c r="O145" i="3" s="1"/>
  <c r="P144" i="3"/>
  <c r="N144" i="3"/>
  <c r="M144" i="3"/>
  <c r="P143" i="3"/>
  <c r="M143" i="3"/>
  <c r="O143" i="3" s="1"/>
  <c r="P142" i="3"/>
  <c r="M142" i="3"/>
  <c r="O142" i="3" s="1"/>
  <c r="P141" i="3"/>
  <c r="O141" i="3"/>
  <c r="M141" i="3"/>
  <c r="P140" i="3"/>
  <c r="N140" i="3"/>
  <c r="M140" i="3"/>
  <c r="P139" i="3"/>
  <c r="N139" i="3"/>
  <c r="M139" i="3"/>
  <c r="P138" i="3"/>
  <c r="M138" i="3"/>
  <c r="O138" i="3" s="1"/>
  <c r="P137" i="3"/>
  <c r="M137" i="3"/>
  <c r="O137" i="3" s="1"/>
  <c r="P136" i="3"/>
  <c r="M136" i="3"/>
  <c r="O136" i="3" s="1"/>
  <c r="P135" i="3"/>
  <c r="O135" i="3"/>
  <c r="P134" i="3"/>
  <c r="M134" i="3"/>
  <c r="O134" i="3" s="1"/>
  <c r="P133" i="3"/>
  <c r="O133" i="3"/>
  <c r="M133" i="3"/>
  <c r="P132" i="3"/>
  <c r="M132" i="3"/>
  <c r="O132" i="3" s="1"/>
  <c r="P131" i="3"/>
  <c r="M131" i="3"/>
  <c r="O131" i="3" s="1"/>
  <c r="L130" i="3"/>
  <c r="K130" i="3"/>
  <c r="P130" i="3" s="1"/>
  <c r="P129" i="3"/>
  <c r="M129" i="3"/>
  <c r="O129" i="3" s="1"/>
  <c r="P128" i="3"/>
  <c r="M128" i="3"/>
  <c r="O128" i="3" s="1"/>
  <c r="P127" i="3"/>
  <c r="M127" i="3"/>
  <c r="O127" i="3" s="1"/>
  <c r="P126" i="3"/>
  <c r="M126" i="3"/>
  <c r="O126" i="3" s="1"/>
  <c r="P125" i="3"/>
  <c r="M125" i="3"/>
  <c r="O125" i="3" s="1"/>
  <c r="P124" i="3"/>
  <c r="M124" i="3"/>
  <c r="O124" i="3" s="1"/>
  <c r="P123" i="3"/>
  <c r="O123" i="3"/>
  <c r="M123" i="3"/>
  <c r="P122" i="3"/>
  <c r="M122" i="3"/>
  <c r="O122" i="3" s="1"/>
  <c r="P121" i="3"/>
  <c r="M121" i="3"/>
  <c r="O121" i="3" s="1"/>
  <c r="P120" i="3"/>
  <c r="M120" i="3"/>
  <c r="O120" i="3" s="1"/>
  <c r="P119" i="3"/>
  <c r="M119" i="3"/>
  <c r="O119" i="3" s="1"/>
  <c r="P118" i="3"/>
  <c r="M118" i="3"/>
  <c r="O118" i="3" s="1"/>
  <c r="P117" i="3"/>
  <c r="M117" i="3"/>
  <c r="O117" i="3" s="1"/>
  <c r="P116" i="3"/>
  <c r="M116" i="3"/>
  <c r="O116" i="3" s="1"/>
  <c r="P115" i="3"/>
  <c r="O115" i="3"/>
  <c r="M115" i="3"/>
  <c r="P114" i="3"/>
  <c r="M114" i="3"/>
  <c r="O114" i="3" s="1"/>
  <c r="P113" i="3"/>
  <c r="M113" i="3"/>
  <c r="O113" i="3" s="1"/>
  <c r="P112" i="3"/>
  <c r="M112" i="3"/>
  <c r="O112" i="3" s="1"/>
  <c r="P111" i="3"/>
  <c r="M111" i="3"/>
  <c r="O111" i="3" s="1"/>
  <c r="P110" i="3"/>
  <c r="M110" i="3"/>
  <c r="O110" i="3" s="1"/>
  <c r="P109" i="3"/>
  <c r="M109" i="3"/>
  <c r="O109" i="3" s="1"/>
  <c r="P108" i="3"/>
  <c r="M108" i="3"/>
  <c r="O108" i="3" s="1"/>
  <c r="P107" i="3"/>
  <c r="O107" i="3"/>
  <c r="M107" i="3"/>
  <c r="L105" i="3"/>
  <c r="K105" i="3"/>
  <c r="P105" i="3" s="1"/>
  <c r="P104" i="3"/>
  <c r="M104" i="3"/>
  <c r="O104" i="3" s="1"/>
  <c r="P103" i="3"/>
  <c r="M103" i="3"/>
  <c r="O103" i="3" s="1"/>
  <c r="P102" i="3"/>
  <c r="M102" i="3"/>
  <c r="O102" i="3" s="1"/>
  <c r="P101" i="3"/>
  <c r="M101" i="3"/>
  <c r="O101" i="3" s="1"/>
  <c r="P100" i="3"/>
  <c r="O100" i="3"/>
  <c r="M100" i="3"/>
  <c r="P99" i="3"/>
  <c r="M99" i="3"/>
  <c r="O99" i="3" s="1"/>
  <c r="P98" i="3"/>
  <c r="M98" i="3"/>
  <c r="O98" i="3" s="1"/>
  <c r="P97" i="3"/>
  <c r="M97" i="3"/>
  <c r="O97" i="3" s="1"/>
  <c r="M96" i="3"/>
  <c r="O96" i="3" s="1"/>
  <c r="P95" i="3"/>
  <c r="M95" i="3"/>
  <c r="O95" i="3" s="1"/>
  <c r="P94" i="3"/>
  <c r="N94" i="3"/>
  <c r="M94" i="3"/>
  <c r="O94" i="3" s="1"/>
  <c r="P93" i="3"/>
  <c r="O93" i="3"/>
  <c r="M93" i="3"/>
  <c r="P92" i="3"/>
  <c r="M92" i="3"/>
  <c r="O92" i="3" s="1"/>
  <c r="P91" i="3"/>
  <c r="M91" i="3"/>
  <c r="O91" i="3" s="1"/>
  <c r="P90" i="3"/>
  <c r="M90" i="3"/>
  <c r="O90" i="3" s="1"/>
  <c r="P89" i="3"/>
  <c r="M89" i="3"/>
  <c r="O89" i="3" s="1"/>
  <c r="P88" i="3"/>
  <c r="M88" i="3"/>
  <c r="O88" i="3" s="1"/>
  <c r="P87" i="3"/>
  <c r="M87" i="3"/>
  <c r="O87" i="3" s="1"/>
  <c r="P86" i="3"/>
  <c r="M86" i="3"/>
  <c r="O86" i="3" s="1"/>
  <c r="P85" i="3"/>
  <c r="O85" i="3"/>
  <c r="M85" i="3"/>
  <c r="P84" i="3"/>
  <c r="M84" i="3"/>
  <c r="O84" i="3" s="1"/>
  <c r="P83" i="3"/>
  <c r="M83" i="3"/>
  <c r="P82" i="3"/>
  <c r="M82" i="3"/>
  <c r="O82" i="3" s="1"/>
  <c r="P81" i="3"/>
  <c r="M81" i="3"/>
  <c r="O81" i="3" s="1"/>
  <c r="P80" i="3"/>
  <c r="M80" i="3"/>
  <c r="O80" i="3" s="1"/>
  <c r="L79" i="3"/>
  <c r="K79" i="3"/>
  <c r="P79" i="3" s="1"/>
  <c r="P78" i="3"/>
  <c r="M78" i="3"/>
  <c r="O78" i="3" s="1"/>
  <c r="P77" i="3"/>
  <c r="M77" i="3"/>
  <c r="O77" i="3" s="1"/>
  <c r="P76" i="3"/>
  <c r="M76" i="3"/>
  <c r="O76" i="3" s="1"/>
  <c r="P75" i="3"/>
  <c r="M75" i="3"/>
  <c r="O75" i="3" s="1"/>
  <c r="P74" i="3"/>
  <c r="M74" i="3"/>
  <c r="O74" i="3" s="1"/>
  <c r="P73" i="3"/>
  <c r="N73" i="3"/>
  <c r="M73" i="3"/>
  <c r="O73" i="3" s="1"/>
  <c r="N72" i="3"/>
  <c r="L72" i="3"/>
  <c r="P72" i="3" s="1"/>
  <c r="P71" i="3"/>
  <c r="M71" i="3"/>
  <c r="O71" i="3" s="1"/>
  <c r="P70" i="3"/>
  <c r="M70" i="3"/>
  <c r="O70" i="3" s="1"/>
  <c r="P69" i="3"/>
  <c r="O69" i="3"/>
  <c r="M69" i="3"/>
  <c r="M68" i="3"/>
  <c r="O68" i="3" s="1"/>
  <c r="P67" i="3"/>
  <c r="M67" i="3"/>
  <c r="O67" i="3" s="1"/>
  <c r="P66" i="3"/>
  <c r="M66" i="3"/>
  <c r="O66" i="3" s="1"/>
  <c r="P65" i="3"/>
  <c r="N65" i="3"/>
  <c r="M65" i="3"/>
  <c r="O65" i="3" s="1"/>
  <c r="P64" i="3"/>
  <c r="M64" i="3"/>
  <c r="O64" i="3" s="1"/>
  <c r="P63" i="3"/>
  <c r="M63" i="3"/>
  <c r="O63" i="3" s="1"/>
  <c r="P62" i="3"/>
  <c r="M62" i="3"/>
  <c r="O62" i="3" s="1"/>
  <c r="P61" i="3"/>
  <c r="O61" i="3"/>
  <c r="M61" i="3"/>
  <c r="P60" i="3"/>
  <c r="M60" i="3"/>
  <c r="O60" i="3" s="1"/>
  <c r="K59" i="3"/>
  <c r="P58" i="3"/>
  <c r="M58" i="3"/>
  <c r="O58" i="3" s="1"/>
  <c r="P57" i="3"/>
  <c r="M57" i="3"/>
  <c r="O57" i="3" s="1"/>
  <c r="P56" i="3"/>
  <c r="M56" i="3"/>
  <c r="O56" i="3" s="1"/>
  <c r="P55" i="3"/>
  <c r="M55" i="3"/>
  <c r="O55" i="3" s="1"/>
  <c r="P54" i="3"/>
  <c r="M54" i="3"/>
  <c r="O54" i="3" s="1"/>
  <c r="P53" i="3"/>
  <c r="M53" i="3"/>
  <c r="O53" i="3" s="1"/>
  <c r="P52" i="3"/>
  <c r="O52" i="3"/>
  <c r="M52" i="3"/>
  <c r="P51" i="3"/>
  <c r="O51" i="3"/>
  <c r="M51" i="3"/>
  <c r="P50" i="3"/>
  <c r="M50" i="3"/>
  <c r="O50" i="3" s="1"/>
  <c r="L49" i="3"/>
  <c r="P49" i="3" s="1"/>
  <c r="P48" i="3"/>
  <c r="M48" i="3"/>
  <c r="O48" i="3" s="1"/>
  <c r="P47" i="3"/>
  <c r="N47" i="3"/>
  <c r="M47" i="3"/>
  <c r="L46" i="3"/>
  <c r="K46" i="3"/>
  <c r="P46" i="3" s="1"/>
  <c r="P45" i="3"/>
  <c r="N45" i="3"/>
  <c r="M45" i="3"/>
  <c r="O45" i="3" s="1"/>
  <c r="P44" i="3"/>
  <c r="N44" i="3"/>
  <c r="M44" i="3"/>
  <c r="P43" i="3"/>
  <c r="N43" i="3"/>
  <c r="M43" i="3"/>
  <c r="O43" i="3" s="1"/>
  <c r="P42" i="3"/>
  <c r="M42" i="3"/>
  <c r="O42" i="3" s="1"/>
  <c r="P41" i="3"/>
  <c r="O41" i="3"/>
  <c r="M41" i="3"/>
  <c r="P40" i="3"/>
  <c r="M40" i="3"/>
  <c r="L38" i="3"/>
  <c r="K38" i="3"/>
  <c r="P37" i="3"/>
  <c r="M37" i="3"/>
  <c r="O37" i="3" s="1"/>
  <c r="P36" i="3"/>
  <c r="N36" i="3"/>
  <c r="M36" i="3"/>
  <c r="O36" i="3" s="1"/>
  <c r="P35" i="3"/>
  <c r="O35" i="3"/>
  <c r="M35" i="3"/>
  <c r="P34" i="3"/>
  <c r="M34" i="3"/>
  <c r="O34" i="3" s="1"/>
  <c r="P33" i="3"/>
  <c r="M33" i="3"/>
  <c r="O33" i="3" s="1"/>
  <c r="P32" i="3"/>
  <c r="M32" i="3"/>
  <c r="O32" i="3" s="1"/>
  <c r="P31" i="3"/>
  <c r="M31" i="3"/>
  <c r="O31" i="3" s="1"/>
  <c r="P30" i="3"/>
  <c r="M30" i="3"/>
  <c r="L29" i="3"/>
  <c r="K29" i="3"/>
  <c r="P29" i="3" s="1"/>
  <c r="P28" i="3"/>
  <c r="M28" i="3"/>
  <c r="O28" i="3" s="1"/>
  <c r="P27" i="3"/>
  <c r="M27" i="3"/>
  <c r="O27" i="3" s="1"/>
  <c r="P26" i="3"/>
  <c r="M26" i="3"/>
  <c r="O26" i="3" s="1"/>
  <c r="P25" i="3"/>
  <c r="M25" i="3"/>
  <c r="O25" i="3" s="1"/>
  <c r="P24" i="3"/>
  <c r="O24" i="3"/>
  <c r="N24" i="3"/>
  <c r="M24" i="3"/>
  <c r="P23" i="3"/>
  <c r="O23" i="3"/>
  <c r="M23" i="3"/>
  <c r="P22" i="3"/>
  <c r="M22" i="3"/>
  <c r="M29" i="3" s="1"/>
  <c r="O29" i="3" s="1"/>
  <c r="P21" i="3"/>
  <c r="M21" i="3"/>
  <c r="O21" i="3" s="1"/>
  <c r="L20" i="3"/>
  <c r="K20" i="3"/>
  <c r="P20" i="3" s="1"/>
  <c r="P19" i="3"/>
  <c r="M19" i="3"/>
  <c r="O19" i="3" s="1"/>
  <c r="P18" i="3"/>
  <c r="M18" i="3"/>
  <c r="O18" i="3" s="1"/>
  <c r="P17" i="3"/>
  <c r="M17" i="3"/>
  <c r="O17" i="3" s="1"/>
  <c r="P16" i="3"/>
  <c r="M16" i="3"/>
  <c r="L15" i="3"/>
  <c r="K15" i="3"/>
  <c r="P14" i="3"/>
  <c r="M14" i="3"/>
  <c r="O14" i="3" s="1"/>
  <c r="P13" i="3"/>
  <c r="M13" i="3"/>
  <c r="O13" i="3" s="1"/>
  <c r="P12" i="3"/>
  <c r="M12" i="3"/>
  <c r="O12" i="3" s="1"/>
  <c r="O11" i="3"/>
  <c r="P10" i="3"/>
  <c r="M10" i="3"/>
  <c r="O10" i="3" s="1"/>
  <c r="P9" i="3"/>
  <c r="M9" i="3"/>
  <c r="O9" i="3" s="1"/>
  <c r="P8" i="3"/>
  <c r="M8" i="3"/>
  <c r="O8" i="3" s="1"/>
  <c r="P7" i="3"/>
  <c r="M7" i="3"/>
  <c r="O7" i="3" s="1"/>
  <c r="P6" i="3"/>
  <c r="N6" i="3"/>
  <c r="N15" i="3" s="1"/>
  <c r="M6" i="3"/>
  <c r="P5" i="3"/>
  <c r="M5" i="3"/>
  <c r="O5" i="3" s="1"/>
  <c r="P4" i="3"/>
  <c r="M4" i="3"/>
  <c r="O4" i="3" s="1"/>
  <c r="P3" i="3"/>
  <c r="M3" i="3"/>
  <c r="O3" i="3" s="1"/>
  <c r="M2" i="3"/>
  <c r="O2" i="3" s="1"/>
  <c r="M24" i="2"/>
  <c r="I24" i="2"/>
  <c r="C86" i="1"/>
  <c r="C85" i="1"/>
  <c r="F82" i="1"/>
  <c r="G80" i="1"/>
  <c r="D65" i="1"/>
  <c r="L61" i="1"/>
  <c r="E58" i="1"/>
  <c r="F58" i="1" s="1"/>
  <c r="D55" i="1"/>
  <c r="G54" i="1"/>
  <c r="D54" i="1"/>
  <c r="D56" i="1" s="1"/>
  <c r="G49" i="1"/>
  <c r="F46" i="1"/>
  <c r="H46" i="1" s="1"/>
  <c r="K42" i="1"/>
  <c r="F42" i="1"/>
  <c r="F41" i="1"/>
  <c r="F43" i="1" s="1"/>
  <c r="G43" i="1" s="1"/>
  <c r="K38" i="1"/>
  <c r="F38" i="1"/>
  <c r="F37" i="1"/>
  <c r="F39" i="1" s="1"/>
  <c r="K34" i="1"/>
  <c r="F34" i="1"/>
  <c r="F29" i="1"/>
  <c r="L27" i="1"/>
  <c r="F27" i="1"/>
  <c r="H27" i="1" s="1"/>
  <c r="C25" i="1"/>
  <c r="F24" i="1"/>
  <c r="C24" i="1"/>
  <c r="E23" i="1"/>
  <c r="E22" i="1"/>
  <c r="I20" i="1"/>
  <c r="E20" i="1"/>
  <c r="F20" i="1" s="1"/>
  <c r="H20" i="1" s="1"/>
  <c r="J20" i="1" s="1"/>
  <c r="I18" i="1"/>
  <c r="F18" i="1"/>
  <c r="H18" i="1" s="1"/>
  <c r="J18" i="1" s="1"/>
  <c r="E18" i="1"/>
  <c r="L17" i="1"/>
  <c r="I16" i="1"/>
  <c r="E16" i="1"/>
  <c r="F16" i="1" s="1"/>
  <c r="H16" i="1" s="1"/>
  <c r="J16" i="1" s="1"/>
  <c r="I14" i="1"/>
  <c r="E14" i="1"/>
  <c r="F14" i="1" s="1"/>
  <c r="H14" i="1" s="1"/>
  <c r="J14" i="1" s="1"/>
  <c r="I12" i="1"/>
  <c r="F12" i="1"/>
  <c r="H12" i="1" s="1"/>
  <c r="J12" i="1" s="1"/>
  <c r="E12" i="1"/>
  <c r="I11" i="1"/>
  <c r="E11" i="1"/>
  <c r="F11" i="1" s="1"/>
  <c r="H11" i="1" s="1"/>
  <c r="J11" i="1" s="1"/>
  <c r="K9" i="1"/>
  <c r="N8" i="1"/>
  <c r="G7" i="1"/>
  <c r="G10" i="1" s="1"/>
  <c r="F7" i="1"/>
  <c r="G6" i="1"/>
  <c r="F6" i="1"/>
  <c r="G5" i="1"/>
  <c r="F5" i="1"/>
  <c r="M4" i="1"/>
  <c r="M6" i="1" s="1"/>
  <c r="M8" i="1" s="1"/>
  <c r="I3" i="1"/>
  <c r="E3" i="1"/>
  <c r="F3" i="1" s="1"/>
  <c r="H3" i="1" s="1"/>
  <c r="J3" i="1" s="1"/>
  <c r="H2" i="1"/>
  <c r="D2" i="1"/>
  <c r="E2" i="1" s="1"/>
  <c r="G2" i="1" s="1"/>
  <c r="I2" i="1" s="1"/>
  <c r="P15" i="3" l="1"/>
  <c r="M46" i="3"/>
  <c r="O46" i="3" s="1"/>
  <c r="O140" i="3"/>
  <c r="O146" i="3"/>
  <c r="M164" i="3"/>
  <c r="O164" i="3" s="1"/>
  <c r="M303" i="3"/>
  <c r="O303" i="3" s="1"/>
  <c r="M387" i="3"/>
  <c r="O387" i="3" s="1"/>
  <c r="M409" i="3"/>
  <c r="O409" i="3" s="1"/>
  <c r="M490" i="3"/>
  <c r="O490" i="3" s="1"/>
  <c r="P517" i="3"/>
  <c r="M521" i="3"/>
  <c r="M524" i="3"/>
  <c r="M585" i="3"/>
  <c r="P648" i="3"/>
  <c r="M698" i="3"/>
  <c r="M709" i="3"/>
  <c r="N722" i="3" s="1"/>
  <c r="M748" i="3"/>
  <c r="M776" i="3"/>
  <c r="M804" i="3"/>
  <c r="L854" i="3"/>
  <c r="M854" i="3" s="1"/>
  <c r="P836" i="3"/>
  <c r="M838" i="3"/>
  <c r="M874" i="3"/>
  <c r="M878" i="3"/>
  <c r="M888" i="3"/>
  <c r="M893" i="3"/>
  <c r="M20" i="3"/>
  <c r="M38" i="3"/>
  <c r="M105" i="3"/>
  <c r="O139" i="3"/>
  <c r="M318" i="3"/>
  <c r="O318" i="3" s="1"/>
  <c r="M392" i="3"/>
  <c r="O392" i="3" s="1"/>
  <c r="M402" i="3"/>
  <c r="O402" i="3" s="1"/>
  <c r="M408" i="3"/>
  <c r="O408" i="3" s="1"/>
  <c r="M421" i="3"/>
  <c r="O421" i="3" s="1"/>
  <c r="M523" i="3"/>
  <c r="M566" i="3"/>
  <c r="O625" i="3"/>
  <c r="O726" i="3"/>
  <c r="O6" i="3"/>
  <c r="O30" i="3"/>
  <c r="P38" i="3"/>
  <c r="O44" i="3"/>
  <c r="O47" i="3"/>
  <c r="M72" i="3"/>
  <c r="O72" i="3" s="1"/>
  <c r="O144" i="3"/>
  <c r="P250" i="3"/>
  <c r="K800" i="3"/>
  <c r="Q800" i="3" s="1"/>
  <c r="O456" i="3"/>
  <c r="M489" i="3"/>
  <c r="O489" i="3" s="1"/>
  <c r="P516" i="3"/>
  <c r="N653" i="3"/>
  <c r="L722" i="3"/>
  <c r="P722" i="3" s="1"/>
  <c r="O710" i="3"/>
  <c r="L59" i="3"/>
  <c r="P59" i="3" s="1"/>
  <c r="M15" i="3"/>
  <c r="O15" i="3" s="1"/>
  <c r="O22" i="3"/>
  <c r="M49" i="3"/>
  <c r="O49" i="3" s="1"/>
  <c r="M79" i="3"/>
  <c r="O83" i="3"/>
  <c r="M130" i="3"/>
  <c r="O130" i="3" s="1"/>
  <c r="M154" i="3"/>
  <c r="O154" i="3" s="1"/>
  <c r="M211" i="3"/>
  <c r="O211" i="3" s="1"/>
  <c r="N801" i="3"/>
  <c r="M167" i="3"/>
  <c r="O167" i="3" s="1"/>
  <c r="P316" i="3"/>
  <c r="L321" i="3"/>
  <c r="M316" i="3"/>
  <c r="O316" i="3" s="1"/>
  <c r="P394" i="3"/>
  <c r="M394" i="3"/>
  <c r="O394" i="3" s="1"/>
  <c r="P412" i="3"/>
  <c r="M412" i="3"/>
  <c r="O412" i="3" s="1"/>
  <c r="O16" i="3"/>
  <c r="L167" i="3"/>
  <c r="P167" i="3" s="1"/>
  <c r="P211" i="3"/>
  <c r="L380" i="3"/>
  <c r="M380" i="3" s="1"/>
  <c r="O380" i="3" s="1"/>
  <c r="P366" i="3"/>
  <c r="L435" i="3"/>
  <c r="M386" i="3"/>
  <c r="O386" i="3" s="1"/>
  <c r="L479" i="3"/>
  <c r="M479" i="3" s="1"/>
  <c r="O479" i="3" s="1"/>
  <c r="P438" i="3"/>
  <c r="M438" i="3"/>
  <c r="O438" i="3" s="1"/>
  <c r="P633" i="3"/>
  <c r="L680" i="3"/>
  <c r="M680" i="3" s="1"/>
  <c r="M633" i="3"/>
  <c r="P667" i="3"/>
  <c r="M667" i="3"/>
  <c r="P680" i="3"/>
  <c r="P899" i="3"/>
  <c r="M899" i="3"/>
  <c r="O484" i="3"/>
  <c r="O244" i="3"/>
  <c r="M321" i="3"/>
  <c r="O321" i="3" s="1"/>
  <c r="O372" i="3"/>
  <c r="O378" i="3"/>
  <c r="P411" i="3"/>
  <c r="M411" i="3"/>
  <c r="O411" i="3" s="1"/>
  <c r="P463" i="3"/>
  <c r="M463" i="3"/>
  <c r="O463" i="3" s="1"/>
  <c r="M473" i="3"/>
  <c r="O473" i="3" s="1"/>
  <c r="P473" i="3"/>
  <c r="P547" i="3"/>
  <c r="M547" i="3"/>
  <c r="L582" i="3"/>
  <c r="P582" i="3" s="1"/>
  <c r="P854" i="3"/>
  <c r="P286" i="3"/>
  <c r="P321" i="3"/>
  <c r="P589" i="3"/>
  <c r="M589" i="3"/>
  <c r="P622" i="3"/>
  <c r="M622" i="3"/>
  <c r="M722" i="3"/>
  <c r="S857" i="3"/>
  <c r="P875" i="3"/>
  <c r="M875" i="3"/>
  <c r="H3" i="6"/>
  <c r="I50" i="10"/>
  <c r="P499" i="3"/>
  <c r="M499" i="3"/>
  <c r="P530" i="3"/>
  <c r="M530" i="3"/>
  <c r="P578" i="3"/>
  <c r="M578" i="3"/>
  <c r="O578" i="3" s="1"/>
  <c r="P643" i="3"/>
  <c r="M643" i="3"/>
  <c r="P649" i="3"/>
  <c r="M649" i="3"/>
  <c r="L756" i="3"/>
  <c r="M756" i="3" s="1"/>
  <c r="P725" i="3"/>
  <c r="M725" i="3"/>
  <c r="P727" i="3"/>
  <c r="M727" i="3"/>
  <c r="P816" i="3"/>
  <c r="M816" i="3"/>
  <c r="P842" i="3"/>
  <c r="M842" i="3"/>
  <c r="P880" i="3"/>
  <c r="M880" i="3"/>
  <c r="M286" i="3"/>
  <c r="L536" i="3"/>
  <c r="P536" i="3" s="1"/>
  <c r="P579" i="3"/>
  <c r="M579" i="3"/>
  <c r="P619" i="3"/>
  <c r="M619" i="3"/>
  <c r="P629" i="3"/>
  <c r="M629" i="3"/>
  <c r="P742" i="3"/>
  <c r="M742" i="3"/>
  <c r="P762" i="3"/>
  <c r="L799" i="3"/>
  <c r="P799" i="3" s="1"/>
  <c r="M762" i="3"/>
  <c r="P849" i="3"/>
  <c r="M849" i="3"/>
  <c r="L911" i="3"/>
  <c r="M911" i="3" s="1"/>
  <c r="I6" i="5"/>
  <c r="K6" i="5" s="1"/>
  <c r="H42" i="11"/>
  <c r="P585" i="3"/>
  <c r="P652" i="3"/>
  <c r="P686" i="3"/>
  <c r="M660" i="3"/>
  <c r="M669" i="3"/>
  <c r="M537" i="3" l="1"/>
  <c r="M59" i="3"/>
  <c r="M536" i="3"/>
  <c r="P756" i="3"/>
  <c r="L800" i="3"/>
  <c r="P800" i="3" s="1"/>
  <c r="P479" i="3"/>
  <c r="M582" i="3"/>
  <c r="P911" i="3"/>
  <c r="M799" i="3"/>
  <c r="O286" i="3"/>
  <c r="N583" i="3"/>
  <c r="P380" i="3"/>
  <c r="M435" i="3"/>
  <c r="M800" i="3" s="1"/>
  <c r="P435" i="3"/>
  <c r="N68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Ali Kalwar</author>
  </authors>
  <commentList>
    <comment ref="I246" authorId="0" shapeId="0" xr:uid="{00000000-0006-0000-0200-000001000000}">
      <text>
        <r>
          <rPr>
            <sz val="11"/>
            <color theme="1"/>
            <rFont val="Calibri"/>
            <family val="2"/>
            <scheme val="minor"/>
          </rPr>
          <t>Ali Kalwar:
Orderd 3 extra</t>
        </r>
      </text>
    </comment>
    <comment ref="I299" authorId="0" shapeId="0" xr:uid="{00000000-0006-0000-0200-000002000000}">
      <text>
        <r>
          <rPr>
            <sz val="11"/>
            <color theme="1"/>
            <rFont val="Calibri"/>
            <family val="2"/>
            <scheme val="minor"/>
          </rPr>
          <t>Ali Kalwar:
Includes 5 from -4600</t>
        </r>
      </text>
    </comment>
    <comment ref="I306" authorId="0" shapeId="0" xr:uid="{00000000-0006-0000-0200-000003000000}">
      <text>
        <r>
          <rPr>
            <sz val="11"/>
            <color theme="1"/>
            <rFont val="Calibri"/>
            <family val="2"/>
            <scheme val="minor"/>
          </rPr>
          <t>Ali Kalwar:
Orderd 20, 4 exttra</t>
        </r>
      </text>
    </comment>
    <comment ref="I310" authorId="0" shapeId="0" xr:uid="{00000000-0006-0000-0200-000004000000}">
      <text>
        <r>
          <rPr>
            <sz val="11"/>
            <color theme="1"/>
            <rFont val="Calibri"/>
            <family val="2"/>
            <scheme val="minor"/>
          </rPr>
          <t>Ali Kalwar:
Orderd 50, 1 extra</t>
        </r>
      </text>
    </comment>
    <comment ref="I312" authorId="0" shapeId="0" xr:uid="{00000000-0006-0000-0200-000005000000}">
      <text>
        <r>
          <rPr>
            <sz val="11"/>
            <color theme="1"/>
            <rFont val="Calibri"/>
            <family val="2"/>
            <scheme val="minor"/>
          </rPr>
          <t>Ali Kalwar:
Orderd 10, 2 extra</t>
        </r>
      </text>
    </comment>
    <comment ref="I317" authorId="0" shapeId="0" xr:uid="{00000000-0006-0000-0200-000006000000}">
      <text>
        <r>
          <rPr>
            <sz val="11"/>
            <color theme="1"/>
            <rFont val="Calibri"/>
            <family val="2"/>
            <scheme val="minor"/>
          </rPr>
          <t>Ali Kalwar:
Orderd 35, req 31
4 extra in stock</t>
        </r>
      </text>
    </comment>
    <comment ref="I328" authorId="0" shapeId="0" xr:uid="{00000000-0006-0000-0200-000007000000}">
      <text>
        <r>
          <rPr>
            <sz val="11"/>
            <color theme="1"/>
            <rFont val="Calibri"/>
            <family val="2"/>
            <scheme val="minor"/>
          </rPr>
          <t>Ali Kalwar:
Ordered 10, 1 extra</t>
        </r>
      </text>
    </comment>
    <comment ref="I330" authorId="0" shapeId="0" xr:uid="{00000000-0006-0000-0200-000008000000}">
      <text>
        <r>
          <rPr>
            <sz val="11"/>
            <color theme="1"/>
            <rFont val="Calibri"/>
            <family val="2"/>
            <scheme val="minor"/>
          </rPr>
          <t>Ali Kalwar:
Purchased from Mitchel</t>
        </r>
      </text>
    </comment>
    <comment ref="I341" authorId="0" shapeId="0" xr:uid="{00000000-0006-0000-0200-000009000000}">
      <text>
        <r>
          <rPr>
            <sz val="11"/>
            <color theme="1"/>
            <rFont val="Calibri"/>
            <family val="2"/>
            <scheme val="minor"/>
          </rPr>
          <t>Ali Kalwar:
Ordered 10, 2 in stock</t>
        </r>
      </text>
    </comment>
    <comment ref="F344" authorId="0" shapeId="0" xr:uid="{00000000-0006-0000-0200-00000A000000}">
      <text>
        <r>
          <rPr>
            <sz val="11"/>
            <color theme="1"/>
            <rFont val="Calibri"/>
            <family val="2"/>
            <scheme val="minor"/>
          </rPr>
          <t>Ali Kalwar:
Orderd10, 3 extra</t>
        </r>
      </text>
    </comment>
    <comment ref="I346" authorId="0" shapeId="0" xr:uid="{00000000-0006-0000-0200-00000B000000}">
      <text>
        <r>
          <rPr>
            <sz val="11"/>
            <color theme="1"/>
            <rFont val="Calibri"/>
            <family val="2"/>
            <scheme val="minor"/>
          </rPr>
          <t>Ali Kalwar:
Orderd 50, stock 3</t>
        </r>
      </text>
    </comment>
    <comment ref="I355" authorId="0" shapeId="0" xr:uid="{00000000-0006-0000-0200-00000C000000}">
      <text>
        <r>
          <rPr>
            <sz val="11"/>
            <color theme="1"/>
            <rFont val="Calibri"/>
            <family val="2"/>
            <scheme val="minor"/>
          </rPr>
          <t>Ali Kalwar:
Includes 5 from -4600</t>
        </r>
      </text>
    </comment>
    <comment ref="I356" authorId="0" shapeId="0" xr:uid="{00000000-0006-0000-0200-00000D000000}">
      <text>
        <r>
          <rPr>
            <sz val="11"/>
            <color theme="1"/>
            <rFont val="Calibri"/>
            <family val="2"/>
            <scheme val="minor"/>
          </rPr>
          <t>Ali Kalwar:
Orderd 5, 2 extra for stock</t>
        </r>
      </text>
    </comment>
    <comment ref="I361" authorId="0" shapeId="0" xr:uid="{00000000-0006-0000-0200-00000E000000}">
      <text>
        <r>
          <rPr>
            <sz val="11"/>
            <color theme="1"/>
            <rFont val="Calibri"/>
            <family val="2"/>
            <scheme val="minor"/>
          </rPr>
          <t>Ali Kalwar:
Orderd 100, 39 etra</t>
        </r>
      </text>
    </comment>
    <comment ref="I363" authorId="0" shapeId="0" xr:uid="{00000000-0006-0000-0200-00000F000000}">
      <text>
        <r>
          <rPr>
            <sz val="11"/>
            <color theme="1"/>
            <rFont val="Calibri"/>
            <family val="2"/>
            <scheme val="minor"/>
          </rPr>
          <t>Ali Kalwar:
Orderd qty 45, 20 for order</t>
        </r>
      </text>
    </comment>
    <comment ref="I367" authorId="0" shapeId="0" xr:uid="{00000000-0006-0000-0200-000010000000}">
      <text>
        <r>
          <rPr>
            <sz val="11"/>
            <color theme="1"/>
            <rFont val="Calibri"/>
            <family val="2"/>
            <scheme val="minor"/>
          </rPr>
          <t>Ali Kalwar:
Orderd 62</t>
        </r>
      </text>
    </comment>
    <comment ref="I369" authorId="0" shapeId="0" xr:uid="{00000000-0006-0000-0200-000011000000}">
      <text>
        <r>
          <rPr>
            <sz val="11"/>
            <color theme="1"/>
            <rFont val="Calibri"/>
            <family val="2"/>
            <scheme val="minor"/>
          </rPr>
          <t>Ali Kalwar:
Orderd 20, 1 extra</t>
        </r>
      </text>
    </comment>
    <comment ref="I385" authorId="0" shapeId="0" xr:uid="{00000000-0006-0000-0200-000012000000}">
      <text>
        <r>
          <rPr>
            <sz val="11"/>
            <color theme="1"/>
            <rFont val="Calibri"/>
            <family val="2"/>
            <scheme val="minor"/>
          </rPr>
          <t>Ali Kalwar:
Orderd 20, 1 extra</t>
        </r>
      </text>
    </comment>
    <comment ref="I393" authorId="0" shapeId="0" xr:uid="{00000000-0006-0000-0200-000013000000}">
      <text>
        <r>
          <rPr>
            <sz val="11"/>
            <color theme="1"/>
            <rFont val="Calibri"/>
            <family val="2"/>
            <scheme val="minor"/>
          </rPr>
          <t>Ali Kalwar:
Orderd 100, 35 extra</t>
        </r>
      </text>
    </comment>
    <comment ref="I395" authorId="0" shapeId="0" xr:uid="{00000000-0006-0000-0200-000014000000}">
      <text>
        <r>
          <rPr>
            <sz val="11"/>
            <color theme="1"/>
            <rFont val="Calibri"/>
            <family val="2"/>
            <scheme val="minor"/>
          </rPr>
          <t>Ali Kalwar:
Orderd 100</t>
        </r>
      </text>
    </comment>
    <comment ref="I396" authorId="0" shapeId="0" xr:uid="{00000000-0006-0000-0200-000015000000}">
      <text>
        <r>
          <rPr>
            <sz val="11"/>
            <color theme="1"/>
            <rFont val="Calibri"/>
            <family val="2"/>
            <scheme val="minor"/>
          </rPr>
          <t>Ali Kalwar:
orderd 62</t>
        </r>
      </text>
    </comment>
    <comment ref="I398" authorId="0" shapeId="0" xr:uid="{00000000-0006-0000-0200-000016000000}">
      <text>
        <r>
          <rPr>
            <sz val="11"/>
            <color theme="1"/>
            <rFont val="Calibri"/>
            <family val="2"/>
            <scheme val="minor"/>
          </rPr>
          <t>Ali Kalwar:
orderd 50</t>
        </r>
      </text>
    </comment>
    <comment ref="I422" authorId="0" shapeId="0" xr:uid="{00000000-0006-0000-0200-000017000000}">
      <text>
        <r>
          <rPr>
            <sz val="11"/>
            <color theme="1"/>
            <rFont val="Calibri"/>
            <family val="2"/>
            <scheme val="minor"/>
          </rPr>
          <t>Ali Kalwar:
Orderd 50, 14 extra</t>
        </r>
      </text>
    </comment>
    <comment ref="I430" authorId="0" shapeId="0" xr:uid="{00000000-0006-0000-0200-000018000000}">
      <text>
        <r>
          <rPr>
            <sz val="11"/>
            <color theme="1"/>
            <rFont val="Calibri"/>
            <family val="2"/>
            <scheme val="minor"/>
          </rPr>
          <t>Ali Kalwar:
Orderd 20, 7 for -7017</t>
        </r>
      </text>
    </comment>
    <comment ref="I431" authorId="0" shapeId="0" xr:uid="{00000000-0006-0000-0200-000019000000}">
      <text>
        <r>
          <rPr>
            <sz val="11"/>
            <color theme="1"/>
            <rFont val="Calibri"/>
            <family val="2"/>
            <scheme val="minor"/>
          </rPr>
          <t>Ali Kalwar:
Orderd 20, 7 for -7017</t>
        </r>
      </text>
    </comment>
    <comment ref="I433" authorId="0" shapeId="0" xr:uid="{00000000-0006-0000-0200-00001A000000}">
      <text>
        <r>
          <rPr>
            <sz val="11"/>
            <color theme="1"/>
            <rFont val="Calibri"/>
            <family val="2"/>
            <scheme val="minor"/>
          </rPr>
          <t>Ali Kalwar:
Orderd 20, 2 extra</t>
        </r>
      </text>
    </comment>
    <comment ref="I446" authorId="0" shapeId="0" xr:uid="{00000000-0006-0000-0200-00001B000000}">
      <text>
        <r>
          <rPr>
            <sz val="11"/>
            <color theme="1"/>
            <rFont val="Calibri"/>
            <family val="2"/>
            <scheme val="minor"/>
          </rPr>
          <t>Ali Kalwar:
orderd 20, extra 5</t>
        </r>
      </text>
    </comment>
    <comment ref="I447" authorId="0" shapeId="0" xr:uid="{00000000-0006-0000-0200-00001C000000}">
      <text>
        <r>
          <rPr>
            <sz val="11"/>
            <color theme="1"/>
            <rFont val="Calibri"/>
            <family val="2"/>
            <scheme val="minor"/>
          </rPr>
          <t>Ali Kalwar:
Orderd 20, 5 for stock</t>
        </r>
      </text>
    </comment>
    <comment ref="I449" authorId="0" shapeId="0" xr:uid="{00000000-0006-0000-0200-00001D000000}">
      <text>
        <r>
          <rPr>
            <sz val="11"/>
            <color theme="1"/>
            <rFont val="Calibri"/>
            <family val="2"/>
            <scheme val="minor"/>
          </rPr>
          <t>Ali Kalwar:
Orderd 45, 20 for -7931 in March</t>
        </r>
      </text>
    </comment>
    <comment ref="I450" authorId="0" shapeId="0" xr:uid="{00000000-0006-0000-0200-00001E000000}">
      <text>
        <r>
          <rPr>
            <sz val="11"/>
            <color theme="1"/>
            <rFont val="Calibri"/>
            <family val="2"/>
            <scheme val="minor"/>
          </rPr>
          <t>Ali Kalwar:
Orderd 50,14 for stock</t>
        </r>
      </text>
    </comment>
    <comment ref="I460" authorId="0" shapeId="0" xr:uid="{00000000-0006-0000-0200-00001F000000}">
      <text>
        <r>
          <rPr>
            <sz val="11"/>
            <color theme="1"/>
            <rFont val="Calibri"/>
            <family val="2"/>
            <scheme val="minor"/>
          </rPr>
          <t>Ali Kalwar:
Orderd 40, 12 and 12 for-1882, 16 for stock</t>
        </r>
      </text>
    </comment>
    <comment ref="I465" authorId="0" shapeId="0" xr:uid="{00000000-0006-0000-0200-000020000000}">
      <text>
        <r>
          <rPr>
            <sz val="11"/>
            <color theme="1"/>
            <rFont val="Calibri"/>
            <family val="2"/>
            <scheme val="minor"/>
          </rPr>
          <t>Ali Kalwar:
Orderd 50, 24 for stock</t>
        </r>
      </text>
    </comment>
    <comment ref="I475" authorId="0" shapeId="0" xr:uid="{00000000-0006-0000-0200-000021000000}">
      <text>
        <r>
          <rPr>
            <sz val="11"/>
            <color theme="1"/>
            <rFont val="Calibri"/>
            <family val="2"/>
            <scheme val="minor"/>
          </rPr>
          <t>Ali Kalwar:
Orderd 50, 1 for stock</t>
        </r>
      </text>
    </comment>
    <comment ref="I477" authorId="0" shapeId="0" xr:uid="{00000000-0006-0000-0200-000022000000}">
      <text>
        <r>
          <rPr>
            <sz val="11"/>
            <color theme="1"/>
            <rFont val="Calibri"/>
            <family val="2"/>
            <scheme val="minor"/>
          </rPr>
          <t>Ali Kalwar:
Orderd 50, 1 for stock</t>
        </r>
      </text>
    </comment>
    <comment ref="I486" authorId="0" shapeId="0" xr:uid="{00000000-0006-0000-0200-000023000000}">
      <text>
        <r>
          <rPr>
            <sz val="11"/>
            <color theme="1"/>
            <rFont val="Calibri"/>
            <family val="2"/>
            <scheme val="minor"/>
          </rPr>
          <t>Ali Kalwar:
Orderd 35, 1 for stock</t>
        </r>
      </text>
    </comment>
    <comment ref="I488" authorId="0" shapeId="0" xr:uid="{00000000-0006-0000-0200-000024000000}">
      <text>
        <r>
          <rPr>
            <sz val="11"/>
            <color theme="1"/>
            <rFont val="Calibri"/>
            <family val="2"/>
            <scheme val="minor"/>
          </rPr>
          <t>Ali Kalwar:
orderd 10, 5 for -6151 and 3 for stock</t>
        </r>
      </text>
    </comment>
    <comment ref="I492" authorId="0" shapeId="0" xr:uid="{00000000-0006-0000-0200-000025000000}">
      <text>
        <r>
          <rPr>
            <sz val="11"/>
            <color theme="1"/>
            <rFont val="Calibri"/>
            <family val="2"/>
            <scheme val="minor"/>
          </rPr>
          <t>Ali Kalwar:
Orderd 100, 10 for stock</t>
        </r>
      </text>
    </comment>
    <comment ref="I499" authorId="0" shapeId="0" xr:uid="{00000000-0006-0000-0200-000026000000}">
      <text>
        <r>
          <rPr>
            <sz val="11"/>
            <color theme="1"/>
            <rFont val="Calibri"/>
            <family val="2"/>
            <scheme val="minor"/>
          </rPr>
          <t>Ali Kalwar:
Orderd 7, 2 for</t>
        </r>
      </text>
    </comment>
    <comment ref="I504" authorId="0" shapeId="0" xr:uid="{00000000-0006-0000-0200-000027000000}">
      <text>
        <r>
          <rPr>
            <sz val="11"/>
            <color theme="1"/>
            <rFont val="Calibri"/>
            <family val="2"/>
            <scheme val="minor"/>
          </rPr>
          <t>Ali Kalwar:
Orderd 10, 2 for stock</t>
        </r>
      </text>
    </comment>
    <comment ref="K504" authorId="0" shapeId="0" xr:uid="{00000000-0006-0000-0200-000028000000}">
      <text>
        <r>
          <rPr>
            <sz val="11"/>
            <color theme="1"/>
            <rFont val="Calibri"/>
            <family val="2"/>
            <scheme val="minor"/>
          </rPr>
          <t>Ali Kalwar:
Orderd 10, 2for stock</t>
        </r>
      </text>
    </comment>
    <comment ref="I508" authorId="0" shapeId="0" xr:uid="{00000000-0006-0000-0200-000029000000}">
      <text>
        <r>
          <rPr>
            <sz val="11"/>
            <color theme="1"/>
            <rFont val="Calibri"/>
            <family val="2"/>
            <scheme val="minor"/>
          </rPr>
          <t>Ali Kalwar:
Orderd 50, 8 for stock</t>
        </r>
      </text>
    </comment>
    <comment ref="I512" authorId="0" shapeId="0" xr:uid="{00000000-0006-0000-0200-00002A000000}">
      <text>
        <r>
          <rPr>
            <sz val="11"/>
            <color theme="1"/>
            <rFont val="Calibri"/>
            <family val="2"/>
            <scheme val="minor"/>
          </rPr>
          <t>Ali Kalwar:
orderd 10</t>
        </r>
      </text>
    </comment>
    <comment ref="I517" authorId="0" shapeId="0" xr:uid="{00000000-0006-0000-0200-00002B000000}">
      <text>
        <r>
          <rPr>
            <sz val="11"/>
            <color theme="1"/>
            <rFont val="Calibri"/>
            <family val="2"/>
            <scheme val="minor"/>
          </rPr>
          <t>Ali Kalwar:
orderd 10, 5 for -6151 and 3 for stock</t>
        </r>
      </text>
    </comment>
    <comment ref="I524" authorId="0" shapeId="0" xr:uid="{00000000-0006-0000-0200-00002C000000}">
      <text>
        <r>
          <rPr>
            <sz val="11"/>
            <color theme="1"/>
            <rFont val="Calibri"/>
            <family val="2"/>
            <scheme val="minor"/>
          </rPr>
          <t>Ali Kalwar:
Orderd 7, 2 for</t>
        </r>
      </text>
    </comment>
    <comment ref="I547" authorId="0" shapeId="0" xr:uid="{00000000-0006-0000-0200-00002D000000}">
      <text>
        <r>
          <rPr>
            <sz val="11"/>
            <color theme="1"/>
            <rFont val="Calibri"/>
            <family val="2"/>
            <scheme val="minor"/>
          </rPr>
          <t>Ali Kalwar:
Orderd 20, 7for -9614 and 4 for stock.</t>
        </r>
      </text>
    </comment>
    <comment ref="I557" authorId="0" shapeId="0" xr:uid="{00000000-0006-0000-0200-00002E000000}">
      <text>
        <r>
          <rPr>
            <sz val="11"/>
            <color theme="1"/>
            <rFont val="Calibri"/>
            <family val="2"/>
            <scheme val="minor"/>
          </rPr>
          <t>Ali Kalwar:
Orderd 40, 12 and 1 for-1882, 16 for stock</t>
        </r>
      </text>
    </comment>
    <comment ref="I563" authorId="0" shapeId="0" xr:uid="{00000000-0006-0000-0200-00002F000000}">
      <text>
        <r>
          <rPr>
            <sz val="11"/>
            <color theme="1"/>
            <rFont val="Calibri"/>
            <family val="2"/>
            <scheme val="minor"/>
          </rPr>
          <t>Ali Kalwar:
Orderd 10, 2for stock</t>
        </r>
      </text>
    </comment>
    <comment ref="I566" authorId="0" shapeId="0" xr:uid="{00000000-0006-0000-0200-000030000000}">
      <text>
        <r>
          <rPr>
            <sz val="11"/>
            <color theme="1"/>
            <rFont val="Calibri"/>
            <family val="2"/>
            <scheme val="minor"/>
          </rPr>
          <t>Ali Kalwar:
Orderd 76</t>
        </r>
      </text>
    </comment>
    <comment ref="I576" authorId="0" shapeId="0" xr:uid="{00000000-0006-0000-0200-000031000000}">
      <text>
        <r>
          <rPr>
            <sz val="11"/>
            <color theme="1"/>
            <rFont val="Calibri"/>
            <family val="2"/>
            <scheme val="minor"/>
          </rPr>
          <t>Ali Kalwar:
orderd 20, 1 for stock</t>
        </r>
      </text>
    </comment>
    <comment ref="I580" authorId="0" shapeId="0" xr:uid="{00000000-0006-0000-0200-000032000000}">
      <text>
        <r>
          <rPr>
            <sz val="11"/>
            <color theme="1"/>
            <rFont val="Calibri"/>
            <family val="2"/>
            <scheme val="minor"/>
          </rPr>
          <t>Ali Kalwar:
Orderd 50, 20 for stock</t>
        </r>
      </text>
    </comment>
    <comment ref="I584" authorId="0" shapeId="0" xr:uid="{00000000-0006-0000-0200-000033000000}">
      <text>
        <r>
          <rPr>
            <sz val="11"/>
            <color theme="1"/>
            <rFont val="Calibri"/>
            <family val="2"/>
            <scheme val="minor"/>
          </rPr>
          <t>Ali Kalwar:
orderd 10, 1 for stock</t>
        </r>
      </text>
    </comment>
    <comment ref="I607" authorId="0" shapeId="0" xr:uid="{00000000-0006-0000-0200-000034000000}">
      <text>
        <r>
          <rPr>
            <sz val="11"/>
            <color theme="1"/>
            <rFont val="Calibri"/>
            <family val="2"/>
            <scheme val="minor"/>
          </rPr>
          <t>Ali Kalwar:
Orderd 50, 8 extra</t>
        </r>
      </text>
    </comment>
    <comment ref="I624" authorId="0" shapeId="0" xr:uid="{00000000-0006-0000-0200-000035000000}">
      <text>
        <r>
          <rPr>
            <sz val="11"/>
            <color theme="1"/>
            <rFont val="Calibri"/>
            <family val="2"/>
            <scheme val="minor"/>
          </rPr>
          <t>Ali Kalwar:
Orderd 35</t>
        </r>
      </text>
    </comment>
    <comment ref="I635" authorId="0" shapeId="0" xr:uid="{00000000-0006-0000-0200-000036000000}">
      <text>
        <r>
          <rPr>
            <sz val="11"/>
            <color theme="1"/>
            <rFont val="Calibri"/>
            <family val="2"/>
            <scheme val="minor"/>
          </rPr>
          <t>Ali Kalwar:
orderd 50, 10 for stock</t>
        </r>
      </text>
    </comment>
    <comment ref="G640" authorId="0" shapeId="0" xr:uid="{00000000-0006-0000-0200-000037000000}">
      <text>
        <r>
          <rPr>
            <sz val="11"/>
            <color theme="1"/>
            <rFont val="Calibri"/>
            <family val="2"/>
            <scheme val="minor"/>
          </rPr>
          <t>Ali Kalwar:
orderd 50</t>
        </r>
      </text>
    </comment>
    <comment ref="I654" authorId="0" shapeId="0" xr:uid="{00000000-0006-0000-0200-000038000000}">
      <text>
        <r>
          <rPr>
            <sz val="11"/>
            <color theme="1"/>
            <rFont val="Calibri"/>
            <family val="2"/>
            <scheme val="minor"/>
          </rPr>
          <t>Ali Kalwar:
Orderd 25, 4 for stock</t>
        </r>
      </text>
    </comment>
    <comment ref="F762" authorId="0" shapeId="0" xr:uid="{00000000-0006-0000-0200-000039000000}">
      <text>
        <r>
          <rPr>
            <sz val="11"/>
            <color theme="1"/>
            <rFont val="Calibri"/>
            <family val="2"/>
            <scheme val="minor"/>
          </rPr>
          <t>Ali Kalwar:</t>
        </r>
      </text>
    </comment>
  </commentList>
</comments>
</file>

<file path=xl/sharedStrings.xml><?xml version="1.0" encoding="utf-8"?>
<sst xmlns="http://schemas.openxmlformats.org/spreadsheetml/2006/main" count="9827" uniqueCount="5870">
  <si>
    <t>2018 Goal</t>
  </si>
  <si>
    <t>5930-01-123-9387</t>
  </si>
  <si>
    <t>541330, 541511, 541512, 541513, 541519, 611430</t>
  </si>
  <si>
    <t>Our Government customers include the Departments of Defense</t>
  </si>
  <si>
    <t>NECO</t>
  </si>
  <si>
    <t>SPMYM2-17-Q-0260    </t>
  </si>
  <si>
    <t>FLA Certificate</t>
  </si>
  <si>
    <t>5880170432707</t>
  </si>
  <si>
    <t>Bus Partner #</t>
  </si>
  <si>
    <t>Tax Id</t>
  </si>
  <si>
    <t>81-2329006</t>
  </si>
  <si>
    <t>P8STJD63</t>
  </si>
  <si>
    <t>DUN</t>
  </si>
  <si>
    <t>080251391</t>
  </si>
  <si>
    <t>DIBBS user 2 with info@westsiminc.com</t>
  </si>
  <si>
    <t>DWG</t>
  </si>
  <si>
    <t>IRS BSO ID</t>
  </si>
  <si>
    <t>DK9XJP9C</t>
  </si>
  <si>
    <t>Sukkur24</t>
  </si>
  <si>
    <t>DIBBS</t>
  </si>
  <si>
    <t>7MR6001</t>
  </si>
  <si>
    <t>Sign8259your%7328&amp;</t>
  </si>
  <si>
    <t>Nort%%1226!or74</t>
  </si>
  <si>
    <t>7MR6002</t>
  </si>
  <si>
    <t>Sukkur1988</t>
  </si>
  <si>
    <t>Seaport</t>
  </si>
  <si>
    <t>ali.kalwar@westsiminc.com</t>
  </si>
  <si>
    <t>Orlando1125time$east</t>
  </si>
  <si>
    <t>VSM</t>
  </si>
  <si>
    <t>A7MR6002</t>
  </si>
  <si>
    <t>Formula821sams!152</t>
  </si>
  <si>
    <t>Annwest941hiab$188</t>
  </si>
  <si>
    <t>Hiab</t>
  </si>
  <si>
    <t>sukk</t>
  </si>
  <si>
    <t>Ankr4041date$1226</t>
  </si>
  <si>
    <t>WFF</t>
  </si>
  <si>
    <t>Westsim!</t>
  </si>
  <si>
    <t>Spring8271visa&amp;4</t>
  </si>
  <si>
    <t>866-618-5988</t>
  </si>
  <si>
    <t>disa.global.servicedesk.mbx.eb-ticket-requests@mail.mil</t>
  </si>
  <si>
    <t>DFAS/Payment</t>
  </si>
  <si>
    <t>800-756-4571</t>
  </si>
  <si>
    <t>Munter5042data%$</t>
  </si>
  <si>
    <t>Sukkur%%1798</t>
  </si>
  <si>
    <t>Alicorp7072shaun$#</t>
  </si>
  <si>
    <t>DHL</t>
  </si>
  <si>
    <t>UPS</t>
  </si>
  <si>
    <t>2Y642X</t>
  </si>
  <si>
    <t>Capital</t>
  </si>
  <si>
    <t>WESTSIM</t>
  </si>
  <si>
    <t>Sukkur&amp;&amp;1798</t>
  </si>
  <si>
    <t>13,000 limit</t>
  </si>
  <si>
    <t>Newark</t>
  </si>
  <si>
    <t>westsim</t>
  </si>
  <si>
    <t>Staple/aexp</t>
  </si>
  <si>
    <t>sindhi24</t>
  </si>
  <si>
    <t>Etrade</t>
  </si>
  <si>
    <t>Credit Cards</t>
  </si>
  <si>
    <t>Due date</t>
  </si>
  <si>
    <t>AexpGold</t>
  </si>
  <si>
    <t>1st</t>
  </si>
  <si>
    <t>AexpAli</t>
  </si>
  <si>
    <t>AexpNas</t>
  </si>
  <si>
    <t>CapitalWestsim</t>
  </si>
  <si>
    <t>CapitalNasreen</t>
  </si>
  <si>
    <t>Bankcard</t>
  </si>
  <si>
    <t>added by contacting the VSM Support Staff at 1-800-456-5507, or E-Mail: delivery@dla.mil.</t>
  </si>
  <si>
    <t>10/302018</t>
  </si>
  <si>
    <t>Nasreen1226</t>
  </si>
  <si>
    <t>myspass</t>
  </si>
  <si>
    <t>Sukkur$7041</t>
  </si>
  <si>
    <t>SS Business Uid</t>
  </si>
  <si>
    <t>X59STM2X</t>
  </si>
  <si>
    <t>FedeExp</t>
  </si>
  <si>
    <t>TeL:8004633339</t>
  </si>
  <si>
    <t>acct 812776762</t>
  </si>
  <si>
    <t>SAMPASS</t>
  </si>
  <si>
    <t>Sindhi122goat7$</t>
  </si>
  <si>
    <t>SAM PIN</t>
  </si>
  <si>
    <t>Sukkur165</t>
  </si>
  <si>
    <t>FIDBID</t>
  </si>
  <si>
    <t>800-225-5345</t>
  </si>
  <si>
    <t>FEDEXP Log</t>
  </si>
  <si>
    <t>WestSim</t>
  </si>
  <si>
    <t>FEDERAL SERVICE DESK</t>
  </si>
  <si>
    <t>Nelnet</t>
  </si>
  <si>
    <t>Sukkur$$1798</t>
  </si>
  <si>
    <t>ATTN: SAM.GOV REGISTRATION PROCESSING</t>
  </si>
  <si>
    <t>Sukkur12$#26</t>
  </si>
  <si>
    <t>460 INDUSTRIAL BLVD</t>
  </si>
  <si>
    <t>Capitalone</t>
  </si>
  <si>
    <t>LONDON, KY 40741-7285</t>
  </si>
  <si>
    <t>TransferWise</t>
  </si>
  <si>
    <t>UNITED STATES OF AMERICA</t>
  </si>
  <si>
    <t>GD</t>
  </si>
  <si>
    <t>Mehran$Rohri68!</t>
  </si>
  <si>
    <t>SandiaLab</t>
  </si>
  <si>
    <t>GoDady</t>
  </si>
  <si>
    <t>Sukkur!88</t>
  </si>
  <si>
    <t>citi sara</t>
  </si>
  <si>
    <t>sindhik</t>
  </si>
  <si>
    <t>Nasreen FLBlue</t>
  </si>
  <si>
    <t>nasreenk</t>
  </si>
  <si>
    <t>Karachi88</t>
  </si>
  <si>
    <t>NO</t>
  </si>
  <si>
    <t>Contract</t>
  </si>
  <si>
    <t>Qty</t>
  </si>
  <si>
    <t>Vendor</t>
  </si>
  <si>
    <t>Award</t>
  </si>
  <si>
    <t>Delivery</t>
  </si>
  <si>
    <t>PO NO</t>
  </si>
  <si>
    <t>Order ack</t>
  </si>
  <si>
    <t>Amount</t>
  </si>
  <si>
    <t>PO Amount</t>
  </si>
  <si>
    <t>Gross</t>
  </si>
  <si>
    <t>ship Costs</t>
  </si>
  <si>
    <t>PE7M5-16-M-A850</t>
  </si>
  <si>
    <t>TSE</t>
  </si>
  <si>
    <t>The LEE</t>
  </si>
  <si>
    <t>SPE7M517P0085</t>
  </si>
  <si>
    <t>DataDelay</t>
  </si>
  <si>
    <t>CPI</t>
  </si>
  <si>
    <t>SPE5E8-17-P-0352</t>
  </si>
  <si>
    <t>Ahler</t>
  </si>
  <si>
    <t>Keysight</t>
  </si>
  <si>
    <t>Lum</t>
  </si>
  <si>
    <t>DIT-MCO</t>
  </si>
  <si>
    <t>CTC</t>
  </si>
  <si>
    <t>90 days</t>
  </si>
  <si>
    <t>GEMS</t>
  </si>
  <si>
    <t>120 Days</t>
  </si>
  <si>
    <t>DOUGLAS AUTOTECH</t>
  </si>
  <si>
    <t>60days</t>
  </si>
  <si>
    <t>HYSTAT SYSTEMS</t>
  </si>
  <si>
    <t>100  Days</t>
  </si>
  <si>
    <t>Glenair</t>
  </si>
  <si>
    <t>SPE7M1-17-V-5771</t>
  </si>
  <si>
    <t>LEACH</t>
  </si>
  <si>
    <t>SPE7M0-17-P-2438</t>
  </si>
  <si>
    <t>PBM</t>
  </si>
  <si>
    <t>SPE7M1-17-P-4410</t>
  </si>
  <si>
    <t>SPE4A6-17-V-8749</t>
  </si>
  <si>
    <t>Connectronics</t>
  </si>
  <si>
    <t>WSM003</t>
  </si>
  <si>
    <t>SPE7M0-17-V-6044</t>
  </si>
  <si>
    <t>WSM004</t>
  </si>
  <si>
    <t>SPE7M0-17-V-6185</t>
  </si>
  <si>
    <t>Munters</t>
  </si>
  <si>
    <t>WSM005</t>
  </si>
  <si>
    <t>SPE5E7-17-P-2288</t>
  </si>
  <si>
    <t>East/West</t>
  </si>
  <si>
    <t>WSM006</t>
  </si>
  <si>
    <t>SPE7L0-17-V-3851</t>
  </si>
  <si>
    <t>WSM007</t>
  </si>
  <si>
    <t>SPE7MC-17-V-5969</t>
  </si>
  <si>
    <t>ALLEN</t>
  </si>
  <si>
    <t>WSM008</t>
  </si>
  <si>
    <t>SPE7M0-17-V-7216</t>
  </si>
  <si>
    <t>WSA001</t>
  </si>
  <si>
    <t>SPE7L3-17-P-4510</t>
  </si>
  <si>
    <t>WSA002</t>
  </si>
  <si>
    <t>SPE7M8-17-V-0923</t>
  </si>
  <si>
    <t>SPE7L0-17-V-4318</t>
  </si>
  <si>
    <t>WSA003</t>
  </si>
  <si>
    <t>SPE4A4-17-V-5230</t>
  </si>
  <si>
    <t>WSA004</t>
  </si>
  <si>
    <t>SPE7MC-17-V-7086</t>
  </si>
  <si>
    <t>WSA005</t>
  </si>
  <si>
    <t>SPE7MC-17-V-7184</t>
  </si>
  <si>
    <t>WSA006</t>
  </si>
  <si>
    <t>SPE5E0-17-V-3348</t>
  </si>
  <si>
    <t>WSM001</t>
  </si>
  <si>
    <t>SPE7M1-17-V-8564</t>
  </si>
  <si>
    <t>WSM002</t>
  </si>
  <si>
    <t>SPE7M1-17-V-8624</t>
  </si>
  <si>
    <t>Thermtrol</t>
  </si>
  <si>
    <t>SPE7M8-17-P-2511</t>
  </si>
  <si>
    <t>SPE7M8-17-V-1242</t>
  </si>
  <si>
    <t>SPE7M1-17-V-9086</t>
  </si>
  <si>
    <t>SPE7M1-17-V-9239</t>
  </si>
  <si>
    <t>SPE7M8-17-P-2449</t>
  </si>
  <si>
    <t>WSJ001</t>
  </si>
  <si>
    <t>SPE7L3-17-P-5972</t>
  </si>
  <si>
    <t>HYSTAT</t>
  </si>
  <si>
    <t>WSJ002</t>
  </si>
  <si>
    <t>SPE7MC-17-V-9471</t>
  </si>
  <si>
    <t>WSJ003</t>
  </si>
  <si>
    <t>SPE7M8-17-V-1327</t>
  </si>
  <si>
    <t>WSJ004</t>
  </si>
  <si>
    <t>SPE5E1-17-V-1599</t>
  </si>
  <si>
    <t>WSJ005</t>
  </si>
  <si>
    <t>SPE7M8-17-P-2861</t>
  </si>
  <si>
    <t>WSJ006</t>
  </si>
  <si>
    <t>SPE7L1-17-V-6225</t>
  </si>
  <si>
    <t>WSJ007</t>
  </si>
  <si>
    <t>SPE5E8-17-V-6749</t>
  </si>
  <si>
    <t>WSJ008</t>
  </si>
  <si>
    <t>SPE7M5-17-V-6940</t>
  </si>
  <si>
    <t>R. KERN</t>
  </si>
  <si>
    <t>WSJ009</t>
  </si>
  <si>
    <t>SPE7MC-17-V-A125</t>
  </si>
  <si>
    <t>WSJ010</t>
  </si>
  <si>
    <t>SPE7M0-17-V-A128</t>
  </si>
  <si>
    <t>WSJ011</t>
  </si>
  <si>
    <t>SPE7M5-17-V-7160</t>
  </si>
  <si>
    <t>WSJ012</t>
  </si>
  <si>
    <t>SPE7M5-17-V-7267</t>
  </si>
  <si>
    <t>WSJY01</t>
  </si>
  <si>
    <t>SPE7M1-17-V-A184</t>
  </si>
  <si>
    <t>WSJY02</t>
  </si>
  <si>
    <t>SPE7M5-17-V-7313</t>
  </si>
  <si>
    <t>CSANTENA</t>
  </si>
  <si>
    <t>WSJY03</t>
  </si>
  <si>
    <t>SPE7M5-17-V-7348</t>
  </si>
  <si>
    <t>WSJY04</t>
  </si>
  <si>
    <t>SPE7M5-17-V-7399</t>
  </si>
  <si>
    <t>WSJY05</t>
  </si>
  <si>
    <t>SPE4A5-17-V-3722</t>
  </si>
  <si>
    <t>WSJY06</t>
  </si>
  <si>
    <t>SPE7M0-17-V-A734</t>
  </si>
  <si>
    <t>Pasternack</t>
  </si>
  <si>
    <t>WSJY07</t>
  </si>
  <si>
    <t>SPE7M5-17-V-7498</t>
  </si>
  <si>
    <t>Data Delay</t>
  </si>
  <si>
    <t>WSJY08</t>
  </si>
  <si>
    <t>SPE4A6-17-P-H181</t>
  </si>
  <si>
    <t>WSJY09</t>
  </si>
  <si>
    <t>Cancelled</t>
  </si>
  <si>
    <t>SPE4A6-17-P-H261</t>
  </si>
  <si>
    <t>Newport</t>
  </si>
  <si>
    <t>WSJY10</t>
  </si>
  <si>
    <t>SPE7M8-17-P-2980</t>
  </si>
  <si>
    <t>WSJY11</t>
  </si>
  <si>
    <t>SPE7M5-17-V-7674</t>
  </si>
  <si>
    <t>WSJY12</t>
  </si>
  <si>
    <t>SPE7L1-17-V-6747</t>
  </si>
  <si>
    <t>PG</t>
  </si>
  <si>
    <t>WSJY13</t>
  </si>
  <si>
    <t>SPE7M1-17-V-A589</t>
  </si>
  <si>
    <t>WSJY14</t>
  </si>
  <si>
    <t>WSNV001</t>
  </si>
  <si>
    <t>WSNVI001</t>
  </si>
  <si>
    <t>2F120374D523630000000058</t>
  </si>
  <si>
    <t>SPE7M5-17-V-7826</t>
  </si>
  <si>
    <t>Digi</t>
  </si>
  <si>
    <t>WSJY15</t>
  </si>
  <si>
    <t>SPE4A6-17-P-J097</t>
  </si>
  <si>
    <t>WSJY16</t>
  </si>
  <si>
    <t>SPE7M5-17-V-7903</t>
  </si>
  <si>
    <t>WSJY17</t>
  </si>
  <si>
    <t>SPE7M0-17-P-4545</t>
  </si>
  <si>
    <t>MUNTER</t>
  </si>
  <si>
    <t>WSJY18</t>
  </si>
  <si>
    <t>SPE7M5-17-P-C447</t>
  </si>
  <si>
    <t>EMPOWER</t>
  </si>
  <si>
    <t>WSJY19</t>
  </si>
  <si>
    <t>SPE7MC-17-V-B556</t>
  </si>
  <si>
    <t>GRISWOLD</t>
  </si>
  <si>
    <t>WSAU01</t>
  </si>
  <si>
    <t>SPE5E8-17-V-7702</t>
  </si>
  <si>
    <t>East/West Industries</t>
  </si>
  <si>
    <t>WSAU02</t>
  </si>
  <si>
    <t>SPE4A6-17-P-J869</t>
  </si>
  <si>
    <t>GEMS SENSORS INC</t>
  </si>
  <si>
    <t>WSAU03</t>
  </si>
  <si>
    <t>SPE7M0-17-P-4702</t>
  </si>
  <si>
    <t>CAMERON</t>
  </si>
  <si>
    <t>WSAU04</t>
  </si>
  <si>
    <t>SPE7M5-17-V-8287</t>
  </si>
  <si>
    <t>WSAU05</t>
  </si>
  <si>
    <t>SPE5E0-17-V-4974</t>
  </si>
  <si>
    <t>CSANTENNA</t>
  </si>
  <si>
    <t>WSAU06</t>
  </si>
  <si>
    <t>SPE7M1-17-P-7567</t>
  </si>
  <si>
    <t>WSAU07</t>
  </si>
  <si>
    <t>NOPAID</t>
  </si>
  <si>
    <t>SPE7M0-17-P-4771</t>
  </si>
  <si>
    <t>WSAU08</t>
  </si>
  <si>
    <t>SPE7L2-17-V-1691</t>
  </si>
  <si>
    <t>MORPAC</t>
  </si>
  <si>
    <t>WSAU09</t>
  </si>
  <si>
    <t>SPE7MC-17-V-B755</t>
  </si>
  <si>
    <t>WSAU10</t>
  </si>
  <si>
    <t>SPE7L1-17-V-7185</t>
  </si>
  <si>
    <t>WSAU11</t>
  </si>
  <si>
    <t>SPE7M8-17-V-1568</t>
  </si>
  <si>
    <t>WSAU12</t>
  </si>
  <si>
    <t>SPE5EK-17-V-6042</t>
  </si>
  <si>
    <t>WSAU13</t>
  </si>
  <si>
    <t>SPE7M5-17-V-8610</t>
  </si>
  <si>
    <t>WSAU14</t>
  </si>
  <si>
    <t>SPE7MC-17-V-B839</t>
  </si>
  <si>
    <t>WSAU15</t>
  </si>
  <si>
    <t>SPE7L3-17-V-9475</t>
  </si>
  <si>
    <t>DOUGlAS Auto</t>
  </si>
  <si>
    <t>WSAU16</t>
  </si>
  <si>
    <t>SPE4A0-17-V-0829</t>
  </si>
  <si>
    <t>AIROFIT</t>
  </si>
  <si>
    <t>WSAU17</t>
  </si>
  <si>
    <t>SPE7MC-17-V-B948</t>
  </si>
  <si>
    <t>WSAU18</t>
  </si>
  <si>
    <t>SPE5E8-17-P-4025</t>
  </si>
  <si>
    <t>WSAU19</t>
  </si>
  <si>
    <t>SPE7MC-17-V-C037</t>
  </si>
  <si>
    <t>WSAU20</t>
  </si>
  <si>
    <t>SPE7M0-17-V-C189</t>
  </si>
  <si>
    <t>WSAU21</t>
  </si>
  <si>
    <t>SPE7M0-17-V-C409</t>
  </si>
  <si>
    <t>PREECE</t>
  </si>
  <si>
    <t>WSAU22</t>
  </si>
  <si>
    <t>SPE7M5-17-P-E874</t>
  </si>
  <si>
    <t>WSAU23</t>
  </si>
  <si>
    <t>SPE7M0-17-V-C529</t>
  </si>
  <si>
    <t>WSAU24</t>
  </si>
  <si>
    <t>SPE7M0-17-V-C551</t>
  </si>
  <si>
    <t>DRUCK</t>
  </si>
  <si>
    <t>WSAU25</t>
  </si>
  <si>
    <t>SPE7M4-17-V-3241</t>
  </si>
  <si>
    <t>WSSE01</t>
  </si>
  <si>
    <t>SPE7L0-17-V-7359</t>
  </si>
  <si>
    <t>WSSE02</t>
  </si>
  <si>
    <t>SPE5E8-17-V-8587</t>
  </si>
  <si>
    <t>WSSE03</t>
  </si>
  <si>
    <t>SPE4A1-17-P-1323</t>
  </si>
  <si>
    <t>ASTRO</t>
  </si>
  <si>
    <t>WSSE04</t>
  </si>
  <si>
    <t>SPE7M5-17-V-9309</t>
  </si>
  <si>
    <t>WSSE05</t>
  </si>
  <si>
    <t>SPE7M8-17-V-1669</t>
  </si>
  <si>
    <t>WSSE06</t>
  </si>
  <si>
    <t>SPE7M5-17-V-9505</t>
  </si>
  <si>
    <t>Rohde Schwarz</t>
  </si>
  <si>
    <t>WSSE07</t>
  </si>
  <si>
    <t>SPE7M5-17-V-9524</t>
  </si>
  <si>
    <t>WSSE08</t>
  </si>
  <si>
    <t>SPE7M5-17-V-9574</t>
  </si>
  <si>
    <t>WSSE09</t>
  </si>
  <si>
    <t>SPE7M8-17-P-3684</t>
  </si>
  <si>
    <t>WSSE10</t>
  </si>
  <si>
    <t>SPE7M0-17-V-C791</t>
  </si>
  <si>
    <t>WSSE11</t>
  </si>
  <si>
    <t>SPE7M5-17-V-9616</t>
  </si>
  <si>
    <t>WSSE12</t>
  </si>
  <si>
    <t>SPE7L3-17-V-A236</t>
  </si>
  <si>
    <t>WESCON</t>
  </si>
  <si>
    <t>WSSE13</t>
  </si>
  <si>
    <t>SPE7M2-17-P-2195</t>
  </si>
  <si>
    <t>Munter</t>
  </si>
  <si>
    <t>WSSE14</t>
  </si>
  <si>
    <t>SPE7M8-17-V-1710</t>
  </si>
  <si>
    <t>WSSE15</t>
  </si>
  <si>
    <t>SPE7M1-17-V-C378</t>
  </si>
  <si>
    <t>WSSE16</t>
  </si>
  <si>
    <t>SPE5E7-17-P-5120</t>
  </si>
  <si>
    <t>WSSE17</t>
  </si>
  <si>
    <t>SPE4A4-17-V-9933</t>
  </si>
  <si>
    <t>National Ins</t>
  </si>
  <si>
    <t>WSSE18</t>
  </si>
  <si>
    <t>SPE4A6-17-V-K691</t>
  </si>
  <si>
    <t>SCIENTIFIC-DIGI</t>
  </si>
  <si>
    <t>WSSE19</t>
  </si>
  <si>
    <t>SPE7M5-17-V-9810</t>
  </si>
  <si>
    <t>WSSE20</t>
  </si>
  <si>
    <t>SPE7M2-17-P-2246</t>
  </si>
  <si>
    <t>WSSE21</t>
  </si>
  <si>
    <t>SPE4A6-17-P-N566</t>
  </si>
  <si>
    <t>WSSE22</t>
  </si>
  <si>
    <t>SPE5EK-17-V-6956</t>
  </si>
  <si>
    <t>Cameron</t>
  </si>
  <si>
    <t>WSSE23</t>
  </si>
  <si>
    <t>SPE4A6-18-P-0208</t>
  </si>
  <si>
    <t>Klute</t>
  </si>
  <si>
    <t>WSOC01</t>
  </si>
  <si>
    <t>SPE7M1-18-V-0019</t>
  </si>
  <si>
    <t>Chromalox</t>
  </si>
  <si>
    <t>WSOC02</t>
  </si>
  <si>
    <t>SPE7M5-18-P-0270</t>
  </si>
  <si>
    <t>WSOC03</t>
  </si>
  <si>
    <t>SPE5E0-18-V-0016</t>
  </si>
  <si>
    <t>AVBANC</t>
  </si>
  <si>
    <t>WSOC04</t>
  </si>
  <si>
    <t>SPE7M2-18-P-0017</t>
  </si>
  <si>
    <t>WSOC05</t>
  </si>
  <si>
    <t>SPE7M4-18-V-0179</t>
  </si>
  <si>
    <t>WSOC06</t>
  </si>
  <si>
    <t>Yes</t>
  </si>
  <si>
    <t>SPE7MC-18-V-0322</t>
  </si>
  <si>
    <t>WSOC07</t>
  </si>
  <si>
    <t>SPE8ED-18-P-0059</t>
  </si>
  <si>
    <t>WSOC08</t>
  </si>
  <si>
    <t>WSNV003</t>
  </si>
  <si>
    <t>WSNVI004</t>
  </si>
  <si>
    <t>2F120374D52363000000005A</t>
  </si>
  <si>
    <t>SPE8E7-18-P-0119</t>
  </si>
  <si>
    <t>Leddynamics</t>
  </si>
  <si>
    <t>WSOC09</t>
  </si>
  <si>
    <t>SPE7M0-18-V-0294</t>
  </si>
  <si>
    <t>WSOC10</t>
  </si>
  <si>
    <t>SPE7L0-18-V-0375</t>
  </si>
  <si>
    <t>Timken</t>
  </si>
  <si>
    <t>WSOC11</t>
  </si>
  <si>
    <t>SPE7M8-18-P-0031</t>
  </si>
  <si>
    <t>WSOC12</t>
  </si>
  <si>
    <t>SPE7MC-18-V-0502</t>
  </si>
  <si>
    <t>ERA</t>
  </si>
  <si>
    <t>WSOC13</t>
  </si>
  <si>
    <t>SPE7M2-18-V-0090</t>
  </si>
  <si>
    <t>WSOC14</t>
  </si>
  <si>
    <t>SPE7M4-18-P-0236</t>
  </si>
  <si>
    <t>Prece</t>
  </si>
  <si>
    <t>WSOC15</t>
  </si>
  <si>
    <t>SPE7M1-18-V-0723</t>
  </si>
  <si>
    <t>MIRADA</t>
  </si>
  <si>
    <t>WSOC16</t>
  </si>
  <si>
    <t>WSNV004</t>
  </si>
  <si>
    <t>WSNVI005</t>
  </si>
  <si>
    <t>2F120374D52363000000005B</t>
  </si>
  <si>
    <t>SPE4A6-18-V-1232</t>
  </si>
  <si>
    <t>Circuit Systems</t>
  </si>
  <si>
    <t>WSOC17</t>
  </si>
  <si>
    <t>SPE4A6-18-V-1274</t>
  </si>
  <si>
    <t>WSOC18</t>
  </si>
  <si>
    <t>SPE7M0-18-P-0288</t>
  </si>
  <si>
    <t>WSOC19</t>
  </si>
  <si>
    <t>WSNV002</t>
  </si>
  <si>
    <t>WSNVI002</t>
  </si>
  <si>
    <t>2F120374D523630000000059</t>
  </si>
  <si>
    <t>SPE7M1-17-P-7230</t>
  </si>
  <si>
    <t>WSOC20</t>
  </si>
  <si>
    <t>SPE4A4-18-V-0639</t>
  </si>
  <si>
    <t>USBGEAR</t>
  </si>
  <si>
    <t>WSOC21</t>
  </si>
  <si>
    <t>WSNV006</t>
  </si>
  <si>
    <t>WSNVI006</t>
  </si>
  <si>
    <t>2F120374D52363000000005C</t>
  </si>
  <si>
    <t>SPE5E8-18-V-0639</t>
  </si>
  <si>
    <t>SEASTROM</t>
  </si>
  <si>
    <t>WSOC22</t>
  </si>
  <si>
    <t>SPE7M4-18-V-0677</t>
  </si>
  <si>
    <t>WSOC23</t>
  </si>
  <si>
    <t>SPE7M018P0299</t>
  </si>
  <si>
    <t>WSOC24</t>
  </si>
  <si>
    <t>SPE7M0-18-V-0786</t>
  </si>
  <si>
    <t>WSOC25</t>
  </si>
  <si>
    <t>WSOC26</t>
  </si>
  <si>
    <t>SPE7L0-18-V-0775</t>
  </si>
  <si>
    <t>MORRIS MATERIAL</t>
  </si>
  <si>
    <t>WSOC27</t>
  </si>
  <si>
    <t>SPE7M5-18-V-0859</t>
  </si>
  <si>
    <t>Phoenix Logis</t>
  </si>
  <si>
    <t>WSOC28</t>
  </si>
  <si>
    <t>SPE7M5-18-V-0867</t>
  </si>
  <si>
    <t>Glenair Adj Profit</t>
  </si>
  <si>
    <t>WSOC29</t>
  </si>
  <si>
    <t>SPE7M5-18-P-1196</t>
  </si>
  <si>
    <t>Atrex Energy</t>
  </si>
  <si>
    <t>WSOC30</t>
  </si>
  <si>
    <t>SPE7M5-18-V-0894</t>
  </si>
  <si>
    <t>WSOC31</t>
  </si>
  <si>
    <t>SPE7M5-18-P-1531</t>
  </si>
  <si>
    <t>WSOC32</t>
  </si>
  <si>
    <t>SPE7L0-18-V-0955</t>
  </si>
  <si>
    <t>WSOC33</t>
  </si>
  <si>
    <t>SPE4A6-18-P-1820</t>
  </si>
  <si>
    <t>WSOC34</t>
  </si>
  <si>
    <t>SPE4A4-18-V-0940</t>
  </si>
  <si>
    <t>WSOC35</t>
  </si>
  <si>
    <t>SPE7M5-18-V-0992</t>
  </si>
  <si>
    <t>CONNECTIVE</t>
  </si>
  <si>
    <t>WSOC36</t>
  </si>
  <si>
    <t>SPE7M0-18-V-1129</t>
  </si>
  <si>
    <t>WSNO01</t>
  </si>
  <si>
    <t>SPE7M0-18-V-1142</t>
  </si>
  <si>
    <t>WSNO02</t>
  </si>
  <si>
    <t>SPE7M0-18-V-1144</t>
  </si>
  <si>
    <t>WSNO03</t>
  </si>
  <si>
    <t>SPE7L0-18-V-1039</t>
  </si>
  <si>
    <t>NORMAN FILTER</t>
  </si>
  <si>
    <t>WSNO04</t>
  </si>
  <si>
    <t>SPE7M0-18-V-1208</t>
  </si>
  <si>
    <t>WSNO05</t>
  </si>
  <si>
    <t>SPE7M5-18-V-1091</t>
  </si>
  <si>
    <t>WSNO06</t>
  </si>
  <si>
    <t>SPE7M5-18-V-1141</t>
  </si>
  <si>
    <t>WSNO07</t>
  </si>
  <si>
    <t>SPE7M5-18-V-1160</t>
  </si>
  <si>
    <t>WSNO08</t>
  </si>
  <si>
    <t>SPE7M5-18-V-1162</t>
  </si>
  <si>
    <t>WSNO09</t>
  </si>
  <si>
    <t>yes</t>
  </si>
  <si>
    <t>SPE5EK-18-V-0583</t>
  </si>
  <si>
    <t>WSNO10</t>
  </si>
  <si>
    <t>SPE7MC-18-V-1096</t>
  </si>
  <si>
    <t>WSNO11</t>
  </si>
  <si>
    <t>SPE7MC-18-V-1129</t>
  </si>
  <si>
    <t>WSNO12</t>
  </si>
  <si>
    <t>SPE7M5-18-V-1106</t>
  </si>
  <si>
    <t>WSNO13</t>
  </si>
  <si>
    <t>SPE7M5-18-V-1321</t>
  </si>
  <si>
    <t>WSNO14</t>
  </si>
  <si>
    <t>SPE7M5-18-V-1322</t>
  </si>
  <si>
    <t>National</t>
  </si>
  <si>
    <t>WSNO15</t>
  </si>
  <si>
    <t>SPE7MC-18-V-1179</t>
  </si>
  <si>
    <t>WSNO16</t>
  </si>
  <si>
    <t>SPE7M5-18-V-1182</t>
  </si>
  <si>
    <t>WSNO17</t>
  </si>
  <si>
    <t>SPE7M5-18-V-1410</t>
  </si>
  <si>
    <t>ITT</t>
  </si>
  <si>
    <t>WSNO18</t>
  </si>
  <si>
    <t>SPE7M5-18-V-1440</t>
  </si>
  <si>
    <t>WSNO19</t>
  </si>
  <si>
    <t>SPE7M1-18-V-0627</t>
  </si>
  <si>
    <t>WSNO20</t>
  </si>
  <si>
    <t>SPE7M5-18-V-1463</t>
  </si>
  <si>
    <t>WSNO21</t>
  </si>
  <si>
    <t>SPE7M1-18-V-1543</t>
  </si>
  <si>
    <t>ERA-MAGNETIC SENS</t>
  </si>
  <si>
    <t>WSNO22</t>
  </si>
  <si>
    <t>SPE7M1-18-P-0967</t>
  </si>
  <si>
    <t>WSNO23</t>
  </si>
  <si>
    <t>SPE4A4-18-V-1406</t>
  </si>
  <si>
    <t>WSNO24</t>
  </si>
  <si>
    <t>SPE7L3-18-V-1391</t>
  </si>
  <si>
    <t>HIAB LIMITED</t>
  </si>
  <si>
    <t>WSNO25</t>
  </si>
  <si>
    <t>SPE7M1-18-V-1678</t>
  </si>
  <si>
    <t>VETRONIX</t>
  </si>
  <si>
    <t>WSNO26</t>
  </si>
  <si>
    <t>SPE7M5-18-P-2248</t>
  </si>
  <si>
    <t>WSNO27</t>
  </si>
  <si>
    <t>SPE5E8-18-V-1538</t>
  </si>
  <si>
    <t>AVIBANK</t>
  </si>
  <si>
    <t>WSNO28</t>
  </si>
  <si>
    <t>SPE7MC-18-V-1456</t>
  </si>
  <si>
    <t>WSNO29</t>
  </si>
  <si>
    <t>SPE7MC-18-V-1468</t>
  </si>
  <si>
    <t>WSNO30</t>
  </si>
  <si>
    <t>YES</t>
  </si>
  <si>
    <t>SPE7M5-18-P-2604</t>
  </si>
  <si>
    <t>NEWARK</t>
  </si>
  <si>
    <t>WSNO31</t>
  </si>
  <si>
    <t>SPE7MC17VC703</t>
  </si>
  <si>
    <t>WSNO32</t>
  </si>
  <si>
    <t>SPE7M1-18-V-1940</t>
  </si>
  <si>
    <t>CLARUS TECH</t>
  </si>
  <si>
    <t>WSNO33</t>
  </si>
  <si>
    <t>SPE7M8-18-V-0315</t>
  </si>
  <si>
    <t>WSNO34</t>
  </si>
  <si>
    <t>SPE7MC-18-V-1647</t>
  </si>
  <si>
    <t>WSNO35</t>
  </si>
  <si>
    <t>SPE7MC-18-V-1627</t>
  </si>
  <si>
    <t>WSNO36</t>
  </si>
  <si>
    <t>SPE5E4-18-V-1851</t>
  </si>
  <si>
    <t>WSNO37</t>
  </si>
  <si>
    <t>SPE4A5-18-V-0647</t>
  </si>
  <si>
    <t>WSNO38</t>
  </si>
  <si>
    <t>SPE7M5-18-P-2723</t>
  </si>
  <si>
    <t>WSNO41</t>
  </si>
  <si>
    <t>SPE7M4-18-P-0708</t>
  </si>
  <si>
    <t>WSNO39</t>
  </si>
  <si>
    <t>SPE7M0-18-V-2008</t>
  </si>
  <si>
    <t>Glenair Poincl-2335</t>
  </si>
  <si>
    <t>WSNO40</t>
  </si>
  <si>
    <t>SPE4A4-18-V-1805</t>
  </si>
  <si>
    <t>L-Com</t>
  </si>
  <si>
    <t>SPE7M5-18-P-2660</t>
  </si>
  <si>
    <t>GAI-TRONICS</t>
  </si>
  <si>
    <t>WSI-D01</t>
  </si>
  <si>
    <t>SPE7L1-18-V-1293</t>
  </si>
  <si>
    <t>WSI-D02</t>
  </si>
  <si>
    <t>SPE7M5-18-V-2223</t>
  </si>
  <si>
    <t>WSI-D03</t>
  </si>
  <si>
    <t>SPE7L3-18-V-1933</t>
  </si>
  <si>
    <t>WSI-D04</t>
  </si>
  <si>
    <t>SPE7M0-18-V-2155</t>
  </si>
  <si>
    <t>AEROFIT</t>
  </si>
  <si>
    <t>WSI-D05</t>
  </si>
  <si>
    <t>SPE7M5-18-V-2278</t>
  </si>
  <si>
    <t>Glenair Orderd 20</t>
  </si>
  <si>
    <t>WSI-D06</t>
  </si>
  <si>
    <t>SPE7M5-18-V-2343</t>
  </si>
  <si>
    <t>WSI-D07</t>
  </si>
  <si>
    <t>SPE7M5-18-V-2342</t>
  </si>
  <si>
    <t>WSI-D08</t>
  </si>
  <si>
    <t>SPE5E8-18-V-1993</t>
  </si>
  <si>
    <t>WSI-D09</t>
  </si>
  <si>
    <t>SPE7M0-18-V-2299</t>
  </si>
  <si>
    <t>Glenair, PO inc, 3for3376</t>
  </si>
  <si>
    <t>WSI-D10</t>
  </si>
  <si>
    <t>SPE7M0-18-V-2335</t>
  </si>
  <si>
    <t>SPE7M0-18-V-2320</t>
  </si>
  <si>
    <t>WSI-D11</t>
  </si>
  <si>
    <t>SPE7M0-18-V-2329</t>
  </si>
  <si>
    <t>WSI-D12</t>
  </si>
  <si>
    <t>SPE7M0-18-V-2351</t>
  </si>
  <si>
    <t>cancel</t>
  </si>
  <si>
    <t>submitted</t>
  </si>
  <si>
    <t>SPE7M5-18-P-3376</t>
  </si>
  <si>
    <t>Era</t>
  </si>
  <si>
    <t>SPE7M3-18-V-0804</t>
  </si>
  <si>
    <t>WSI-D15</t>
  </si>
  <si>
    <t>SPE5E2-18-V-2312</t>
  </si>
  <si>
    <t>AVIBANC</t>
  </si>
  <si>
    <t>WSI-D16</t>
  </si>
  <si>
    <t>SPE7L3-18-V-2200</t>
  </si>
  <si>
    <t>HIAB</t>
  </si>
  <si>
    <t>WSI-D17</t>
  </si>
  <si>
    <t>SPE8EN-18-P-7057</t>
  </si>
  <si>
    <t>WSI-D18</t>
  </si>
  <si>
    <t>SPE7MC-18-V-2156</t>
  </si>
  <si>
    <t>WSI-D19</t>
  </si>
  <si>
    <t>SPE7M3-18-P-1496</t>
  </si>
  <si>
    <t>WSI-D20</t>
  </si>
  <si>
    <t>SPE5E2-18-V-2452</t>
  </si>
  <si>
    <t>WSI-D21</t>
  </si>
  <si>
    <t>SPE7M5-18-V-2741</t>
  </si>
  <si>
    <t>WSI-D22</t>
  </si>
  <si>
    <t>SPE7M5-18-V-2728</t>
  </si>
  <si>
    <t>WSI-D23</t>
  </si>
  <si>
    <t>SPE4A6-18-V-4761</t>
  </si>
  <si>
    <t>WSI-D24</t>
  </si>
  <si>
    <t>SPE7M0-18-V-2705</t>
  </si>
  <si>
    <t>Cancel</t>
  </si>
  <si>
    <t>SPE7MC-18-V-2384</t>
  </si>
  <si>
    <t>Phenoix</t>
  </si>
  <si>
    <t>WSI-D26</t>
  </si>
  <si>
    <t>SPE7MC-18-P-1624</t>
  </si>
  <si>
    <t>WSI-D27</t>
  </si>
  <si>
    <t>SPE4A4-18-V-2597</t>
  </si>
  <si>
    <t>`</t>
  </si>
  <si>
    <t>WSI-D28</t>
  </si>
  <si>
    <t>SPE5E7-18-V-1295</t>
  </si>
  <si>
    <t>NAFCO</t>
  </si>
  <si>
    <t>WSI-D30</t>
  </si>
  <si>
    <t>SPE7M1-18-P-1851</t>
  </si>
  <si>
    <t>WSI-D31</t>
  </si>
  <si>
    <t>SPE5E7-18-V-1361</t>
  </si>
  <si>
    <t>WSI-D32</t>
  </si>
  <si>
    <t>SPE7M5-18-V-3043</t>
  </si>
  <si>
    <t>WSI-D33</t>
  </si>
  <si>
    <t>SPE7M0-18-V-2893</t>
  </si>
  <si>
    <t>SPE4A4-18-V-2779</t>
  </si>
  <si>
    <t>WSI-D35</t>
  </si>
  <si>
    <t>y</t>
  </si>
  <si>
    <t>SPE7M0-18-V-2953</t>
  </si>
  <si>
    <t>WSI-D36</t>
  </si>
  <si>
    <t>SPE7M5-18-V-3179</t>
  </si>
  <si>
    <t>Glenair Order 107</t>
  </si>
  <si>
    <t>WSOC29mod2</t>
  </si>
  <si>
    <t>SPE7M0-18-V-2968</t>
  </si>
  <si>
    <t>Norman</t>
  </si>
  <si>
    <t>SPE7L3-18-P-2641</t>
  </si>
  <si>
    <t>WSI-J03</t>
  </si>
  <si>
    <t>Y</t>
  </si>
  <si>
    <t>SPE7M5-18-P-4253</t>
  </si>
  <si>
    <t>WSI-J04</t>
  </si>
  <si>
    <t>SPE7M5-18-V-3269</t>
  </si>
  <si>
    <t>WSI-J05</t>
  </si>
  <si>
    <t>SPE4A4-18-V-2964</t>
  </si>
  <si>
    <t>SPE7M0-18-V-3089</t>
  </si>
  <si>
    <t>CTT</t>
  </si>
  <si>
    <t>WSI-J07</t>
  </si>
  <si>
    <t>SPE7M5-18-P-4312</t>
  </si>
  <si>
    <t>WSI-J08</t>
  </si>
  <si>
    <t>SPE7M5-18-V-3499</t>
  </si>
  <si>
    <t>SmithsInter</t>
  </si>
  <si>
    <t>WSI-J09</t>
  </si>
  <si>
    <t>SPE4A6-18-V-5851</t>
  </si>
  <si>
    <t>Olympus Controls</t>
  </si>
  <si>
    <t>WSI-J10</t>
  </si>
  <si>
    <t>SPE7M0-18-V-3225</t>
  </si>
  <si>
    <t>Griswold</t>
  </si>
  <si>
    <t>stock</t>
  </si>
  <si>
    <t>SPE7M1-18-V-3578</t>
  </si>
  <si>
    <t>WSI-J12</t>
  </si>
  <si>
    <t>SPE7L1-18-V-2041</t>
  </si>
  <si>
    <t>WSI-J13</t>
  </si>
  <si>
    <t>SPE7MC-18-V-2782</t>
  </si>
  <si>
    <t>MOROAC</t>
  </si>
  <si>
    <t>WSI-J14</t>
  </si>
  <si>
    <t>SPE5E4-18-V-2956</t>
  </si>
  <si>
    <t>Molded</t>
  </si>
  <si>
    <t>WSI-J15</t>
  </si>
  <si>
    <t>SPE7M1-18-V-3758</t>
  </si>
  <si>
    <t>GEMS, Dest</t>
  </si>
  <si>
    <t>SPE5E7-18-V-1597</t>
  </si>
  <si>
    <t>WSI-J17</t>
  </si>
  <si>
    <t>SPE5E7-18-V-1591</t>
  </si>
  <si>
    <t>WSI-J18</t>
  </si>
  <si>
    <t>SPE7M5-18-P-4703</t>
  </si>
  <si>
    <t>SPE7M5-18-P-4816</t>
  </si>
  <si>
    <t>WSI-J20</t>
  </si>
  <si>
    <t>SPE7M4-18-V-2693</t>
  </si>
  <si>
    <t>Aerofit</t>
  </si>
  <si>
    <t>WSI-J21</t>
  </si>
  <si>
    <t>SPE5E8-18-V-2782</t>
  </si>
  <si>
    <t>WSI-J22</t>
  </si>
  <si>
    <t>SPE7M8-18-P-0269</t>
  </si>
  <si>
    <t>Stedham</t>
  </si>
  <si>
    <t>WSI-J23</t>
  </si>
  <si>
    <t>SPE7M4-18-V-2783</t>
  </si>
  <si>
    <t>orderd with J21</t>
  </si>
  <si>
    <t>SPE7M5-18-P-4972</t>
  </si>
  <si>
    <t>KONGBERD</t>
  </si>
  <si>
    <t>WSI-J25</t>
  </si>
  <si>
    <t>SPE5EJ-18-V-2551</t>
  </si>
  <si>
    <t>WSI-J26</t>
  </si>
  <si>
    <t>SPE7M5-18-V-3828</t>
  </si>
  <si>
    <t>WSI-J27</t>
  </si>
  <si>
    <t>SPE4A6-18-V-6610</t>
  </si>
  <si>
    <t>WSI-J28</t>
  </si>
  <si>
    <t>SPE5E2-18-V-3442</t>
  </si>
  <si>
    <t>WSI-J29</t>
  </si>
  <si>
    <t>SPE7MC-18-V-3153</t>
  </si>
  <si>
    <t>mod</t>
  </si>
  <si>
    <t>SPE4A4-18-V-3641</t>
  </si>
  <si>
    <t>WSI-J31</t>
  </si>
  <si>
    <t>SPE7M5-18-V-4117</t>
  </si>
  <si>
    <t>WSI-J32</t>
  </si>
  <si>
    <t>SPE4A6-18-V-7128</t>
  </si>
  <si>
    <t>WSI-J33</t>
  </si>
  <si>
    <t>SPE7L2-18-P-0414</t>
  </si>
  <si>
    <t>WSI-J34</t>
  </si>
  <si>
    <t>SPE7M8-18-V-0730</t>
  </si>
  <si>
    <t>WSI-F01</t>
  </si>
  <si>
    <t>SPE7M0-18-P-1661</t>
  </si>
  <si>
    <t>WSI-F02</t>
  </si>
  <si>
    <t>SPE4A6-18-P-8567</t>
  </si>
  <si>
    <t>DIGI</t>
  </si>
  <si>
    <t>WSI-F03</t>
  </si>
  <si>
    <t>SPE7M9-18-P-0425</t>
  </si>
  <si>
    <t>WSI-F04</t>
  </si>
  <si>
    <t>SPE7MC-18-V-3417</t>
  </si>
  <si>
    <t>Mod</t>
  </si>
  <si>
    <t>SPE7M1-18-V-4653</t>
  </si>
  <si>
    <t>WSI-F06</t>
  </si>
  <si>
    <t>SPE7M3-18-V-1647</t>
  </si>
  <si>
    <t>SPE7M5-18-V-4343</t>
  </si>
  <si>
    <t>WSI-F08</t>
  </si>
  <si>
    <t>SPE5E4-18-V-3731</t>
  </si>
  <si>
    <t>WSI-F09</t>
  </si>
  <si>
    <t>SPE5EM-18-V-2840</t>
  </si>
  <si>
    <t>WSI-F10</t>
  </si>
  <si>
    <t>SPE7M5-18-V-4698</t>
  </si>
  <si>
    <t>WSI-F11</t>
  </si>
  <si>
    <t>SPE7M5-18-V-4600</t>
  </si>
  <si>
    <t>WSI-M33</t>
  </si>
  <si>
    <t>SPE7M5-18-V-4815</t>
  </si>
  <si>
    <t>WSI-F13</t>
  </si>
  <si>
    <t>SPE7MC-18-V-3627</t>
  </si>
  <si>
    <t>WSI-F14</t>
  </si>
  <si>
    <t>SPE7M5-18-V-4756</t>
  </si>
  <si>
    <t>EMS</t>
  </si>
  <si>
    <t>WSI-F15</t>
  </si>
  <si>
    <t>SPE7M8-18-P-1567</t>
  </si>
  <si>
    <t>WSI-F16</t>
  </si>
  <si>
    <t>SPE7M0-18-V-4415</t>
  </si>
  <si>
    <t>WSI-F17</t>
  </si>
  <si>
    <t>SPE7M5-18-V-4859</t>
  </si>
  <si>
    <t>Elastomeric</t>
  </si>
  <si>
    <t>SPE4A5-18-V-1587</t>
  </si>
  <si>
    <t>WSI-F18</t>
  </si>
  <si>
    <t>SPE7M0-18-V-4419</t>
  </si>
  <si>
    <t>WSI-F19</t>
  </si>
  <si>
    <t>SPE4A6-18-V-8263</t>
  </si>
  <si>
    <t>WSI-F20</t>
  </si>
  <si>
    <t>SPE7L0-18-V-3394</t>
  </si>
  <si>
    <t>Cancel/Req</t>
  </si>
  <si>
    <t>SPE7M5-18-V-5028</t>
  </si>
  <si>
    <t>WSI-F22</t>
  </si>
  <si>
    <t>SPE7M3-18-V-1884</t>
  </si>
  <si>
    <t>WSI-F23</t>
  </si>
  <si>
    <t>SPE7M5-18-V-4992</t>
  </si>
  <si>
    <t>WSI-F24</t>
  </si>
  <si>
    <t>SPE5E4-18-V-4162</t>
  </si>
  <si>
    <t>FlowLine</t>
  </si>
  <si>
    <t>WSI-F25</t>
  </si>
  <si>
    <t>SPE7M0-18-V-4705</t>
  </si>
  <si>
    <t>PRECE</t>
  </si>
  <si>
    <t>WSI-F26</t>
  </si>
  <si>
    <t>SPE7MC-18-V-4064</t>
  </si>
  <si>
    <t>WSI-F27</t>
  </si>
  <si>
    <t>GEMS/Mod</t>
  </si>
  <si>
    <t>WSI-F28</t>
  </si>
  <si>
    <t>SPE7M5-18-P-6682</t>
  </si>
  <si>
    <t>WSI-F29</t>
  </si>
  <si>
    <t>SPE7M8-18-V-0924</t>
  </si>
  <si>
    <t>WSI-F30</t>
  </si>
  <si>
    <t>SPE7MC-18-V-4165</t>
  </si>
  <si>
    <t>WSI-F31</t>
  </si>
  <si>
    <t>SPE7L3-18-V-4690</t>
  </si>
  <si>
    <t>HAIB</t>
  </si>
  <si>
    <t>WSI-F32</t>
  </si>
  <si>
    <t>SPE7M9-18-V-0449</t>
  </si>
  <si>
    <t>WSI-M01</t>
  </si>
  <si>
    <t>SPE7L7-18-V-0960</t>
  </si>
  <si>
    <t>ELMA</t>
  </si>
  <si>
    <t>WSI-M02</t>
  </si>
  <si>
    <t>SPE5EM-18-V-3314</t>
  </si>
  <si>
    <t>MOLDED</t>
  </si>
  <si>
    <t>WSI-M03</t>
  </si>
  <si>
    <t>SPE7M8-18-V-0932</t>
  </si>
  <si>
    <t>WSI-M04</t>
  </si>
  <si>
    <t>SPE7L4-18-V-0781</t>
  </si>
  <si>
    <t>WSI-M05</t>
  </si>
  <si>
    <t>SPE7M5-18-V-5491</t>
  </si>
  <si>
    <t>WSI-M06</t>
  </si>
  <si>
    <t>SPE7M3-18-V-2055</t>
  </si>
  <si>
    <t>Sauer</t>
  </si>
  <si>
    <t>WSI-M07</t>
  </si>
  <si>
    <t>SPE7M5-18-V-5621</t>
  </si>
  <si>
    <t>WSI-M08</t>
  </si>
  <si>
    <t>SPE7L3-18-P-4493</t>
  </si>
  <si>
    <t>KTSDI</t>
  </si>
  <si>
    <t>WSI-M09</t>
  </si>
  <si>
    <t>SPE4A6-18-P-B275</t>
  </si>
  <si>
    <t>World Magnetic</t>
  </si>
  <si>
    <t>WSI-M10</t>
  </si>
  <si>
    <t>SPE7MC-18-V-4379</t>
  </si>
  <si>
    <t>SPE7MC-18-V-4446</t>
  </si>
  <si>
    <t>WM W NUGENT</t>
  </si>
  <si>
    <t>WSI-M12</t>
  </si>
  <si>
    <t>SPE7M5-18-V-5687</t>
  </si>
  <si>
    <t>WSI-M13</t>
  </si>
  <si>
    <t>SPE7M1-18-V-6107</t>
  </si>
  <si>
    <t>Morris Material</t>
  </si>
  <si>
    <t>WSI-M14</t>
  </si>
  <si>
    <t>SPE5EK-18-V-2829</t>
  </si>
  <si>
    <t>WSI-M15</t>
  </si>
  <si>
    <t>SPE7M0-18-V-5386</t>
  </si>
  <si>
    <t>KMPARTS</t>
  </si>
  <si>
    <t>WSI-M16</t>
  </si>
  <si>
    <t>SPE7L0-18-V-4049</t>
  </si>
  <si>
    <t>WSI-M17</t>
  </si>
  <si>
    <t>SPE7MC-18-V-4549</t>
  </si>
  <si>
    <t>WSI-M18</t>
  </si>
  <si>
    <t>SPE7MC-18-V-4600</t>
  </si>
  <si>
    <t>Glenair PO number dupl</t>
  </si>
  <si>
    <t>SPE4A6-18-V-9791</t>
  </si>
  <si>
    <t>Total Temperature</t>
  </si>
  <si>
    <t>WSI-M20</t>
  </si>
  <si>
    <t>SPE7L0-18-V-4120</t>
  </si>
  <si>
    <t>WSI-M21</t>
  </si>
  <si>
    <t>SPE7L7-18-V-1047</t>
  </si>
  <si>
    <t>XENOTRONIX</t>
  </si>
  <si>
    <t>WSI-M22</t>
  </si>
  <si>
    <t>SPE7M5-18-V-6036</t>
  </si>
  <si>
    <t>WSI-M23</t>
  </si>
  <si>
    <t>SPE7MC-18-V-4633</t>
  </si>
  <si>
    <t>WSI-M24</t>
  </si>
  <si>
    <t>SPE7M5-18-V-6029</t>
  </si>
  <si>
    <t>WSI-M25</t>
  </si>
  <si>
    <t>SPE7M0-18-V-5487</t>
  </si>
  <si>
    <t>WSI-M26</t>
  </si>
  <si>
    <t>SPE7MC-18-V-4644</t>
  </si>
  <si>
    <t>WSI-M27</t>
  </si>
  <si>
    <t>SPE7M5-18-V-6179</t>
  </si>
  <si>
    <t>Phoenix</t>
  </si>
  <si>
    <t>WSI-M28</t>
  </si>
  <si>
    <t>SPE7L3-18-V-5197</t>
  </si>
  <si>
    <t>MAFO NAVAL CLOSURES</t>
  </si>
  <si>
    <t>WSI-M29</t>
  </si>
  <si>
    <t>SPE7M5-18-V-6257</t>
  </si>
  <si>
    <t>WSI-M30</t>
  </si>
  <si>
    <t>SPE7M3-18-V-2423</t>
  </si>
  <si>
    <t>Rostra Vernatherm</t>
  </si>
  <si>
    <t>WSI-M31</t>
  </si>
  <si>
    <t>SPE7M3-18-P-3164</t>
  </si>
  <si>
    <t>WSI-M32</t>
  </si>
  <si>
    <t>SPE7M5-18-V-6063</t>
  </si>
  <si>
    <t>SPE4A4-18-V-5184</t>
  </si>
  <si>
    <t>Kern</t>
  </si>
  <si>
    <t>WSI-M34</t>
  </si>
  <si>
    <t>SPE7L3-18-V-5353</t>
  </si>
  <si>
    <t>HIAB PAR Canclled</t>
  </si>
  <si>
    <t>WSI-M36</t>
  </si>
  <si>
    <t>SPE7MC-18-V-4924</t>
  </si>
  <si>
    <t>WSI-M37</t>
  </si>
  <si>
    <t>SPE7M5-18-V-6397</t>
  </si>
  <si>
    <t>C&amp;S</t>
  </si>
  <si>
    <t>WSI-M38</t>
  </si>
  <si>
    <t>SPE7M5-18-V-6418</t>
  </si>
  <si>
    <t>WSI-M39</t>
  </si>
  <si>
    <t>SPE5E8-18-V-4646</t>
  </si>
  <si>
    <t>WSI-M40</t>
  </si>
  <si>
    <t>Shipped 14 to Kampi</t>
  </si>
  <si>
    <t>SPE7MC-18-V-5005</t>
  </si>
  <si>
    <t>WSI-M41</t>
  </si>
  <si>
    <t>SPE7M5-18-P-7931</t>
  </si>
  <si>
    <t>WS-MY13</t>
  </si>
  <si>
    <t>SPE4A6-18-V-024S</t>
  </si>
  <si>
    <t>WSI-M43</t>
  </si>
  <si>
    <t>SPE4A6-18-V-025A</t>
  </si>
  <si>
    <t>WSI-M44</t>
  </si>
  <si>
    <t>SPE7M8-18-P-2016</t>
  </si>
  <si>
    <t>WSI-M45</t>
  </si>
  <si>
    <t>SPE7M5-18-V-6557</t>
  </si>
  <si>
    <t>Gleair</t>
  </si>
  <si>
    <t>WSI-A15</t>
  </si>
  <si>
    <t>SPE7M5-18-P-8076</t>
  </si>
  <si>
    <t>WSI-M47</t>
  </si>
  <si>
    <t>SPE7M5-18-V-6572</t>
  </si>
  <si>
    <t>Gleair Req Price change</t>
  </si>
  <si>
    <t>WSI-M48</t>
  </si>
  <si>
    <t>SPE7M5-18-V-6549</t>
  </si>
  <si>
    <t>DelayLine</t>
  </si>
  <si>
    <t>WSI-M49</t>
  </si>
  <si>
    <t>SPE4A6-18-V-030C</t>
  </si>
  <si>
    <t>WSI-M50</t>
  </si>
  <si>
    <t>SPE7MC-18-V-5114</t>
  </si>
  <si>
    <t>Genisco Filter</t>
  </si>
  <si>
    <t>WSI-M51</t>
  </si>
  <si>
    <t>SPE7L3-18-V-5542</t>
  </si>
  <si>
    <t>WSI-M52</t>
  </si>
  <si>
    <t>SPE5EJ-18-P-1062</t>
  </si>
  <si>
    <t>WSI-M53</t>
  </si>
  <si>
    <t>SPE5E8-18-P-1917</t>
  </si>
  <si>
    <t>WSI-M54</t>
  </si>
  <si>
    <t>SPE7M2-18-P-1460</t>
  </si>
  <si>
    <t>WSI-M55</t>
  </si>
  <si>
    <t>SPE7MC-18-P-3402</t>
  </si>
  <si>
    <t>WORLD MAGNETICS</t>
  </si>
  <si>
    <t>WSI-M56</t>
  </si>
  <si>
    <t>SPE7MC-18-V-5245</t>
  </si>
  <si>
    <t>WSI-M57</t>
  </si>
  <si>
    <t>SPE7M0-18-V-6043</t>
  </si>
  <si>
    <t>WSI-M58</t>
  </si>
  <si>
    <t>SPE5E0-18-V-2623</t>
  </si>
  <si>
    <t>WSI-A01</t>
  </si>
  <si>
    <t>SPE5E4-18-V-5377</t>
  </si>
  <si>
    <t>Flowline</t>
  </si>
  <si>
    <t>WSI-A02</t>
  </si>
  <si>
    <t>SPE7M1-18-V-7008</t>
  </si>
  <si>
    <t>WSI-A03</t>
  </si>
  <si>
    <t>SPE7MC-18-V-5265</t>
  </si>
  <si>
    <t>WSI-A04</t>
  </si>
  <si>
    <t>SPE7M0-18-V-6180</t>
  </si>
  <si>
    <t>WSI-A05</t>
  </si>
  <si>
    <t>SPE7M0-18-V-6200</t>
  </si>
  <si>
    <t>WSI-A06</t>
  </si>
  <si>
    <t>SPE7M5-18-V-6898</t>
  </si>
  <si>
    <t>WSI-A07</t>
  </si>
  <si>
    <t>SPE5E7-18-P-2675</t>
  </si>
  <si>
    <t>WSI-A08</t>
  </si>
  <si>
    <t>SPE7M0-18-V-6205</t>
  </si>
  <si>
    <t>MAFO</t>
  </si>
  <si>
    <t>WSI-A09</t>
  </si>
  <si>
    <t>SPE7L7-18-V-1215</t>
  </si>
  <si>
    <t>Ultravolt</t>
  </si>
  <si>
    <t>WSI-A10</t>
  </si>
  <si>
    <t>SPE7M0-18-V-6259</t>
  </si>
  <si>
    <t>WSI-A11</t>
  </si>
  <si>
    <t>SPE5E2-18-V-6199</t>
  </si>
  <si>
    <t>Avibank</t>
  </si>
  <si>
    <t>WSI-A12</t>
  </si>
  <si>
    <t>WSI-A13</t>
  </si>
  <si>
    <t>SPE7M5-18-V-7116</t>
  </si>
  <si>
    <t>WSI-A14</t>
  </si>
  <si>
    <t>SPE7M5-18-V-7123</t>
  </si>
  <si>
    <t>SPE4A6-18-P-D935</t>
  </si>
  <si>
    <t>WSI-A16</t>
  </si>
  <si>
    <t>SPE7MC-18-V-5538</t>
  </si>
  <si>
    <t>WSI-A17</t>
  </si>
  <si>
    <t>SPE7M3-18-V-2884</t>
  </si>
  <si>
    <t>ITT, PAR</t>
  </si>
  <si>
    <t>WSI-A18</t>
  </si>
  <si>
    <t>SPE4A4-18-V-6103</t>
  </si>
  <si>
    <t>WSI-A19</t>
  </si>
  <si>
    <t>Aerofit Mod</t>
  </si>
  <si>
    <t>WSI-A20</t>
  </si>
  <si>
    <t>SPE7M9-18-P-0597</t>
  </si>
  <si>
    <t>WSI-A21</t>
  </si>
  <si>
    <t>SPE7M4-18-P-2470</t>
  </si>
  <si>
    <t>WSI-A22</t>
  </si>
  <si>
    <t>SPE7L3-18-V-6171</t>
  </si>
  <si>
    <t>WSI-A23</t>
  </si>
  <si>
    <t>SPE7M5-18-V-7336</t>
  </si>
  <si>
    <t>WSI-A24</t>
  </si>
  <si>
    <t>SPE7MC-18-V-5667</t>
  </si>
  <si>
    <t>WSI-A25</t>
  </si>
  <si>
    <t>SPE7MC-18-V-5663</t>
  </si>
  <si>
    <t>WSI-A26</t>
  </si>
  <si>
    <t>SPE7L7-18-V-1266</t>
  </si>
  <si>
    <t>WSI-A27</t>
  </si>
  <si>
    <t>SPE7MC-18-P-3641</t>
  </si>
  <si>
    <t>WSI-A28</t>
  </si>
  <si>
    <t>SPE7MC-18-V-5787</t>
  </si>
  <si>
    <t>Glenair Cancel</t>
  </si>
  <si>
    <t>SPE4A4-18-V-6269</t>
  </si>
  <si>
    <t>WSI-A30</t>
  </si>
  <si>
    <t>SPE7M8-18-V-1265</t>
  </si>
  <si>
    <t>WSI-A31</t>
  </si>
  <si>
    <t>SPE7M0-18-V-6629</t>
  </si>
  <si>
    <t>WSI-A32</t>
  </si>
  <si>
    <t>SPE4A6-18-P-E310</t>
  </si>
  <si>
    <t>WSI-A33</t>
  </si>
  <si>
    <t>SPE4A4-18-V-6360</t>
  </si>
  <si>
    <t>GEMS PAR Cancel</t>
  </si>
  <si>
    <t>SPE7L0-18-V-5135</t>
  </si>
  <si>
    <t>WSI-A35</t>
  </si>
  <si>
    <t>SPE4A4-18-V-6363</t>
  </si>
  <si>
    <t>WSI-A36</t>
  </si>
  <si>
    <t>SPE7M1-18-V-7788</t>
  </si>
  <si>
    <t>Phenix</t>
  </si>
  <si>
    <t>WSI-A37</t>
  </si>
  <si>
    <t>SPE7L0-18-V-5140</t>
  </si>
  <si>
    <t>KTSDI Cancel</t>
  </si>
  <si>
    <t>SPE7M5-18-V-7710</t>
  </si>
  <si>
    <t>Glenair cancel</t>
  </si>
  <si>
    <t>SPE4A4-18-V-6541</t>
  </si>
  <si>
    <t>WSI-A40</t>
  </si>
  <si>
    <t>SPE7MC-18-V-6077</t>
  </si>
  <si>
    <t>Glenair 14 extra</t>
  </si>
  <si>
    <t>WSI-A41</t>
  </si>
  <si>
    <t>SPE7M9-18-V-0722</t>
  </si>
  <si>
    <t>Glenair addl 4 or cancel</t>
  </si>
  <si>
    <t>WSI-A42</t>
  </si>
  <si>
    <t>SPE7M0-18-V-6888</t>
  </si>
  <si>
    <t>FCX</t>
  </si>
  <si>
    <t>WSI-A43</t>
  </si>
  <si>
    <t>SPE5E4-18-V-6102</t>
  </si>
  <si>
    <t>WSI-A44</t>
  </si>
  <si>
    <t>SPE7M0-18-P-2764</t>
  </si>
  <si>
    <t>STEDHAM</t>
  </si>
  <si>
    <t>WSI-A45</t>
  </si>
  <si>
    <t>SPE4A6-18-P-E772</t>
  </si>
  <si>
    <t>WSI-A46</t>
  </si>
  <si>
    <t>SPE7MC-18-V-6115</t>
  </si>
  <si>
    <t>Sauer PAR Price change</t>
  </si>
  <si>
    <t>SPE7M5-18-V-7924</t>
  </si>
  <si>
    <t>Metropole</t>
  </si>
  <si>
    <t>WSI-A48</t>
  </si>
  <si>
    <t>SPE7M0-18-V-7011</t>
  </si>
  <si>
    <t>WSI-A49</t>
  </si>
  <si>
    <t>SPE7M0-18-V-7017</t>
  </si>
  <si>
    <t>SPE7M1-18-P-4530</t>
  </si>
  <si>
    <t>Druck</t>
  </si>
  <si>
    <t>WSI-A51</t>
  </si>
  <si>
    <t>SPE7M5-18-V-8019</t>
  </si>
  <si>
    <t>Glenair 2 extra</t>
  </si>
  <si>
    <t>WSI-A52</t>
  </si>
  <si>
    <t>SPE7M5-18-V-8071</t>
  </si>
  <si>
    <t>WSI-A53</t>
  </si>
  <si>
    <t>SPE7L0-18-V-5600</t>
  </si>
  <si>
    <t>KTSDI wt issue check</t>
  </si>
  <si>
    <t>SPE7M0-18-V-7235</t>
  </si>
  <si>
    <t>TIMKEN</t>
  </si>
  <si>
    <t>WS-MY02</t>
  </si>
  <si>
    <t>SPE7M5-18-V-8132</t>
  </si>
  <si>
    <t>WS-MY03</t>
  </si>
  <si>
    <t>SPE5E9-18-P-2332</t>
  </si>
  <si>
    <t>AVIBANK wait for 27 awd</t>
  </si>
  <si>
    <t>WS-MY04</t>
  </si>
  <si>
    <t>SPE7MC-18-V-6391</t>
  </si>
  <si>
    <t>WS-MY05</t>
  </si>
  <si>
    <t>SPE7M5-18-V-8179</t>
  </si>
  <si>
    <t>ITT req change</t>
  </si>
  <si>
    <t>WS-MY06</t>
  </si>
  <si>
    <t>SPE7MC-18-V-6417</t>
  </si>
  <si>
    <t>WS-MY07</t>
  </si>
  <si>
    <t>SPE7M5-18-P-9785</t>
  </si>
  <si>
    <t>KONGSBERG</t>
  </si>
  <si>
    <t>SPE7M3-18-V-3417</t>
  </si>
  <si>
    <t>WM NUGENT Cancel</t>
  </si>
  <si>
    <t>SPE7M0-18-V-7510</t>
  </si>
  <si>
    <t>Glenair 5 avialble</t>
  </si>
  <si>
    <t>WS-MY10</t>
  </si>
  <si>
    <t>SPE7M5-18-P-9985</t>
  </si>
  <si>
    <t>WS-MY11</t>
  </si>
  <si>
    <t>SPE7M5-18-V-8436</t>
  </si>
  <si>
    <t>WS-MY12</t>
  </si>
  <si>
    <t>SPE7M5-18-P-A062</t>
  </si>
  <si>
    <t>SPE7M5-18-V-8497</t>
  </si>
  <si>
    <t>WS-MY14</t>
  </si>
  <si>
    <t>SPE7M5-18-V-8593</t>
  </si>
  <si>
    <t>WS-MY15</t>
  </si>
  <si>
    <t>SPE4A6-18-V-154U</t>
  </si>
  <si>
    <t>WS-MY16</t>
  </si>
  <si>
    <t>SPE7M1-18-P-4787</t>
  </si>
  <si>
    <t>WS-MY17</t>
  </si>
  <si>
    <t>SPE7MC-18-V-6786</t>
  </si>
  <si>
    <t>WS-MY18</t>
  </si>
  <si>
    <t>SPE7M1-18-V-9084</t>
  </si>
  <si>
    <t>Phornix</t>
  </si>
  <si>
    <t>WS-MY19</t>
  </si>
  <si>
    <t>SPE7MC-18-V-6825</t>
  </si>
  <si>
    <t>WS-MY20</t>
  </si>
  <si>
    <t>SPE7MC-18-V-6895</t>
  </si>
  <si>
    <t>WS-MY21</t>
  </si>
  <si>
    <t>SPE7M8-18-V-1467</t>
  </si>
  <si>
    <t>Morse</t>
  </si>
  <si>
    <t>WS-MY22</t>
  </si>
  <si>
    <t>SPE5E9-18-P-2542</t>
  </si>
  <si>
    <t>WS-MY23</t>
  </si>
  <si>
    <t>SPE7M0-18-V-7892</t>
  </si>
  <si>
    <t>Aerofit Waitin for 27 awrd</t>
  </si>
  <si>
    <t>WS-MY24</t>
  </si>
  <si>
    <t>WS-MY25</t>
  </si>
  <si>
    <t>SPE5E2-18-V-7779</t>
  </si>
  <si>
    <t>AVIBANK from stock</t>
  </si>
  <si>
    <t>SPE4A4-18-V-7707</t>
  </si>
  <si>
    <t>WS-MY28</t>
  </si>
  <si>
    <t>SPE7M5-18-V-9186</t>
  </si>
  <si>
    <t>WS-MY29</t>
  </si>
  <si>
    <t>SPE5E4-18-V-7103</t>
  </si>
  <si>
    <t>WS-MY30</t>
  </si>
  <si>
    <t>SPE7M0-18-V-8064</t>
  </si>
  <si>
    <t>WS-MY31</t>
  </si>
  <si>
    <t>SPE4A4-18-V-7842</t>
  </si>
  <si>
    <t>WS-MY32</t>
  </si>
  <si>
    <t>SPE7M1-18-V-9489</t>
  </si>
  <si>
    <t>Indeeco</t>
  </si>
  <si>
    <t>WS-MY33</t>
  </si>
  <si>
    <t>SPE4A6-18-V-196C</t>
  </si>
  <si>
    <t>POWER HEAT</t>
  </si>
  <si>
    <t>WS-MY34</t>
  </si>
  <si>
    <t>SPE7M5-18-V-9229</t>
  </si>
  <si>
    <t>WS-MY35</t>
  </si>
  <si>
    <t>SPE7M0-18-V-8133</t>
  </si>
  <si>
    <t>Sicentific</t>
  </si>
  <si>
    <t>WS-MY36</t>
  </si>
  <si>
    <t>SPE5E9-18-P-2626</t>
  </si>
  <si>
    <t>WS-MY37</t>
  </si>
  <si>
    <t>5 in stock</t>
  </si>
  <si>
    <t>SPE7MC-18-V-7295</t>
  </si>
  <si>
    <t>WS-MY38</t>
  </si>
  <si>
    <t>SPE5EJ-18-V-6017</t>
  </si>
  <si>
    <t>WS-MY39</t>
  </si>
  <si>
    <t>SPE5E8-18-V-6863</t>
  </si>
  <si>
    <t>WS-MY40</t>
  </si>
  <si>
    <t>SPE7L1-18-V-5717</t>
  </si>
  <si>
    <t>WS-MY41</t>
  </si>
  <si>
    <t>SPE7M1-18-V-9574</t>
  </si>
  <si>
    <t>WS-MY42</t>
  </si>
  <si>
    <t>SPE7L2-18-V-1493</t>
  </si>
  <si>
    <t>WS-MY43</t>
  </si>
  <si>
    <t>SPE5E2-18-V-8004</t>
  </si>
  <si>
    <t>WS-JU01</t>
  </si>
  <si>
    <t>SPE7L3-18-P-7123</t>
  </si>
  <si>
    <t>SPE7M8-18-V-1542</t>
  </si>
  <si>
    <t>Cole</t>
  </si>
  <si>
    <t>WS-JU02</t>
  </si>
  <si>
    <t>SPE7M4-18-P-3152</t>
  </si>
  <si>
    <t>PRECEE</t>
  </si>
  <si>
    <t>WS-JU03</t>
  </si>
  <si>
    <t>SPE5EJ-18-V-6194</t>
  </si>
  <si>
    <t>WS-JU04</t>
  </si>
  <si>
    <t>SPE7MC-18-V-7504</t>
  </si>
  <si>
    <t>WS-JU06</t>
  </si>
  <si>
    <t>SPE7MC-18-V-7580</t>
  </si>
  <si>
    <t>WS-JU07</t>
  </si>
  <si>
    <t>SPE5EM-18-V-5741</t>
  </si>
  <si>
    <t>ACE WIRE SPRING</t>
  </si>
  <si>
    <t>WS-JU08</t>
  </si>
  <si>
    <t>SPE7M5-18-V-9614</t>
  </si>
  <si>
    <t>WS-JY08</t>
  </si>
  <si>
    <t>SPE7M5-18-V-9756</t>
  </si>
  <si>
    <t>WS-JU10</t>
  </si>
  <si>
    <t>SPE7MC-18-V-7550</t>
  </si>
  <si>
    <t>Crane PAR Cancelled</t>
  </si>
  <si>
    <t>SPE7M5-18-V-9726</t>
  </si>
  <si>
    <t>WS-JU12</t>
  </si>
  <si>
    <t>SPE5EJ-18-V-6376</t>
  </si>
  <si>
    <t>MORRIS</t>
  </si>
  <si>
    <t>WS-JU13</t>
  </si>
  <si>
    <t>SPE5E9-18-V-4717</t>
  </si>
  <si>
    <t>AVIBANK Cancelled</t>
  </si>
  <si>
    <t>SPE5EK-18-P-1852</t>
  </si>
  <si>
    <t>FLOWLINS</t>
  </si>
  <si>
    <t>WS-JU15</t>
  </si>
  <si>
    <t>SPE7M8-18-V-1582</t>
  </si>
  <si>
    <t>WS-JU16</t>
  </si>
  <si>
    <t>SPE7M5-18-V-9842</t>
  </si>
  <si>
    <t>WS-JU17</t>
  </si>
  <si>
    <t>SPE7M4-18-P-3211</t>
  </si>
  <si>
    <t>WS-JU18</t>
  </si>
  <si>
    <t>SPE7M4-18-V-5312</t>
  </si>
  <si>
    <t>WS-JU19</t>
  </si>
  <si>
    <t>SPE7M3-18-V-4255</t>
  </si>
  <si>
    <t>WS-JU20</t>
  </si>
  <si>
    <t>SPE4A4-18-V-8421</t>
  </si>
  <si>
    <t>WS-JU21</t>
  </si>
  <si>
    <t>SPE4A6-18-V-257J</t>
  </si>
  <si>
    <t>WS-JU22</t>
  </si>
  <si>
    <t>SPE7M8-18-V-1663</t>
  </si>
  <si>
    <t>WS-JU23</t>
  </si>
  <si>
    <t>Glenair mod with 4 added</t>
  </si>
  <si>
    <t>SPE5E0-18-V-4254</t>
  </si>
  <si>
    <t>WS-JU25</t>
  </si>
  <si>
    <t>SPE4A4-18-V-8695</t>
  </si>
  <si>
    <t>GEMS Long Box</t>
  </si>
  <si>
    <t>WS-JU26</t>
  </si>
  <si>
    <t>SPE7M9-18-V-0914</t>
  </si>
  <si>
    <t>WS-JU27</t>
  </si>
  <si>
    <t>SPE7M5-18-P-B343</t>
  </si>
  <si>
    <t>WS-JU28</t>
  </si>
  <si>
    <t>SPE7M4-18-V-5486</t>
  </si>
  <si>
    <t>WS-JU29</t>
  </si>
  <si>
    <t>SPE4A4-18-V-8788</t>
  </si>
  <si>
    <t>WS-JU30</t>
  </si>
  <si>
    <t>SPE7M1-18-V-017B</t>
  </si>
  <si>
    <t>MORPAC PAR Mod</t>
  </si>
  <si>
    <t>WS-JU31</t>
  </si>
  <si>
    <t>SPE7MC-18-V-8087</t>
  </si>
  <si>
    <t>WS-JU32</t>
  </si>
  <si>
    <t>SPE7M5-18-P-B604</t>
  </si>
  <si>
    <t>WS-JU33</t>
  </si>
  <si>
    <t>SPE4A6-18-V-284Z</t>
  </si>
  <si>
    <t>WS-JU34</t>
  </si>
  <si>
    <t>SPE7M5-18-P-B598</t>
  </si>
  <si>
    <t>INDECO</t>
  </si>
  <si>
    <t>WS-JU35</t>
  </si>
  <si>
    <t>SPE4A4-18-V-8870</t>
  </si>
  <si>
    <t>WS-JU36</t>
  </si>
  <si>
    <t>SPE5EM-18-V-6151</t>
  </si>
  <si>
    <t>SPE7MC-18-V-8118</t>
  </si>
  <si>
    <t>WS-JU38</t>
  </si>
  <si>
    <t>SPE7MC-18-V-8185</t>
  </si>
  <si>
    <t>WS-JU39</t>
  </si>
  <si>
    <t>SPE7M5-18-V-015F</t>
  </si>
  <si>
    <t>Glenair Cancelled</t>
  </si>
  <si>
    <t>SPE7M8-18-P-2873</t>
  </si>
  <si>
    <t>WS-JU41</t>
  </si>
  <si>
    <t>SPE5EJ-18-V-6762</t>
  </si>
  <si>
    <t>WS-JU42</t>
  </si>
  <si>
    <t>SPE4A4-18-V-9049</t>
  </si>
  <si>
    <t>WS-JU43</t>
  </si>
  <si>
    <t>SPE7M4-18-V-5548</t>
  </si>
  <si>
    <t>SPE7M1-18-V-023D</t>
  </si>
  <si>
    <t>WS-JU45</t>
  </si>
  <si>
    <t>SPE7MC-18-V-8374</t>
  </si>
  <si>
    <t>WS-JU46</t>
  </si>
  <si>
    <t>SPE7M4-18-V-5567</t>
  </si>
  <si>
    <t>Advance Mfg</t>
  </si>
  <si>
    <t>WS-JU47</t>
  </si>
  <si>
    <t>SPE7M1-18-V-022Z</t>
  </si>
  <si>
    <t>WS-JU48</t>
  </si>
  <si>
    <t>SPE4A6-18-V-298X</t>
  </si>
  <si>
    <t>WS-JU49</t>
  </si>
  <si>
    <t>SPE7M9-18-V-0958</t>
  </si>
  <si>
    <t>WS-JU50</t>
  </si>
  <si>
    <t>SPE7L3-18-V-8790</t>
  </si>
  <si>
    <t>TIM PRICE</t>
  </si>
  <si>
    <t>WS-JU51</t>
  </si>
  <si>
    <t>SPE7M3-18-V-4633</t>
  </si>
  <si>
    <t>WS-JU52</t>
  </si>
  <si>
    <t>SPE5E8-18-V-7865</t>
  </si>
  <si>
    <t>WS-JU53</t>
  </si>
  <si>
    <t>SPE4A4-18-V-9402</t>
  </si>
  <si>
    <t>L-Com PAR Cancelled</t>
  </si>
  <si>
    <t>SPE4A0-18-V-1231</t>
  </si>
  <si>
    <t>WS-JU55</t>
  </si>
  <si>
    <t>SPE7M1-18-V-032P</t>
  </si>
  <si>
    <t>WS-JY01</t>
  </si>
  <si>
    <t>SPE7M4-18-P-3513</t>
  </si>
  <si>
    <t>WS-JY02</t>
  </si>
  <si>
    <t>SPE7M5-18-P-C141</t>
  </si>
  <si>
    <t>WS-JY03</t>
  </si>
  <si>
    <t>SPE4A4-18-V-9537</t>
  </si>
  <si>
    <t>GEMS Cancelled</t>
  </si>
  <si>
    <t>WS-JY04</t>
  </si>
  <si>
    <t>C S ANTENNAS</t>
  </si>
  <si>
    <t>WS-JY05</t>
  </si>
  <si>
    <t>SPE5E4-18-V-8477</t>
  </si>
  <si>
    <t>AVIBANK MFG</t>
  </si>
  <si>
    <t>WS-JY06</t>
  </si>
  <si>
    <t>SPE7M5-18-V-034S</t>
  </si>
  <si>
    <t>WS-JY07</t>
  </si>
  <si>
    <t>SPE7M5-18-V-034N</t>
  </si>
  <si>
    <t>SPE7M1-18-V-039N</t>
  </si>
  <si>
    <t>ELMA Cancel</t>
  </si>
  <si>
    <t>WS-JY09</t>
  </si>
  <si>
    <t>SPE7M5-18-P-C176</t>
  </si>
  <si>
    <t>WS-JY10</t>
  </si>
  <si>
    <t>SPE7M0-18-V-9397</t>
  </si>
  <si>
    <t>WS-JY11</t>
  </si>
  <si>
    <t>SPE5EJ-18-V-7085</t>
  </si>
  <si>
    <t>WS-JY13</t>
  </si>
  <si>
    <t>SPE5E7-18-V-5053</t>
  </si>
  <si>
    <t>SPE4A4-18-V-9734</t>
  </si>
  <si>
    <t>WS-JY14</t>
  </si>
  <si>
    <t>SPE5EK-18-V-5401</t>
  </si>
  <si>
    <t>WS-JY15</t>
  </si>
  <si>
    <t>SPE7M5-18-V-052L</t>
  </si>
  <si>
    <t>KONSBERG</t>
  </si>
  <si>
    <t>WS-JY16</t>
  </si>
  <si>
    <t>SPE7M5-18-V-050P</t>
  </si>
  <si>
    <t>WS-JY17</t>
  </si>
  <si>
    <t>SPE7M8-18-V-1882</t>
  </si>
  <si>
    <t>SPE7M5-18-V-051X</t>
  </si>
  <si>
    <t>WS-JY19</t>
  </si>
  <si>
    <t>SPE7M5-18-V-054R</t>
  </si>
  <si>
    <t>WS-JY20</t>
  </si>
  <si>
    <t>SPE7M0-18-V-9605</t>
  </si>
  <si>
    <t>WS-JY21</t>
  </si>
  <si>
    <t>SPE4A6-18-P-L089</t>
  </si>
  <si>
    <t>GEMS PAR Cancelled</t>
  </si>
  <si>
    <t>SPE5E0-18-V-4696</t>
  </si>
  <si>
    <t>LEE Spring</t>
  </si>
  <si>
    <t>WS-JY23</t>
  </si>
  <si>
    <t>SPE7M1-18-P-5926</t>
  </si>
  <si>
    <t>WS-JY24</t>
  </si>
  <si>
    <t>SPE7M5-18-V-058J</t>
  </si>
  <si>
    <t>WS-JY22</t>
  </si>
  <si>
    <t>SPE4A4-18-V-9936</t>
  </si>
  <si>
    <t>SPE4A4-18-V-9929</t>
  </si>
  <si>
    <t>WS-JY27</t>
  </si>
  <si>
    <t>SPE4A6-18-P-K799</t>
  </si>
  <si>
    <t>GEMS Long</t>
  </si>
  <si>
    <t>WS-JY28</t>
  </si>
  <si>
    <t>SPE4A5-18-V-2879</t>
  </si>
  <si>
    <t>Glenair PAR Cancelled</t>
  </si>
  <si>
    <t>WS-JY29</t>
  </si>
  <si>
    <t>SPE7M5-18-V-064U</t>
  </si>
  <si>
    <t>WS-JY30</t>
  </si>
  <si>
    <t>SPE4A6-18-P-L684</t>
  </si>
  <si>
    <t>WS-JY31</t>
  </si>
  <si>
    <t>SPE7M5-18-V-064J</t>
  </si>
  <si>
    <t>Phoneix Logistics</t>
  </si>
  <si>
    <t>WS-JY32</t>
  </si>
  <si>
    <t>SPE7M0-18-V-9958</t>
  </si>
  <si>
    <t>WS-JY33</t>
  </si>
  <si>
    <t>SPE4A4-18-V-008G</t>
  </si>
  <si>
    <t>WS-JY34</t>
  </si>
  <si>
    <t>SPE7M8-18-V-1980</t>
  </si>
  <si>
    <t>WS-JY35</t>
  </si>
  <si>
    <t>SPE7M8-18-V-1984</t>
  </si>
  <si>
    <t>WS-JY36</t>
  </si>
  <si>
    <t>SPE7M5-18-V-069N</t>
  </si>
  <si>
    <t>WS-JY37</t>
  </si>
  <si>
    <t>SPE5EK-18-V-5636</t>
  </si>
  <si>
    <t>WS-JY38</t>
  </si>
  <si>
    <t>SPE7M8-18-P-3233</t>
  </si>
  <si>
    <t>WS-JY39</t>
  </si>
  <si>
    <t>SPE7M8-18-P-3238</t>
  </si>
  <si>
    <t>WS-JY40</t>
  </si>
  <si>
    <t>SPE5E2-18-P-1233</t>
  </si>
  <si>
    <t>Lee spring</t>
  </si>
  <si>
    <t>WS-JY41</t>
  </si>
  <si>
    <t>SPE7MC-18-V-9439</t>
  </si>
  <si>
    <t>WS-JY42</t>
  </si>
  <si>
    <t>SPE4A0-18-V-1442</t>
  </si>
  <si>
    <t>WS-AU01</t>
  </si>
  <si>
    <t>SPE8EN-18-P-0956</t>
  </si>
  <si>
    <t>WS-AU02</t>
  </si>
  <si>
    <t>SPE7M5-18-V-082D</t>
  </si>
  <si>
    <t>WS-AU03</t>
  </si>
  <si>
    <t>SPE7M4-18-V-6129</t>
  </si>
  <si>
    <t>DRUCK PAR</t>
  </si>
  <si>
    <t>WS-AU04</t>
  </si>
  <si>
    <t>SPE5EM-18-P-1770</t>
  </si>
  <si>
    <t>Morris</t>
  </si>
  <si>
    <t>WS-AU05</t>
  </si>
  <si>
    <t>SPE7M8-18-P-3331</t>
  </si>
  <si>
    <t>WS-AU06</t>
  </si>
  <si>
    <t>SPE7MC-18-V-9631</t>
  </si>
  <si>
    <t>WS-AU07</t>
  </si>
  <si>
    <t>SPE7M1-18-V-075W</t>
  </si>
  <si>
    <t>WS-AU08</t>
  </si>
  <si>
    <t>SPE7L0-18-V-8007</t>
  </si>
  <si>
    <t>HIAB PAR ancelled</t>
  </si>
  <si>
    <t>SPE7M0-18-V-023S</t>
  </si>
  <si>
    <t>WS-AU10</t>
  </si>
  <si>
    <t>SPE7M5-18-V-094L</t>
  </si>
  <si>
    <t>LAIRD</t>
  </si>
  <si>
    <t>WS-AU11</t>
  </si>
  <si>
    <t>SPE7M5-18-P-E650</t>
  </si>
  <si>
    <t>WS-AU12</t>
  </si>
  <si>
    <t>SPE7M0-18-V-026B</t>
  </si>
  <si>
    <t>WS-AU13</t>
  </si>
  <si>
    <t>SPE4A6-18-V-420Z</t>
  </si>
  <si>
    <t>USBGEAR-Desti</t>
  </si>
  <si>
    <t>SPE7M518V097G</t>
  </si>
  <si>
    <t>WS-AU15</t>
  </si>
  <si>
    <t>SPE7M5-18-V-097K</t>
  </si>
  <si>
    <t>Glenair PAR</t>
  </si>
  <si>
    <t>WS-AU16</t>
  </si>
  <si>
    <t>SPE7M2-18-V-1623</t>
  </si>
  <si>
    <t>Glenair 13 avialble</t>
  </si>
  <si>
    <t>WS-AU17</t>
  </si>
  <si>
    <t>SPE7M5-18-V-097X</t>
  </si>
  <si>
    <t>ITT PAR Cancelled</t>
  </si>
  <si>
    <t>SPE5EM-18-V-7439</t>
  </si>
  <si>
    <t>WS-AU19</t>
  </si>
  <si>
    <t>SPE7MC-18-V-9823</t>
  </si>
  <si>
    <t>WS-AU20</t>
  </si>
  <si>
    <t>SPE7M8-18-V-2154</t>
  </si>
  <si>
    <t>CPI PAR cancelled</t>
  </si>
  <si>
    <t>SPE7M5-18-V-096M</t>
  </si>
  <si>
    <t>WS-AU22</t>
  </si>
  <si>
    <t>orderd 100</t>
  </si>
  <si>
    <t>SPE5E318V8004</t>
  </si>
  <si>
    <t>AVIBANK PAR</t>
  </si>
  <si>
    <t>SPE7MC-18-V-001F</t>
  </si>
  <si>
    <t>WS-AU24</t>
  </si>
  <si>
    <t>SPE4A618V437H</t>
  </si>
  <si>
    <t>WS-AU25</t>
  </si>
  <si>
    <t>SPE7M5-18-P-E909</t>
  </si>
  <si>
    <t>WS-AU26</t>
  </si>
  <si>
    <t>SPE7M0-18-V-037M</t>
  </si>
  <si>
    <t>WS-AU27</t>
  </si>
  <si>
    <t>SPE7M5-18-P-E934</t>
  </si>
  <si>
    <t>ITT PAR</t>
  </si>
  <si>
    <t>SPE5EJ-18-V-7973</t>
  </si>
  <si>
    <t>WS-AU29</t>
  </si>
  <si>
    <t>SPE7M8-18-V-2294</t>
  </si>
  <si>
    <t>WS-AU30</t>
  </si>
  <si>
    <t>SPE7M0-18-V-047D</t>
  </si>
  <si>
    <t>WS-AU31</t>
  </si>
  <si>
    <t>SPE7M1-18-P-6544</t>
  </si>
  <si>
    <t>WS-AU32</t>
  </si>
  <si>
    <t>SPE5EJ-18-V-8066</t>
  </si>
  <si>
    <t>WS-AU33</t>
  </si>
  <si>
    <t>SPE7L3-18-P-9546</t>
  </si>
  <si>
    <t>TMKEN</t>
  </si>
  <si>
    <t>WS-AU34</t>
  </si>
  <si>
    <t>SPE7M1-18-V-103R</t>
  </si>
  <si>
    <t>WS-AU35</t>
  </si>
  <si>
    <t>SPE7M8-18-V-2315</t>
  </si>
  <si>
    <t>WS-AU36</t>
  </si>
  <si>
    <t>SPE7M0-18-V-050D</t>
  </si>
  <si>
    <t>WS-AU37</t>
  </si>
  <si>
    <t>SPE7M8-18-V-2314</t>
  </si>
  <si>
    <t>WS-AU38</t>
  </si>
  <si>
    <t>SPE4A4-18-V-058Z</t>
  </si>
  <si>
    <t>WS-AU39</t>
  </si>
  <si>
    <t>SPE7MC-18-V-020N</t>
  </si>
  <si>
    <t>WS-AU40</t>
  </si>
  <si>
    <t>SPE5EK-18-V-6312</t>
  </si>
  <si>
    <t>WS-AU41</t>
  </si>
  <si>
    <t>orderd 35, 3extra</t>
  </si>
  <si>
    <t>SPE4A4-18-V-061A</t>
  </si>
  <si>
    <t>WS-AU42</t>
  </si>
  <si>
    <t>SPE7M5-18-V-133Z</t>
  </si>
  <si>
    <t>DRUK</t>
  </si>
  <si>
    <t>WS-AU43</t>
  </si>
  <si>
    <t>SPE7M5-18-V-134A</t>
  </si>
  <si>
    <t>Glenair, orderd 20</t>
  </si>
  <si>
    <t>WS-AU44</t>
  </si>
  <si>
    <t>orderd 20, 7 extra</t>
  </si>
  <si>
    <t>SPE7M5-18-V-131G</t>
  </si>
  <si>
    <t>WS-AU45</t>
  </si>
  <si>
    <t>SPE7M5-18-V-139P</t>
  </si>
  <si>
    <t>ITT Cancell</t>
  </si>
  <si>
    <t>SPE4A6-18-V-485F</t>
  </si>
  <si>
    <t>Glenair orderd 7</t>
  </si>
  <si>
    <t>WS-SE02</t>
  </si>
  <si>
    <t>SPE7L2-18-V-2074</t>
  </si>
  <si>
    <t>KDSTI</t>
  </si>
  <si>
    <t>WS-SE03</t>
  </si>
  <si>
    <t>SPE7M5-18-V-140Z</t>
  </si>
  <si>
    <t>PHOenix</t>
  </si>
  <si>
    <t>WS-SE04</t>
  </si>
  <si>
    <t>SPE7MC-18-V-029B</t>
  </si>
  <si>
    <t>WS-SE05</t>
  </si>
  <si>
    <t>SPE5EM-18-V-7897</t>
  </si>
  <si>
    <t>WS-SE06</t>
  </si>
  <si>
    <t>SPE4A6-18-V-487E</t>
  </si>
  <si>
    <t>Olympus</t>
  </si>
  <si>
    <t>WS-SE07</t>
  </si>
  <si>
    <t>SPE7M5-18-V-151U</t>
  </si>
  <si>
    <t>Pheonix</t>
  </si>
  <si>
    <t>WS-SE08</t>
  </si>
  <si>
    <t>SPE7M1-18-P-6931</t>
  </si>
  <si>
    <t>WS-SE09</t>
  </si>
  <si>
    <t>SPE7M5-18-V-148F</t>
  </si>
  <si>
    <t>WS-SE10</t>
  </si>
  <si>
    <t>SPE7M2-18-V-1771</t>
  </si>
  <si>
    <t>WS-SE11</t>
  </si>
  <si>
    <t>SPE7M0-18-V-067V</t>
  </si>
  <si>
    <t>Glenair orderd under SE18</t>
  </si>
  <si>
    <t>WS-SE18</t>
  </si>
  <si>
    <t>SPE7M5-18-V-160S</t>
  </si>
  <si>
    <t>WS-SE13</t>
  </si>
  <si>
    <t>SPE5E2-18-V-047T</t>
  </si>
  <si>
    <t>WS-SE14</t>
  </si>
  <si>
    <t>SPE7M5-18-V-157G</t>
  </si>
  <si>
    <t>Glenair Orderd 500</t>
  </si>
  <si>
    <t>WS-SE15</t>
  </si>
  <si>
    <t>orderd 500</t>
  </si>
  <si>
    <t>SPE7M8-18-P-3723</t>
  </si>
  <si>
    <t>WS-SE17</t>
  </si>
  <si>
    <t>SPE7M1-18-V-129B</t>
  </si>
  <si>
    <t>Glenair orderd 20</t>
  </si>
  <si>
    <t>SPE5EM-18-V-8169</t>
  </si>
  <si>
    <t>Ace Spring 6 for stock</t>
  </si>
  <si>
    <t>SPE7M8-18-V-2571</t>
  </si>
  <si>
    <t>WS-SE19</t>
  </si>
  <si>
    <t>SPE4A6-18-V-515C</t>
  </si>
  <si>
    <t>WS-SE20</t>
  </si>
  <si>
    <t>SPE4A6-18-V-515Q</t>
  </si>
  <si>
    <t>Avibank orderd 56</t>
  </si>
  <si>
    <t>WS-SE21</t>
  </si>
  <si>
    <t>orderd 56</t>
  </si>
  <si>
    <t>SPE7M5-18-V-170H</t>
  </si>
  <si>
    <t>WS-SE22</t>
  </si>
  <si>
    <t>orderd 63</t>
  </si>
  <si>
    <t>SPE7M8-18-P-3803</t>
  </si>
  <si>
    <t>CAMERON PAR Cancelled</t>
  </si>
  <si>
    <t>SPE7M8-18-V-2573</t>
  </si>
  <si>
    <t>CPI 4 in stock</t>
  </si>
  <si>
    <t>WS-SE24</t>
  </si>
  <si>
    <t>SPE7M5-18-V-172C</t>
  </si>
  <si>
    <t>WS-SE25</t>
  </si>
  <si>
    <t>SPE7MC-18-V-048T</t>
  </si>
  <si>
    <t>Indeco</t>
  </si>
  <si>
    <t>WS-SE26</t>
  </si>
  <si>
    <t>SPE7M0-18-V-078B</t>
  </si>
  <si>
    <t>WS-SE27</t>
  </si>
  <si>
    <t>SPE7M0-18-P-4360</t>
  </si>
  <si>
    <t>WS-SE28</t>
  </si>
  <si>
    <t>SPE7MC-18-V-055B</t>
  </si>
  <si>
    <t>WS-SE29</t>
  </si>
  <si>
    <t>SPE7MC-18-V-053V</t>
  </si>
  <si>
    <t>WS-SE30</t>
  </si>
  <si>
    <t>SPE7M5-18-P-G139</t>
  </si>
  <si>
    <t>Glenair Cancel Qlty</t>
  </si>
  <si>
    <t>SPE7M5-18-V-180Y</t>
  </si>
  <si>
    <t>Glenair Order 7</t>
  </si>
  <si>
    <t>WS-SE32</t>
  </si>
  <si>
    <t>SPE7MC-18-V-057M</t>
  </si>
  <si>
    <t>Glenair orderd 10</t>
  </si>
  <si>
    <t>WS-SE33</t>
  </si>
  <si>
    <t>SPE4A4-18-V-090R</t>
  </si>
  <si>
    <t>WS-SE34</t>
  </si>
  <si>
    <t>SPE7M5-18-V-176U</t>
  </si>
  <si>
    <t>WS-SE35</t>
  </si>
  <si>
    <t>SPE4A6-18-P-Q659</t>
  </si>
  <si>
    <t>MORPACK</t>
  </si>
  <si>
    <t>WS-SE36</t>
  </si>
  <si>
    <t>SPE4A6-18-V-553L</t>
  </si>
  <si>
    <t>Glenair orderd 76,15 fro 9992</t>
  </si>
  <si>
    <t>SPE4A6-18-V-551J</t>
  </si>
  <si>
    <t>L-COM Cancel</t>
  </si>
  <si>
    <t>SPE7M1-18-V-145P</t>
  </si>
  <si>
    <t>WS-SE39</t>
  </si>
  <si>
    <t>SPE7M5-18-P-G339</t>
  </si>
  <si>
    <t>WS-SE40</t>
  </si>
  <si>
    <t>SPE7MC-18-V-063E</t>
  </si>
  <si>
    <t>Pauli Systems</t>
  </si>
  <si>
    <t>WS-SE41</t>
  </si>
  <si>
    <t>SPE7M9-18-P-1077</t>
  </si>
  <si>
    <t>Clean-Seal</t>
  </si>
  <si>
    <t>WS-SE42</t>
  </si>
  <si>
    <t>SPE5E3-18-V-9163</t>
  </si>
  <si>
    <t>Lee Spring</t>
  </si>
  <si>
    <t>WS-SE43</t>
  </si>
  <si>
    <t>SPE7M8-18-P-3946</t>
  </si>
  <si>
    <t>WS-SE44</t>
  </si>
  <si>
    <t>SPE7L3-18-V-063N</t>
  </si>
  <si>
    <t>WS-SE45</t>
  </si>
  <si>
    <t>SPE4A6-18-V-561J</t>
  </si>
  <si>
    <t>WS-SE46</t>
  </si>
  <si>
    <t>SPE7M5-18-V-192K</t>
  </si>
  <si>
    <t>WS-SE47</t>
  </si>
  <si>
    <t>SPE7M5-18-V-193S</t>
  </si>
  <si>
    <t>Glenair orderd 35</t>
  </si>
  <si>
    <t>WS-SE48</t>
  </si>
  <si>
    <t>SPE7MC-18-V-070R</t>
  </si>
  <si>
    <t>WS-SE49</t>
  </si>
  <si>
    <t>SPE4A6-19-V-0130</t>
  </si>
  <si>
    <t>WS-OC01</t>
  </si>
  <si>
    <t>SPE7M5-19-V-0034</t>
  </si>
  <si>
    <t>WS-OC02</t>
  </si>
  <si>
    <t>SPE7L319V0001</t>
  </si>
  <si>
    <t>WS-OC03</t>
  </si>
  <si>
    <t>SPE7M5-19-V-0010</t>
  </si>
  <si>
    <t>WS-NV02</t>
  </si>
  <si>
    <t>SPE5EM-19-V-0037</t>
  </si>
  <si>
    <t>ACE</t>
  </si>
  <si>
    <t>SPE7M5-19-V-0118</t>
  </si>
  <si>
    <t>Glenair orderd 50</t>
  </si>
  <si>
    <t>WS-OC05</t>
  </si>
  <si>
    <t>SPE7M8-19-V-0065</t>
  </si>
  <si>
    <t>WS-OC06</t>
  </si>
  <si>
    <t>SPE7M1-19-V-0154</t>
  </si>
  <si>
    <t>WS-OC07</t>
  </si>
  <si>
    <t>SPE7MC-19-V-0207</t>
  </si>
  <si>
    <t>WS-OC08</t>
  </si>
  <si>
    <t>SPE7L0-19-V-0222</t>
  </si>
  <si>
    <t>WS-OC09</t>
  </si>
  <si>
    <t>SPE7M1-19-P-0157</t>
  </si>
  <si>
    <t>WS-OC11</t>
  </si>
  <si>
    <t>SPE8E8-19-V-0083</t>
  </si>
  <si>
    <t>WS-OC12</t>
  </si>
  <si>
    <t>SPE7M0-19-V-0310</t>
  </si>
  <si>
    <t>WS-OC13</t>
  </si>
  <si>
    <t>Kampi PO 274161</t>
  </si>
  <si>
    <t>Avibank toKampi</t>
  </si>
  <si>
    <t>WS</t>
  </si>
  <si>
    <t>SPE7M1-19-V-0386</t>
  </si>
  <si>
    <t>Glenair orderd 20,</t>
  </si>
  <si>
    <t>WS-OC15</t>
  </si>
  <si>
    <t>SPE8E7-19-P-0125</t>
  </si>
  <si>
    <t>Tim Price</t>
  </si>
  <si>
    <t>WS-OC16</t>
  </si>
  <si>
    <t>SPE7MC-19-V-0312</t>
  </si>
  <si>
    <t>WS-OC17</t>
  </si>
  <si>
    <t>SPE7M5-19-V-0303</t>
  </si>
  <si>
    <t>Phoenix Logistics</t>
  </si>
  <si>
    <t>WS-OC18</t>
  </si>
  <si>
    <t>SPE7M0-19-V-0369</t>
  </si>
  <si>
    <t>Morris Crane</t>
  </si>
  <si>
    <t>WS-OC19</t>
  </si>
  <si>
    <t>SPE7MC-19-V-0323</t>
  </si>
  <si>
    <t>WS-OC20</t>
  </si>
  <si>
    <t>SPE7MC-19-V-0345</t>
  </si>
  <si>
    <t>WS-OC21</t>
  </si>
  <si>
    <t>SPE7M1-19-V-0399</t>
  </si>
  <si>
    <t>WS-OC22</t>
  </si>
  <si>
    <t>SPE7M8-19-V-0134</t>
  </si>
  <si>
    <t>GEMS LONG BOX</t>
  </si>
  <si>
    <t>WS-OC23</t>
  </si>
  <si>
    <t>SPE7M5-19-V-0503</t>
  </si>
  <si>
    <t>Glenair order 20</t>
  </si>
  <si>
    <t>WS-OC24</t>
  </si>
  <si>
    <t>SPE7M5-19-V-0399</t>
  </si>
  <si>
    <t>Glenair order 10</t>
  </si>
  <si>
    <t>WS-OC25</t>
  </si>
  <si>
    <t>SPE7M5-19-V-0424</t>
  </si>
  <si>
    <t>SPE4A4-19-V-0488</t>
  </si>
  <si>
    <t>WS-OC27</t>
  </si>
  <si>
    <t>SPE7M519P0693</t>
  </si>
  <si>
    <t>WS-OC28</t>
  </si>
  <si>
    <t>SPE4A6-19-V-1302</t>
  </si>
  <si>
    <t>WS-OC29</t>
  </si>
  <si>
    <t>SPE4A6-19-V-1320</t>
  </si>
  <si>
    <t>WS-OC30</t>
  </si>
  <si>
    <t>SPE7M1-19-V-0907</t>
  </si>
  <si>
    <t>MOPACK</t>
  </si>
  <si>
    <t>WS-OC31</t>
  </si>
  <si>
    <t>SPE7M5-19-V-0886</t>
  </si>
  <si>
    <t>WS-OC32</t>
  </si>
  <si>
    <t>SPE7L3-19-V-0886</t>
  </si>
  <si>
    <t>HIAB USA</t>
  </si>
  <si>
    <t>WS-OC33</t>
  </si>
  <si>
    <t>SPE7MC-19-V-1029</t>
  </si>
  <si>
    <t>PBM PAR</t>
  </si>
  <si>
    <t>WS-OC34</t>
  </si>
  <si>
    <t>SPE4A4-19-V-0839</t>
  </si>
  <si>
    <t>SPE5EK-19-V-0569</t>
  </si>
  <si>
    <t>WS-OC36</t>
  </si>
  <si>
    <t>SPE4A6-19-V-2008</t>
  </si>
  <si>
    <t>SPE7M0-19-V-1070</t>
  </si>
  <si>
    <t>Glenair orderd 4,2203</t>
  </si>
  <si>
    <t>WS-OC38</t>
  </si>
  <si>
    <t>SPE7MC-19-V-1225</t>
  </si>
  <si>
    <t>WS-NV01</t>
  </si>
  <si>
    <t>Glenair incl others</t>
  </si>
  <si>
    <t>SPE4A6-19-P-2562</t>
  </si>
  <si>
    <t>WS-NV03</t>
  </si>
  <si>
    <t>SPE7M1-19-V-1276</t>
  </si>
  <si>
    <t>Glenair, 50,29stock</t>
  </si>
  <si>
    <t>WS-NV04</t>
  </si>
  <si>
    <t>SPE7M8-19-P-0413</t>
  </si>
  <si>
    <t>WS-NV05</t>
  </si>
  <si>
    <t>SPE7L3-19-V-1233</t>
  </si>
  <si>
    <t>GlenairPAR Submitted</t>
  </si>
  <si>
    <t>SPE5EJ-19-V-0919</t>
  </si>
  <si>
    <t>WS-NV07</t>
  </si>
  <si>
    <t>SPE7M5-19-V-1575</t>
  </si>
  <si>
    <t>Glenair, 20</t>
  </si>
  <si>
    <t>WS-NV08</t>
  </si>
  <si>
    <t>SPE7M5-19-V-1494</t>
  </si>
  <si>
    <t>WS-NV09</t>
  </si>
  <si>
    <t>SPE4A4-19-V-1350</t>
  </si>
  <si>
    <t>WS-NV10</t>
  </si>
  <si>
    <t>SPE5EJ-19-V-1032</t>
  </si>
  <si>
    <t>XYLEM</t>
  </si>
  <si>
    <t>WS-NV11</t>
  </si>
  <si>
    <t>SPE4A6-19-V-2772</t>
  </si>
  <si>
    <t>WS-NV12</t>
  </si>
  <si>
    <t>SPE7M5-19-V-1949</t>
  </si>
  <si>
    <t>WS-NV13</t>
  </si>
  <si>
    <t>SPE7L5-19-V-0376</t>
  </si>
  <si>
    <t>PRECISION GOVERNORS</t>
  </si>
  <si>
    <t>WS-NV14</t>
  </si>
  <si>
    <t>SPE7M3-19-V-0983</t>
  </si>
  <si>
    <t>General Rubber</t>
  </si>
  <si>
    <t>WS-NV15</t>
  </si>
  <si>
    <t>SPE4A4-19-V-1452</t>
  </si>
  <si>
    <t>WS-NV16</t>
  </si>
  <si>
    <t>SPE7L3-19-V-1740</t>
  </si>
  <si>
    <t>HIAB Cancel</t>
  </si>
  <si>
    <t>SPE7M5-19-V-2162</t>
  </si>
  <si>
    <t>KOOLTRONICS PAR</t>
  </si>
  <si>
    <t>WS-NV18</t>
  </si>
  <si>
    <t>SPE5EJ-19-V-1243</t>
  </si>
  <si>
    <t>WS-NV19</t>
  </si>
  <si>
    <t>SPE7M1-19-V-1816</t>
  </si>
  <si>
    <t>WS-NV20</t>
  </si>
  <si>
    <t>SPE7M2-19-V-0371</t>
  </si>
  <si>
    <t>COLE</t>
  </si>
  <si>
    <t>WS-NV21</t>
  </si>
  <si>
    <t>SPE7M0-19-V-2067</t>
  </si>
  <si>
    <t>WS-NV22</t>
  </si>
  <si>
    <t>SPE7M1-19-V-1865</t>
  </si>
  <si>
    <t>WS-NV23</t>
  </si>
  <si>
    <t>SPE7L3-19-P-1501</t>
  </si>
  <si>
    <t>WS-NV24</t>
  </si>
  <si>
    <t>SPE7M8-19-P-0629</t>
  </si>
  <si>
    <t>WS-NV25</t>
  </si>
  <si>
    <t>SPE7M0-19-V-2203</t>
  </si>
  <si>
    <t>SPE7M8-19-P-0574</t>
  </si>
  <si>
    <t>WS-NV27</t>
  </si>
  <si>
    <t>SPE7L7-19-P-1141</t>
  </si>
  <si>
    <t>WS-NV28</t>
  </si>
  <si>
    <t>SPE8E8-19-V-0534</t>
  </si>
  <si>
    <t>WS-NV29</t>
  </si>
  <si>
    <t>SPE7M5-19-V-2578</t>
  </si>
  <si>
    <t>WS-NV30</t>
  </si>
  <si>
    <t>SPE7M3-19-P-1185</t>
  </si>
  <si>
    <t>WS-NV31</t>
  </si>
  <si>
    <t>SPE5E7-19-V-1260</t>
  </si>
  <si>
    <t>WS-NV32</t>
  </si>
  <si>
    <t>SPE8E8-19-P-0195</t>
  </si>
  <si>
    <t>WS-DE01</t>
  </si>
  <si>
    <t>SPE7M8-19-P-0704</t>
  </si>
  <si>
    <t>WS-DE02</t>
  </si>
  <si>
    <t>SPE7M0-19-V-2444</t>
  </si>
  <si>
    <t>R. Kern</t>
  </si>
  <si>
    <t>WS-DE03</t>
  </si>
  <si>
    <t>SPE7MC-19-V-2348</t>
  </si>
  <si>
    <t>SPE7M8-19-V-0763</t>
  </si>
  <si>
    <t>Glenair Orderd 50</t>
  </si>
  <si>
    <t>WS-DE05</t>
  </si>
  <si>
    <t>SPE5EK-19-V-1416</t>
  </si>
  <si>
    <t>WS-DE06</t>
  </si>
  <si>
    <t>SPE5E2-19-V-2092</t>
  </si>
  <si>
    <t>LeeSpring</t>
  </si>
  <si>
    <t>WS-DE07</t>
  </si>
  <si>
    <t>SPE5EK-19-V-1400</t>
  </si>
  <si>
    <t>LEE SPRING</t>
  </si>
  <si>
    <t>WS-DE08</t>
  </si>
  <si>
    <t>SPE7M0-19-P-0818</t>
  </si>
  <si>
    <t>GEMS PAR</t>
  </si>
  <si>
    <t>SPE7M5-19-P-2533</t>
  </si>
  <si>
    <t>WS-DE10</t>
  </si>
  <si>
    <t>SPE7M5-19-V-3120</t>
  </si>
  <si>
    <t>WS-DE11</t>
  </si>
  <si>
    <t>SPE4A6-19-V-4814</t>
  </si>
  <si>
    <t>WS-DE12</t>
  </si>
  <si>
    <t>SPE7M1-19-V-2266</t>
  </si>
  <si>
    <t>WS-DE13</t>
  </si>
  <si>
    <t>SPE7M3-19-V-1532</t>
  </si>
  <si>
    <t>WS-DE14</t>
  </si>
  <si>
    <t>SPE7M0-19-V-2718</t>
  </si>
  <si>
    <t>WS-DE15</t>
  </si>
  <si>
    <t>SPE7MC-19-V-2823</t>
  </si>
  <si>
    <t>WS-DE16</t>
  </si>
  <si>
    <t>SPE7L7-19-P-1309</t>
  </si>
  <si>
    <t>WS-DE17</t>
  </si>
  <si>
    <t>SPE8E7-19-V-0440</t>
  </si>
  <si>
    <t>TIM PRICE Cancel</t>
  </si>
  <si>
    <t>WS-DE18</t>
  </si>
  <si>
    <t>SPE4A4-19-V-2367</t>
  </si>
  <si>
    <t>WS-DE19</t>
  </si>
  <si>
    <t>SPE7M0-19-V-2807</t>
  </si>
  <si>
    <t>WS-DE20</t>
  </si>
  <si>
    <t>SPE5EK-19-V-1672</t>
  </si>
  <si>
    <t>WS-DE21</t>
  </si>
  <si>
    <t>SPE5EK-19-V-1689</t>
  </si>
  <si>
    <t>WS-DE22</t>
  </si>
  <si>
    <t>SPE4A6-19-V-5478</t>
  </si>
  <si>
    <t>L-Com, Cancellation PAR</t>
  </si>
  <si>
    <t>SPE7M5-19-P-2894</t>
  </si>
  <si>
    <t>SPE7M5-19-V-3573</t>
  </si>
  <si>
    <t>WS-DE25</t>
  </si>
  <si>
    <t>SPE4A6-19-V-5558</t>
  </si>
  <si>
    <t>WS-DE26</t>
  </si>
  <si>
    <t>SPE7M5-19-V-3594</t>
  </si>
  <si>
    <t>Atrenne</t>
  </si>
  <si>
    <t>WS-DE27</t>
  </si>
  <si>
    <t>SPE7M5-19-V-3616</t>
  </si>
  <si>
    <t>GlenairQTY 250</t>
  </si>
  <si>
    <t>FE1917</t>
  </si>
  <si>
    <t>SPE7M5-19-V-3617</t>
  </si>
  <si>
    <t>WS-DE29</t>
  </si>
  <si>
    <t>SPE7M5-19-P-2893</t>
  </si>
  <si>
    <t>WS-DE30</t>
  </si>
  <si>
    <t>SPE7M1-19-V-2669</t>
  </si>
  <si>
    <t>The Lee</t>
  </si>
  <si>
    <t>WS-DE31</t>
  </si>
  <si>
    <t>SPE7M1-19-V-2665</t>
  </si>
  <si>
    <t>CPI PAR</t>
  </si>
  <si>
    <t>SPE4A4-19-V-2749</t>
  </si>
  <si>
    <t>SPE7M5-19-P-3027</t>
  </si>
  <si>
    <t>SPE7M0-19-V-3085</t>
  </si>
  <si>
    <t>WS-DE35</t>
  </si>
  <si>
    <t>SPE7M1-19-V-2748</t>
  </si>
  <si>
    <t>HIAB  Cancellation</t>
  </si>
  <si>
    <t>WS-DE36</t>
  </si>
  <si>
    <t>SPE4A6-19-P-5567</t>
  </si>
  <si>
    <t>WS-DE37</t>
  </si>
  <si>
    <t>SPE5E8-19-V-2573</t>
  </si>
  <si>
    <t>WS-DE38</t>
  </si>
  <si>
    <t>SPE4A6-19-P-5262</t>
  </si>
  <si>
    <t>SPE7M0-19-V-3206</t>
  </si>
  <si>
    <t>WS-DE40</t>
  </si>
  <si>
    <t>SPE5EK-19-V-1827</t>
  </si>
  <si>
    <t>WS-DE41</t>
  </si>
  <si>
    <t>NSN</t>
  </si>
  <si>
    <t>QTY</t>
  </si>
  <si>
    <t>Award Date</t>
  </si>
  <si>
    <t>SPE4A6-19-V-6191</t>
  </si>
  <si>
    <t>JA1901</t>
  </si>
  <si>
    <t>SPE7M5-19-V-3956</t>
  </si>
  <si>
    <t>Atrenne Computing</t>
  </si>
  <si>
    <t>JA1902</t>
  </si>
  <si>
    <t>SPE5E7-19-V-1811</t>
  </si>
  <si>
    <t>JA1903</t>
  </si>
  <si>
    <t>SPE7L7-19-V-0436</t>
  </si>
  <si>
    <t>Ultravolt,</t>
  </si>
  <si>
    <t>JA1904</t>
  </si>
  <si>
    <t>SPE7MC-19-V-3200</t>
  </si>
  <si>
    <t>JA1905</t>
  </si>
  <si>
    <t>SPE7M0-19-V-3325</t>
  </si>
  <si>
    <t>JA1906</t>
  </si>
  <si>
    <t>SPE4A6-19-P-5782</t>
  </si>
  <si>
    <t>SPE7M8-19-V-1067</t>
  </si>
  <si>
    <t>GEMS 5lbsea</t>
  </si>
  <si>
    <t>JA1908</t>
  </si>
  <si>
    <t>SPE7L7-19-V-0460</t>
  </si>
  <si>
    <t>Elma</t>
  </si>
  <si>
    <t>JA1909</t>
  </si>
  <si>
    <t>SPE7M5-19-V-4039</t>
  </si>
  <si>
    <t>JA1910</t>
  </si>
  <si>
    <t>SPE7M8-19-P-0997</t>
  </si>
  <si>
    <t>SPE7M1-19-V-3044</t>
  </si>
  <si>
    <t>JA1912</t>
  </si>
  <si>
    <t>SPE7M5-19-V-4184</t>
  </si>
  <si>
    <t>JA1913</t>
  </si>
  <si>
    <t>SPE7M1-19-V-3033</t>
  </si>
  <si>
    <t>JA1914</t>
  </si>
  <si>
    <t>SPE7M5-19-V-4185</t>
  </si>
  <si>
    <t>JA1915</t>
  </si>
  <si>
    <t>SPE5EJ-19-V-2161</t>
  </si>
  <si>
    <t>JA1916</t>
  </si>
  <si>
    <t>SPE7M8-19-P-1025</t>
  </si>
  <si>
    <t>JA1917</t>
  </si>
  <si>
    <t>SPE7M3-19-P-1895</t>
  </si>
  <si>
    <t>JA1918</t>
  </si>
  <si>
    <t>SPE7MC-19-V-3679</t>
  </si>
  <si>
    <t>JA1919</t>
  </si>
  <si>
    <t>SPE7L3-19-V-3191</t>
  </si>
  <si>
    <t>SPE8EE-19-P-7070</t>
  </si>
  <si>
    <t>JA1921</t>
  </si>
  <si>
    <t>SPE7M0-19-V-3751</t>
  </si>
  <si>
    <t>JA1922</t>
  </si>
  <si>
    <t>SPE8E8-19-V-0906</t>
  </si>
  <si>
    <t>JA1923</t>
  </si>
  <si>
    <t>SPE7M0-19-V-3729</t>
  </si>
  <si>
    <t>JA1924</t>
  </si>
  <si>
    <t>SPE7M0-19-V-3779</t>
  </si>
  <si>
    <t>Glenair 3from OC13</t>
  </si>
  <si>
    <t>SPE7M1-19-P-2370</t>
  </si>
  <si>
    <t>Morpac</t>
  </si>
  <si>
    <t>JA1926</t>
  </si>
  <si>
    <t>SPE5E8-19-V-3172</t>
  </si>
  <si>
    <t>JA1927</t>
  </si>
  <si>
    <t>SPE8E7-19-P-0456</t>
  </si>
  <si>
    <t>TIM PRICE PAR Cancel</t>
  </si>
  <si>
    <t>SPE7M0-19-V-3857</t>
  </si>
  <si>
    <t>JA1929</t>
  </si>
  <si>
    <t>SPE7M0-19-V-3840</t>
  </si>
  <si>
    <t>WM Nugnet Cancel</t>
  </si>
  <si>
    <t>SPE7M5-19-V-4627</t>
  </si>
  <si>
    <t>JA1931</t>
  </si>
  <si>
    <t>SPE5E9-19-V-2112</t>
  </si>
  <si>
    <t>JA1932</t>
  </si>
  <si>
    <t>SPE7MC-19-V-3882</t>
  </si>
  <si>
    <t>Glenair QTY 20</t>
  </si>
  <si>
    <t>JA1933</t>
  </si>
  <si>
    <t>SPE7M5-19-V-4696</t>
  </si>
  <si>
    <t>JA1934</t>
  </si>
  <si>
    <t>SPE7MC-19-V-3862</t>
  </si>
  <si>
    <t>SPE5E8-19-V-3258</t>
  </si>
  <si>
    <t>JA1936</t>
  </si>
  <si>
    <t>SPE4A6-19-V-7510</t>
  </si>
  <si>
    <t>SPE7M0-19-V-3959</t>
  </si>
  <si>
    <t>JA1938</t>
  </si>
  <si>
    <t>SPE4A6-19-V-7529</t>
  </si>
  <si>
    <t>SPE7M5-19-P-4065</t>
  </si>
  <si>
    <t>SPE7M1-19-V-3492</t>
  </si>
  <si>
    <t>SPE7MC-19-V-3998</t>
  </si>
  <si>
    <t>SPE5E8-19-V-3407</t>
  </si>
  <si>
    <t>Griswold PAR</t>
  </si>
  <si>
    <t>SPE8E8-19-V-0990</t>
  </si>
  <si>
    <t>JA1944</t>
  </si>
  <si>
    <t>SPE7M5-19-V-4861</t>
  </si>
  <si>
    <t>C  S ANTENNAS</t>
  </si>
  <si>
    <t>JA1945</t>
  </si>
  <si>
    <t>SPE7M3-19-P-0591</t>
  </si>
  <si>
    <t>PREECE PAR Cancel</t>
  </si>
  <si>
    <t>SPE7M8-19-P-1289</t>
  </si>
  <si>
    <t>JA1947</t>
  </si>
  <si>
    <t>SPE4A6-19-V-7847</t>
  </si>
  <si>
    <t>JA1948</t>
  </si>
  <si>
    <t>SPE4A4-19-V-3652</t>
  </si>
  <si>
    <t>Cameron PAR</t>
  </si>
  <si>
    <t>SPE7M5-19-V-4883</t>
  </si>
  <si>
    <t>SPE4A0-19-V-0491</t>
  </si>
  <si>
    <t>SPE5EM-19-V-2405</t>
  </si>
  <si>
    <t>JA1952</t>
  </si>
  <si>
    <t>SPE7M1-19-V-3759</t>
  </si>
  <si>
    <t>FE1901</t>
  </si>
  <si>
    <t>SPE7L0-19-V-3024</t>
  </si>
  <si>
    <t>FE1902</t>
  </si>
  <si>
    <t>SPE5EK-19-V-2429</t>
  </si>
  <si>
    <t>Molded Devices</t>
  </si>
  <si>
    <t>FE1903</t>
  </si>
  <si>
    <t>SPE5EJ-19-V-2693</t>
  </si>
  <si>
    <t>Lee Spring Qty50</t>
  </si>
  <si>
    <t>FE1904</t>
  </si>
  <si>
    <t>SPE5E8-19-V-3643</t>
  </si>
  <si>
    <t>HIAB QTY 5</t>
  </si>
  <si>
    <t>FE1905</t>
  </si>
  <si>
    <t>SPE5EK-19-V-2480</t>
  </si>
  <si>
    <t>FE1906</t>
  </si>
  <si>
    <t>SPE5E8-19-P-1307</t>
  </si>
  <si>
    <t>5310-01-676-7282</t>
  </si>
  <si>
    <t>FE1907</t>
  </si>
  <si>
    <t>SPE7MC-19-V-4311</t>
  </si>
  <si>
    <t>FE1908</t>
  </si>
  <si>
    <t>SPE7M5-19-V-5330</t>
  </si>
  <si>
    <t>FE1909</t>
  </si>
  <si>
    <t>SPE7M5-19-V-5162</t>
  </si>
  <si>
    <t>SPE8E8-19-V-1076</t>
  </si>
  <si>
    <t>FE1911</t>
  </si>
  <si>
    <t>SPE7M5-19-V-5118</t>
  </si>
  <si>
    <t>SPE7M1-19-V-3779</t>
  </si>
  <si>
    <t>SPE7L3-19-V-3682</t>
  </si>
  <si>
    <t>FE1914</t>
  </si>
  <si>
    <t>SPE7M1-19-V-3860</t>
  </si>
  <si>
    <t>SPE7M5-19-V-5105</t>
  </si>
  <si>
    <t>APPLIED SPECIALTIES</t>
  </si>
  <si>
    <t>FE1916</t>
  </si>
  <si>
    <t>SPE7M1-19-V-3790</t>
  </si>
  <si>
    <t>Glenair Qty250</t>
  </si>
  <si>
    <t>SPE7M5-19-V-5097</t>
  </si>
  <si>
    <t>SPE7M5-19-V-5417</t>
  </si>
  <si>
    <t>SPE7M1-19-V-4038</t>
  </si>
  <si>
    <t>SPE7L3-19-V-3810</t>
  </si>
  <si>
    <t>FE1921</t>
  </si>
  <si>
    <t>SPE7L3-19-V-3785</t>
  </si>
  <si>
    <t>MAFCO</t>
  </si>
  <si>
    <t>FE1922</t>
  </si>
  <si>
    <t>SPE4A6-19-P-8694</t>
  </si>
  <si>
    <t>FE1923</t>
  </si>
  <si>
    <t>SPE7M8-19-V-1404</t>
  </si>
  <si>
    <t>Cole Qty 25</t>
  </si>
  <si>
    <t>FE1924</t>
  </si>
  <si>
    <t>SPE4A6-19-V-8442</t>
  </si>
  <si>
    <t>2019 JUL 22</t>
  </si>
  <si>
    <t>SPE4A4-19-V-3879</t>
  </si>
  <si>
    <t>2019 JUN 11</t>
  </si>
  <si>
    <t>FE1926</t>
  </si>
  <si>
    <t>SPE4A6-19-V-8448</t>
  </si>
  <si>
    <t>FE1927</t>
  </si>
  <si>
    <t>SPE7M5-19-V-5675</t>
  </si>
  <si>
    <t>RADIO DESIGN LABS</t>
  </si>
  <si>
    <t>SPE7M8-19-V-1433</t>
  </si>
  <si>
    <t>FE1929</t>
  </si>
  <si>
    <t>SPE7M1-19-V-4219</t>
  </si>
  <si>
    <t>2019 JUL 31</t>
  </si>
  <si>
    <t>FE1930</t>
  </si>
  <si>
    <t>SPE5E7-19-V-2579</t>
  </si>
  <si>
    <t>FE1931</t>
  </si>
  <si>
    <t>SPE7M0-19-P-1626</t>
  </si>
  <si>
    <t>FE1932</t>
  </si>
  <si>
    <t>SPE7MC-19-V-4634</t>
  </si>
  <si>
    <t>2019 JUL 23</t>
  </si>
  <si>
    <t>SPE7M1-19-V-4303</t>
  </si>
  <si>
    <t>SPE4A6-19-V-8849</t>
  </si>
  <si>
    <t>National Inst</t>
  </si>
  <si>
    <t>2019 JUN 13</t>
  </si>
  <si>
    <t>FE1935</t>
  </si>
  <si>
    <t>SPE7M1-19-V-4314</t>
  </si>
  <si>
    <t>2019 JUN 03</t>
  </si>
  <si>
    <t>FE1936</t>
  </si>
  <si>
    <t>SPE7MC-19-V-4627</t>
  </si>
  <si>
    <t>FE1937</t>
  </si>
  <si>
    <t>SPE7MC-19-V-4623</t>
  </si>
  <si>
    <t>SPE7MC-19-V-4682</t>
  </si>
  <si>
    <t>ITTQTY 50</t>
  </si>
  <si>
    <t>2019 AUG 13</t>
  </si>
  <si>
    <t>FE1939</t>
  </si>
  <si>
    <t>SPE4A6-19-V-9167</t>
  </si>
  <si>
    <t>2019 JUL 29</t>
  </si>
  <si>
    <t>FE1940</t>
  </si>
  <si>
    <t>SPE7MC-19-V-4770</t>
  </si>
  <si>
    <t>FE1941</t>
  </si>
  <si>
    <t>SPE7M5-19-P-4805</t>
  </si>
  <si>
    <t>2019 AUG 19</t>
  </si>
  <si>
    <t>SPE7M0-19-V-4707</t>
  </si>
  <si>
    <t>FE1954</t>
  </si>
  <si>
    <t>SPE7M0-19-V-4705</t>
  </si>
  <si>
    <t>2019 JUN 19</t>
  </si>
  <si>
    <t>SPE7M0-19-P-1715</t>
  </si>
  <si>
    <t>2019 JUL 30</t>
  </si>
  <si>
    <t>SPE5EK-19-V-2910</t>
  </si>
  <si>
    <t>FE1944</t>
  </si>
  <si>
    <t>SPE7M1-19-V-4510</t>
  </si>
  <si>
    <t>SPE7M5-19-V-6021</t>
  </si>
  <si>
    <t>Molded DevicesQty100</t>
  </si>
  <si>
    <t>FE1946</t>
  </si>
  <si>
    <t>SPE4A6-19-V-9410</t>
  </si>
  <si>
    <t>FE1947</t>
  </si>
  <si>
    <t>SPE4A0-19-V-0587</t>
  </si>
  <si>
    <t>2019 AUG 01</t>
  </si>
  <si>
    <t>FE1948</t>
  </si>
  <si>
    <t>SPE4A6-19-P-A410</t>
  </si>
  <si>
    <t>2019 JUL 16</t>
  </si>
  <si>
    <t>FE1949</t>
  </si>
  <si>
    <t>SPE7L0-19-V-3583</t>
  </si>
  <si>
    <t>2019 AUG 05</t>
  </si>
  <si>
    <t>FE1950</t>
  </si>
  <si>
    <t>SPE7MC-19-V-5065</t>
  </si>
  <si>
    <t>2019 AUG 15</t>
  </si>
  <si>
    <t>FE1951</t>
  </si>
  <si>
    <t>SPE5EJ-19-V-3220</t>
  </si>
  <si>
    <t>2019 JUN 26</t>
  </si>
  <si>
    <t>FE1952</t>
  </si>
  <si>
    <t>SPE7M5-19-V-6228</t>
  </si>
  <si>
    <t>2019 SEP 16</t>
  </si>
  <si>
    <t>SPE7L2-19-V-0918</t>
  </si>
  <si>
    <t>2019 AUG 12</t>
  </si>
  <si>
    <t>MR1901</t>
  </si>
  <si>
    <t>SPE7L0-19-V-3681</t>
  </si>
  <si>
    <t>2019 JUL 02</t>
  </si>
  <si>
    <t>MR1902</t>
  </si>
  <si>
    <t>SPE7M0-19-V-5240</t>
  </si>
  <si>
    <t>GEMSQTY 7, 4for-11</t>
  </si>
  <si>
    <t>MR1903</t>
  </si>
  <si>
    <t>SPE4A0-19-V-0640</t>
  </si>
  <si>
    <t>SPE7M0-19-V-5312</t>
  </si>
  <si>
    <t>2019 AUG 14</t>
  </si>
  <si>
    <t>MR1905</t>
  </si>
  <si>
    <t>SPE5EM-19-V-3108</t>
  </si>
  <si>
    <t>2019 JUL 05</t>
  </si>
  <si>
    <t>SPE7M0-19-V-5335</t>
  </si>
  <si>
    <t>MR1907</t>
  </si>
  <si>
    <t>SPE7M5-19-P-5423</t>
  </si>
  <si>
    <t>Genisco</t>
  </si>
  <si>
    <t>2019 SEP 03</t>
  </si>
  <si>
    <t>MR1908</t>
  </si>
  <si>
    <t>SPE5EM-19-V-3103</t>
  </si>
  <si>
    <t>Ace Wire</t>
  </si>
  <si>
    <t>SPE5EM-19-V-3135</t>
  </si>
  <si>
    <t>2019 JUL 08</t>
  </si>
  <si>
    <t>SPE7M0-19-V-5360</t>
  </si>
  <si>
    <t>SPE7M0-19-V-5411</t>
  </si>
  <si>
    <t>SPE4A6-19-V-023L</t>
  </si>
  <si>
    <t>2019 JUL 10</t>
  </si>
  <si>
    <t>MR1913</t>
  </si>
  <si>
    <t>SPE7M5-19-V-6416</t>
  </si>
  <si>
    <t>2019 AUG 20</t>
  </si>
  <si>
    <t>SPE7MC-19-V-5452</t>
  </si>
  <si>
    <t>MR1915</t>
  </si>
  <si>
    <t>SPE7MC-19-V-5454</t>
  </si>
  <si>
    <t>MR1916</t>
  </si>
  <si>
    <t>SPE7M1-19-V-4981</t>
  </si>
  <si>
    <t>SPE7MC-19-V-5473</t>
  </si>
  <si>
    <t>MR1918</t>
  </si>
  <si>
    <t>SPE7M5-19-V-6631</t>
  </si>
  <si>
    <t>MR1919</t>
  </si>
  <si>
    <t>SPE7M8-19-V-1706</t>
  </si>
  <si>
    <t>MR1920</t>
  </si>
  <si>
    <t>SPE7M5-19-V-6595</t>
  </si>
  <si>
    <t>ITT Qty 13</t>
  </si>
  <si>
    <t>2019 JUL 11</t>
  </si>
  <si>
    <t>SPE7M5-19-V-6580</t>
  </si>
  <si>
    <t>SPE7M1-19-V-5101</t>
  </si>
  <si>
    <t>SPE7M1-19-V-5027</t>
  </si>
  <si>
    <t>MR1924</t>
  </si>
  <si>
    <t>SPE4A6-19-V-029H</t>
  </si>
  <si>
    <t>SPE7M5-19-V-6600</t>
  </si>
  <si>
    <t>SPE7M3-19-V-3147</t>
  </si>
  <si>
    <t>SPE7MC-19-V-5599</t>
  </si>
  <si>
    <t>2019 SEP 20</t>
  </si>
  <si>
    <t>SPE7M5-19-V-6672</t>
  </si>
  <si>
    <t>Xenotronix</t>
  </si>
  <si>
    <t>2019 SEP 10</t>
  </si>
  <si>
    <t>SPE8E9-19-V-1172</t>
  </si>
  <si>
    <t>2019 AUG 21</t>
  </si>
  <si>
    <t>SPE7MC-19-V-5623</t>
  </si>
  <si>
    <t>2019 AUG 22</t>
  </si>
  <si>
    <t>SPE7MC-19-V-5618</t>
  </si>
  <si>
    <t>SPE7M5-19-P-5686</t>
  </si>
  <si>
    <t>2019 JUN 17</t>
  </si>
  <si>
    <t>SPE7M3-19-P-3000</t>
  </si>
  <si>
    <t>Lee Company</t>
  </si>
  <si>
    <t>SPE7M8-19-P-1912</t>
  </si>
  <si>
    <t>2019 AUG 26</t>
  </si>
  <si>
    <t>65</t>
  </si>
  <si>
    <t>464</t>
  </si>
  <si>
    <t>4654</t>
  </si>
  <si>
    <t>4</t>
  </si>
  <si>
    <t>3/5/2019</t>
  </si>
  <si>
    <t>654</t>
  </si>
  <si>
    <t>Desc</t>
  </si>
  <si>
    <t>Rcd/Acpt</t>
  </si>
  <si>
    <t>Invoice</t>
  </si>
  <si>
    <t>Shipment Number</t>
  </si>
  <si>
    <t>Ship Date</t>
  </si>
  <si>
    <t>RFID</t>
  </si>
  <si>
    <t>Payment
Received</t>
  </si>
  <si>
    <t>Invoice
paid</t>
  </si>
  <si>
    <t>N6833516P0506</t>
  </si>
  <si>
    <t>IR-Valves</t>
  </si>
  <si>
    <t>WSI1002</t>
  </si>
  <si>
    <t>WSII1002</t>
  </si>
  <si>
    <t>n/a</t>
  </si>
  <si>
    <t>SPE7M5-16-M-A850</t>
  </si>
  <si>
    <t>TSE-ANTENA</t>
  </si>
  <si>
    <t>WSI1001</t>
  </si>
  <si>
    <t>WSII1001</t>
  </si>
  <si>
    <t>2F120374D523630000000001</t>
  </si>
  <si>
    <t>N4523A16P1017</t>
  </si>
  <si>
    <t>Semiens</t>
  </si>
  <si>
    <t>WSI1003</t>
  </si>
  <si>
    <t>WSII1003</t>
  </si>
  <si>
    <t>2F120374D523630000000002</t>
  </si>
  <si>
    <t>WSI1004</t>
  </si>
  <si>
    <t>WSII1004</t>
  </si>
  <si>
    <t>2F120374D523630000000003</t>
  </si>
  <si>
    <t>SPE7M8-17-P-0152</t>
  </si>
  <si>
    <t>Switches-CPI</t>
  </si>
  <si>
    <t>WSI1005</t>
  </si>
  <si>
    <t>WSII1005</t>
  </si>
  <si>
    <t>2F120374D523630000000004</t>
  </si>
  <si>
    <t>SPE7M5-17-P-1750</t>
  </si>
  <si>
    <t>KEYSIGHT</t>
  </si>
  <si>
    <t>WSI1006</t>
  </si>
  <si>
    <t>WSII1006</t>
  </si>
  <si>
    <t>2F120374D523630000000005</t>
  </si>
  <si>
    <t>SPE7M3-16-M-5328</t>
  </si>
  <si>
    <t>Thee Lee</t>
  </si>
  <si>
    <t>WSI1007</t>
  </si>
  <si>
    <t>WSII1007</t>
  </si>
  <si>
    <t>2F120374D523630000000006</t>
  </si>
  <si>
    <t>SPE7M5-17-P-0529</t>
  </si>
  <si>
    <t>WSI1008</t>
  </si>
  <si>
    <t>WSII1008</t>
  </si>
  <si>
    <t>2F120374D523630000000007</t>
  </si>
  <si>
    <t>SPE7MC-17-V-2464</t>
  </si>
  <si>
    <t>DITMCO</t>
  </si>
  <si>
    <t>WSI1009</t>
  </si>
  <si>
    <t>WSII1009</t>
  </si>
  <si>
    <t>2F120374D523630000000008</t>
  </si>
  <si>
    <t>WSI1010</t>
  </si>
  <si>
    <t>WSII1010</t>
  </si>
  <si>
    <t>2F120374D523630000000009</t>
  </si>
  <si>
    <t>SPE4A6-17-P-3512</t>
  </si>
  <si>
    <t>Lumitron</t>
  </si>
  <si>
    <t>WSIJ001</t>
  </si>
  <si>
    <t>WSIIJ001</t>
  </si>
  <si>
    <t>N RFID</t>
  </si>
  <si>
    <t>N00253-17-P-0062</t>
  </si>
  <si>
    <t>Valeport</t>
  </si>
  <si>
    <t>WSIJ002</t>
  </si>
  <si>
    <t>WSIIJ002</t>
  </si>
  <si>
    <t>Drop ship</t>
  </si>
  <si>
    <t>Leach</t>
  </si>
  <si>
    <t>WSIF001</t>
  </si>
  <si>
    <t>WSIIF001</t>
  </si>
  <si>
    <t>2F120374D52363000000000A</t>
  </si>
  <si>
    <t>SPE4A5-17-P-3242</t>
  </si>
  <si>
    <t>Gleanir</t>
  </si>
  <si>
    <t>WSIF002</t>
  </si>
  <si>
    <t>WSIIF002</t>
  </si>
  <si>
    <t>2F120374D52363000000000B</t>
  </si>
  <si>
    <t>SPE7M8-17-P-1105</t>
  </si>
  <si>
    <t>WSIM001</t>
  </si>
  <si>
    <t>WSIIM001</t>
  </si>
  <si>
    <t>2F120374D52363000000000C</t>
  </si>
  <si>
    <t>SPE7L0-17-V-2029</t>
  </si>
  <si>
    <t>Dauto</t>
  </si>
  <si>
    <t>WSIM002</t>
  </si>
  <si>
    <t>WSIIM002</t>
  </si>
  <si>
    <t>2F120374D52363000000000D</t>
  </si>
  <si>
    <t>SPE7M8-17-V-0355</t>
  </si>
  <si>
    <t>WSIM003</t>
  </si>
  <si>
    <t>WSIIM003</t>
  </si>
  <si>
    <t>2F120374D52363000000000E</t>
  </si>
  <si>
    <t>HYSTST</t>
  </si>
  <si>
    <t>WSIM004</t>
  </si>
  <si>
    <t>WSIIM004</t>
  </si>
  <si>
    <t>2F120374D52363000000000F</t>
  </si>
  <si>
    <t>WSIM006</t>
  </si>
  <si>
    <t>WSIIM006</t>
  </si>
  <si>
    <t>2F120374D523630000000010</t>
  </si>
  <si>
    <t>WSIA001</t>
  </si>
  <si>
    <t>WSIIA001</t>
  </si>
  <si>
    <t>2F120374D523630000000011</t>
  </si>
  <si>
    <t>WSIA002</t>
  </si>
  <si>
    <t>WSIIA002</t>
  </si>
  <si>
    <t>2F120374D523630000000012</t>
  </si>
  <si>
    <t>EAST</t>
  </si>
  <si>
    <t>WSMY001</t>
  </si>
  <si>
    <t>WSMYI001</t>
  </si>
  <si>
    <t>2F120374D523630000000013</t>
  </si>
  <si>
    <t>WSMY002</t>
  </si>
  <si>
    <t>WSMYI002</t>
  </si>
  <si>
    <t>2F120374D523630000000014</t>
  </si>
  <si>
    <t>WSMY003</t>
  </si>
  <si>
    <t>WSMYI003</t>
  </si>
  <si>
    <t>2F120374D523630000000015</t>
  </si>
  <si>
    <t>WSMY004</t>
  </si>
  <si>
    <t>WSMYI004</t>
  </si>
  <si>
    <t>2F120374D523630000000016</t>
  </si>
  <si>
    <t>WSMY005</t>
  </si>
  <si>
    <t>WSMYI005</t>
  </si>
  <si>
    <t>2F120374D523630000000017</t>
  </si>
  <si>
    <t>ERA-Allen</t>
  </si>
  <si>
    <t>WSMY006</t>
  </si>
  <si>
    <t>WSMYI006</t>
  </si>
  <si>
    <t>2F120374D523630000000018</t>
  </si>
  <si>
    <t>WSMY007</t>
  </si>
  <si>
    <t>WSMYI007</t>
  </si>
  <si>
    <t>NO RFID</t>
  </si>
  <si>
    <t>WSJY001</t>
  </si>
  <si>
    <t>WSJYI001</t>
  </si>
  <si>
    <t>2F120374D523630000000019</t>
  </si>
  <si>
    <t>WSJY002</t>
  </si>
  <si>
    <t>WSJYI002</t>
  </si>
  <si>
    <t>2F120374D52363000000001A</t>
  </si>
  <si>
    <t>WSJY003</t>
  </si>
  <si>
    <t>WSJYI003</t>
  </si>
  <si>
    <t>2F120374D52363000000001B</t>
  </si>
  <si>
    <t>HYSTT</t>
  </si>
  <si>
    <t>WSJY004</t>
  </si>
  <si>
    <t>WSJYI004</t>
  </si>
  <si>
    <t>2F120374D52363000000001C</t>
  </si>
  <si>
    <t>WSJY005</t>
  </si>
  <si>
    <t>WSJYI005</t>
  </si>
  <si>
    <t>WSJY006</t>
  </si>
  <si>
    <t>WSJYI006</t>
  </si>
  <si>
    <t>2F120374D52363000000001E</t>
  </si>
  <si>
    <t>PASTER</t>
  </si>
  <si>
    <t>WSJY007</t>
  </si>
  <si>
    <t>WSJYI007</t>
  </si>
  <si>
    <t>2F120374D52363000000001F</t>
  </si>
  <si>
    <t>WSJY008</t>
  </si>
  <si>
    <t>WSJYI008</t>
  </si>
  <si>
    <t>2F120374D523630000000020</t>
  </si>
  <si>
    <t>Check</t>
  </si>
  <si>
    <t>WSJY009</t>
  </si>
  <si>
    <t>WSJYI009</t>
  </si>
  <si>
    <t>WSJY010</t>
  </si>
  <si>
    <t>WSJYI010</t>
  </si>
  <si>
    <t>2F120374D52363000000001D</t>
  </si>
  <si>
    <t>WSJY011</t>
  </si>
  <si>
    <t>WSJYI011</t>
  </si>
  <si>
    <t>2F120374D523630000000021</t>
  </si>
  <si>
    <t>WSJY012</t>
  </si>
  <si>
    <t>WSJYI012</t>
  </si>
  <si>
    <t>2F120374D523630000000022</t>
  </si>
  <si>
    <t>WSAU001</t>
  </si>
  <si>
    <t>WSAUI001</t>
  </si>
  <si>
    <t>2F120374D523630000000023</t>
  </si>
  <si>
    <t>WSAU002</t>
  </si>
  <si>
    <t>WSAUI002</t>
  </si>
  <si>
    <t>2F120374D523630000000024</t>
  </si>
  <si>
    <t>Conn</t>
  </si>
  <si>
    <t>WSAU003</t>
  </si>
  <si>
    <t>WSAUI003</t>
  </si>
  <si>
    <t>2F120374D523630000000025</t>
  </si>
  <si>
    <t>WSAU004</t>
  </si>
  <si>
    <t>WSAUI004</t>
  </si>
  <si>
    <t>2F120374D523630000000026</t>
  </si>
  <si>
    <t>WSAU005</t>
  </si>
  <si>
    <t>WSAUI005</t>
  </si>
  <si>
    <t>2F120374D523630000000027</t>
  </si>
  <si>
    <t>WSAU006</t>
  </si>
  <si>
    <t>WSAUI006</t>
  </si>
  <si>
    <t>2F120374D523630000000028</t>
  </si>
  <si>
    <t>WSAU007</t>
  </si>
  <si>
    <t>WSAUI007</t>
  </si>
  <si>
    <t>2F120374D523630000000029</t>
  </si>
  <si>
    <t>WSAU008</t>
  </si>
  <si>
    <t>WSAUI008</t>
  </si>
  <si>
    <t>2F120374D52363000000002A</t>
  </si>
  <si>
    <t>WSAU009</t>
  </si>
  <si>
    <t>WSAUI009</t>
  </si>
  <si>
    <t>2F120374D52363000000002B</t>
  </si>
  <si>
    <t>C&amp;S ANTENNAS</t>
  </si>
  <si>
    <t>WSAU010</t>
  </si>
  <si>
    <t>WSAUI010</t>
  </si>
  <si>
    <t>2F120374D52363000000002C</t>
  </si>
  <si>
    <t>KERN</t>
  </si>
  <si>
    <t>WSAU011</t>
  </si>
  <si>
    <t>WSAUI011</t>
  </si>
  <si>
    <t>2F120374D52363000000002D</t>
  </si>
  <si>
    <t>WSAU012</t>
  </si>
  <si>
    <t>WSAUI012</t>
  </si>
  <si>
    <t>2F120374D52363000000002E</t>
  </si>
  <si>
    <t>WSAU013</t>
  </si>
  <si>
    <t>WSAUI013</t>
  </si>
  <si>
    <t>2F120374D52363000000002F</t>
  </si>
  <si>
    <t>WSAU014</t>
  </si>
  <si>
    <t>WSAUI014</t>
  </si>
  <si>
    <t>2F120374D523630000000030</t>
  </si>
  <si>
    <t>WSAU015</t>
  </si>
  <si>
    <t>WSAUI015</t>
  </si>
  <si>
    <t>2F120374D523630000000031</t>
  </si>
  <si>
    <t>WSAU016</t>
  </si>
  <si>
    <t>WSAUI016</t>
  </si>
  <si>
    <t>2F120374D523630000000032</t>
  </si>
  <si>
    <t>WSAU017</t>
  </si>
  <si>
    <t>WSAUI017</t>
  </si>
  <si>
    <t>2F120374D523630000000033</t>
  </si>
  <si>
    <t>NEWPORT</t>
  </si>
  <si>
    <t>WSAU018</t>
  </si>
  <si>
    <t>WSAUI018</t>
  </si>
  <si>
    <t>2F120374D523630000000034</t>
  </si>
  <si>
    <t>WSAU019</t>
  </si>
  <si>
    <t>WSAUI019</t>
  </si>
  <si>
    <t>2F120374D523630000000035</t>
  </si>
  <si>
    <t>WSAU020</t>
  </si>
  <si>
    <t>WSAUI020</t>
  </si>
  <si>
    <t>2F120374D523630000000036</t>
  </si>
  <si>
    <t>WSAU021</t>
  </si>
  <si>
    <t>WSAUI021</t>
  </si>
  <si>
    <t>2F120374D523630000000037</t>
  </si>
  <si>
    <t>WSAU022</t>
  </si>
  <si>
    <t>WSAUI022</t>
  </si>
  <si>
    <t>WSAU023</t>
  </si>
  <si>
    <t>WSAUI023</t>
  </si>
  <si>
    <t>2F120374D523630000000039</t>
  </si>
  <si>
    <t>WSAU024</t>
  </si>
  <si>
    <t>WSAUI024</t>
  </si>
  <si>
    <t>2F120374D52363000000003A</t>
  </si>
  <si>
    <t>WSSE001</t>
  </si>
  <si>
    <t>WSSEI001</t>
  </si>
  <si>
    <t>2F120374D52363000000003B</t>
  </si>
  <si>
    <t>WSSE002</t>
  </si>
  <si>
    <t>WSSEI002</t>
  </si>
  <si>
    <t>2F120374D52363000000003C</t>
  </si>
  <si>
    <t>WSSE003</t>
  </si>
  <si>
    <t>WSSEI003</t>
  </si>
  <si>
    <t>2F120374D52363000000003D</t>
  </si>
  <si>
    <t>WSSE004</t>
  </si>
  <si>
    <t>WSSEI004</t>
  </si>
  <si>
    <t>2F120374D52363000000003E</t>
  </si>
  <si>
    <t>WSSE005</t>
  </si>
  <si>
    <t>WSSEI005</t>
  </si>
  <si>
    <t>2F120374D52363000000003F</t>
  </si>
  <si>
    <t>CSAntena</t>
  </si>
  <si>
    <t>WSSE006</t>
  </si>
  <si>
    <t>WSSEI006</t>
  </si>
  <si>
    <t>2F120374D523630000000040</t>
  </si>
  <si>
    <t>WSSE007</t>
  </si>
  <si>
    <t>WSSEI007</t>
  </si>
  <si>
    <t>2F120374D523630000000041</t>
  </si>
  <si>
    <t>WSSE008</t>
  </si>
  <si>
    <t>WSSEI008</t>
  </si>
  <si>
    <t>2F120374D523630000000042</t>
  </si>
  <si>
    <t>Grison</t>
  </si>
  <si>
    <t>WSSE009</t>
  </si>
  <si>
    <t>WSSEI009</t>
  </si>
  <si>
    <t>2F120374D523630000000043</t>
  </si>
  <si>
    <t>WSSE010</t>
  </si>
  <si>
    <t>WSSEI010</t>
  </si>
  <si>
    <t>WSSE011</t>
  </si>
  <si>
    <t>WSSEI011</t>
  </si>
  <si>
    <t>2F120374D523630000000044</t>
  </si>
  <si>
    <t>WSSE012</t>
  </si>
  <si>
    <t>2F120374D523630000000045</t>
  </si>
  <si>
    <t>NI</t>
  </si>
  <si>
    <t>WSSE013</t>
  </si>
  <si>
    <t>2F120374D523630000000046</t>
  </si>
  <si>
    <t>WSSE014</t>
  </si>
  <si>
    <t>2F120374D523630000000047</t>
  </si>
  <si>
    <t>WSSE015</t>
  </si>
  <si>
    <t>WSSE016</t>
  </si>
  <si>
    <t>2F120374D523630000000048</t>
  </si>
  <si>
    <t>WSSE017</t>
  </si>
  <si>
    <t>WSSEI018</t>
  </si>
  <si>
    <t>Rohde Shwarz</t>
  </si>
  <si>
    <t>WSSE018</t>
  </si>
  <si>
    <t>2F120374D523630000000049</t>
  </si>
  <si>
    <t>WSSE019</t>
  </si>
  <si>
    <t>2F120374D52363000000004A</t>
  </si>
  <si>
    <t>WSSE020</t>
  </si>
  <si>
    <t>2F120374D52363000000004B</t>
  </si>
  <si>
    <t>WSSE021</t>
  </si>
  <si>
    <t>2F120374D52363000000004C</t>
  </si>
  <si>
    <t>WSOC001</t>
  </si>
  <si>
    <t>WSIOC001</t>
  </si>
  <si>
    <t>10/02/201</t>
  </si>
  <si>
    <t>2F120374D52363000000004D</t>
  </si>
  <si>
    <t>WSOC002</t>
  </si>
  <si>
    <t>WSIOC002</t>
  </si>
  <si>
    <t>10/04/202</t>
  </si>
  <si>
    <t>2F120374D52363000000004E</t>
  </si>
  <si>
    <t>WSOC003</t>
  </si>
  <si>
    <t>WSIOC003</t>
  </si>
  <si>
    <t>10/04/203</t>
  </si>
  <si>
    <t>WSOC004</t>
  </si>
  <si>
    <t>WSIOC004</t>
  </si>
  <si>
    <t>2F120374D52363000000004F</t>
  </si>
  <si>
    <t>WSOC005</t>
  </si>
  <si>
    <t>WSIOC005</t>
  </si>
  <si>
    <t>2F120374D523630000000050</t>
  </si>
  <si>
    <t>p</t>
  </si>
  <si>
    <t>WSOC006</t>
  </si>
  <si>
    <t>WSIOC006</t>
  </si>
  <si>
    <t>2F120374D523630000000051</t>
  </si>
  <si>
    <t>WSOC007</t>
  </si>
  <si>
    <t>WSIOC007</t>
  </si>
  <si>
    <t>2F120374D523630000000052</t>
  </si>
  <si>
    <t>ERA-Alen</t>
  </si>
  <si>
    <t>WSOC008</t>
  </si>
  <si>
    <t>WSIOC008</t>
  </si>
  <si>
    <t>2F120374D523630000000038</t>
  </si>
  <si>
    <t>WSOC009</t>
  </si>
  <si>
    <t>WSIOC009</t>
  </si>
  <si>
    <t>2F120374D523630000000053</t>
  </si>
  <si>
    <t>WSOC010</t>
  </si>
  <si>
    <t>WSIOC010</t>
  </si>
  <si>
    <t>2F120374D523630000000054</t>
  </si>
  <si>
    <t>Chromlax</t>
  </si>
  <si>
    <t>WSOC013</t>
  </si>
  <si>
    <t>WSIOC013</t>
  </si>
  <si>
    <t>WSOC012</t>
  </si>
  <si>
    <t>WSIOC012</t>
  </si>
  <si>
    <t>2F120374D523630000000055</t>
  </si>
  <si>
    <t>2F120374D523630000000056</t>
  </si>
  <si>
    <t>WSOC014</t>
  </si>
  <si>
    <t>WSIOC014</t>
  </si>
  <si>
    <t>WSOC015</t>
  </si>
  <si>
    <t>WSIOC015</t>
  </si>
  <si>
    <t>2F120374D523630000000057</t>
  </si>
  <si>
    <t>DRUC</t>
  </si>
  <si>
    <t>WSOC016</t>
  </si>
  <si>
    <t>WSIOC016</t>
  </si>
  <si>
    <t>SPE7M117P7567</t>
  </si>
  <si>
    <t>WSOC017</t>
  </si>
  <si>
    <t>WSIOC017</t>
  </si>
  <si>
    <t>Leddy</t>
  </si>
  <si>
    <t>WSOC018</t>
  </si>
  <si>
    <t>WSIOC018</t>
  </si>
  <si>
    <t>SPE7MC17VB556</t>
  </si>
  <si>
    <t>WSOC019</t>
  </si>
  <si>
    <t>WSIOC019</t>
  </si>
  <si>
    <t>WSNV007</t>
  </si>
  <si>
    <t>WSNVI007</t>
  </si>
  <si>
    <t>2F120374D52363000000005D</t>
  </si>
  <si>
    <t>WSNV008</t>
  </si>
  <si>
    <t>WSNVI008</t>
  </si>
  <si>
    <t>2F120374D52363000000005E</t>
  </si>
  <si>
    <t>WSNV009</t>
  </si>
  <si>
    <t>WSNVI009</t>
  </si>
  <si>
    <t>WSNV010</t>
  </si>
  <si>
    <t>WSNVI010</t>
  </si>
  <si>
    <t>2F120374D52363000000005F</t>
  </si>
  <si>
    <t>WSNV011</t>
  </si>
  <si>
    <t>WSNVI011</t>
  </si>
  <si>
    <t>2F120374D523630000000060</t>
  </si>
  <si>
    <t>WSNV012</t>
  </si>
  <si>
    <t>WSNVI012</t>
  </si>
  <si>
    <t>WSNV013</t>
  </si>
  <si>
    <t>WSNVI013</t>
  </si>
  <si>
    <t>2F120374D523630000000061</t>
  </si>
  <si>
    <t>WSNV014</t>
  </si>
  <si>
    <t>WSNVI014</t>
  </si>
  <si>
    <t>2F120374D523630000000062</t>
  </si>
  <si>
    <t>P</t>
  </si>
  <si>
    <t>WSNV015</t>
  </si>
  <si>
    <t>WSNVI015</t>
  </si>
  <si>
    <t>WSNV016</t>
  </si>
  <si>
    <t>WSNVI016</t>
  </si>
  <si>
    <t>2F120374D523630000000063</t>
  </si>
  <si>
    <t>WSNV017</t>
  </si>
  <si>
    <t>WSNVI017</t>
  </si>
  <si>
    <t>2F120374D523630000000064</t>
  </si>
  <si>
    <t>WSNV018</t>
  </si>
  <si>
    <t>WSNVI018</t>
  </si>
  <si>
    <t>2F120374D523630000000065</t>
  </si>
  <si>
    <t>WSNV019</t>
  </si>
  <si>
    <t>WSNVI019</t>
  </si>
  <si>
    <t>WSNV020</t>
  </si>
  <si>
    <t>WSNVI020</t>
  </si>
  <si>
    <t>2F120374D523630000000066</t>
  </si>
  <si>
    <t>WSNV021</t>
  </si>
  <si>
    <t>WSNVI021</t>
  </si>
  <si>
    <t>2F120374D523630000000067</t>
  </si>
  <si>
    <t>WSDE001</t>
  </si>
  <si>
    <t>WSDEI001</t>
  </si>
  <si>
    <t>2F120374D523630000000068</t>
  </si>
  <si>
    <t>WSDE002</t>
  </si>
  <si>
    <t>WSDEI002</t>
  </si>
  <si>
    <t>2F120374D523630000000069</t>
  </si>
  <si>
    <t>WSDE003</t>
  </si>
  <si>
    <t>WSDEI003</t>
  </si>
  <si>
    <t>2F120374D52363000000006A</t>
  </si>
  <si>
    <t>TimkePG</t>
  </si>
  <si>
    <t>WSDE004</t>
  </si>
  <si>
    <t>WSDEI004</t>
  </si>
  <si>
    <t>WSDE005</t>
  </si>
  <si>
    <t>WSDEI005</t>
  </si>
  <si>
    <t>2F120374D52363000000006D</t>
  </si>
  <si>
    <t>Circuit</t>
  </si>
  <si>
    <t>WSDE006</t>
  </si>
  <si>
    <t>WSDEI006</t>
  </si>
  <si>
    <t>2F120374D52363000000006B</t>
  </si>
  <si>
    <t>WSDE007</t>
  </si>
  <si>
    <t>WSDEI007</t>
  </si>
  <si>
    <t>2F120374D52363000000006C</t>
  </si>
  <si>
    <t>A/11/8/AK</t>
  </si>
  <si>
    <t>WSDE008</t>
  </si>
  <si>
    <t>WSDEI008</t>
  </si>
  <si>
    <t>2F120374D52363000000006E</t>
  </si>
  <si>
    <t>Partial/Ak</t>
  </si>
  <si>
    <t>WSDE009</t>
  </si>
  <si>
    <t>WSDEI009</t>
  </si>
  <si>
    <t>2F120374D52363000000006F</t>
  </si>
  <si>
    <t>A/Ak</t>
  </si>
  <si>
    <t>WSDE010</t>
  </si>
  <si>
    <t>WSDEI010</t>
  </si>
  <si>
    <t>2F120374D523630000000070</t>
  </si>
  <si>
    <t>WSDE011</t>
  </si>
  <si>
    <t>WSDEI011</t>
  </si>
  <si>
    <t>2F120374D523630000000071</t>
  </si>
  <si>
    <t>WSDE012</t>
  </si>
  <si>
    <t>WSDEI012</t>
  </si>
  <si>
    <t>2F120374D523630000000072</t>
  </si>
  <si>
    <t>WSDE013</t>
  </si>
  <si>
    <t>WSDEI013</t>
  </si>
  <si>
    <t>2F120374D523630000000073</t>
  </si>
  <si>
    <t>ERA-AL</t>
  </si>
  <si>
    <t>WSDE014</t>
  </si>
  <si>
    <t>WSDEI014</t>
  </si>
  <si>
    <t>2F120374D523630000000074</t>
  </si>
  <si>
    <t>A/11/15/AK</t>
  </si>
  <si>
    <t>WSDE015</t>
  </si>
  <si>
    <t>WSDEI015</t>
  </si>
  <si>
    <t>2F120374D523630000000075</t>
  </si>
  <si>
    <t>WSDE016</t>
  </si>
  <si>
    <t>WSDEI016</t>
  </si>
  <si>
    <t>2F120374D523630000000076</t>
  </si>
  <si>
    <t>Vetronix</t>
  </si>
  <si>
    <t>WSDE017</t>
  </si>
  <si>
    <t>WSDEI017</t>
  </si>
  <si>
    <t>2F120374D523630000000077</t>
  </si>
  <si>
    <t>WSDE018</t>
  </si>
  <si>
    <t>WSDEI018</t>
  </si>
  <si>
    <t>2F120374D523630000000078</t>
  </si>
  <si>
    <t>WSDE019</t>
  </si>
  <si>
    <t>WSDEI019</t>
  </si>
  <si>
    <t>2F120374D523630000000079</t>
  </si>
  <si>
    <t>WSDE020</t>
  </si>
  <si>
    <t>WSDEI020</t>
  </si>
  <si>
    <t>2F120374D52363000000007A</t>
  </si>
  <si>
    <t>WSDE021</t>
  </si>
  <si>
    <t>WSDEI021</t>
  </si>
  <si>
    <t>A/11/19/AK</t>
  </si>
  <si>
    <t>WSDE022</t>
  </si>
  <si>
    <t>WSDEI022</t>
  </si>
  <si>
    <t>WSDE023</t>
  </si>
  <si>
    <t>2F120374D52363000000007B</t>
  </si>
  <si>
    <t>A/11/159AK</t>
  </si>
  <si>
    <t>WSDE024</t>
  </si>
  <si>
    <t>WSDEI024</t>
  </si>
  <si>
    <t>2F120374D52363000000007C</t>
  </si>
  <si>
    <t>L-COM</t>
  </si>
  <si>
    <t>WSDE025</t>
  </si>
  <si>
    <t>WSDEI025</t>
  </si>
  <si>
    <t>2F120374D52363000000007D</t>
  </si>
  <si>
    <t>WSDE026</t>
  </si>
  <si>
    <t>WSDEI026</t>
  </si>
  <si>
    <t>2F120374D52363000000007E</t>
  </si>
  <si>
    <t>A/11/27/AK</t>
  </si>
  <si>
    <t>WSDE027</t>
  </si>
  <si>
    <t>WSDEI027</t>
  </si>
  <si>
    <t>2F120374D52363000000007F</t>
  </si>
  <si>
    <t>WSDE028</t>
  </si>
  <si>
    <t>WSDEI028</t>
  </si>
  <si>
    <t>2F120374D523630000000080</t>
  </si>
  <si>
    <t>A/11/29/AK</t>
  </si>
  <si>
    <t>WSDE029</t>
  </si>
  <si>
    <t>WSDEI029</t>
  </si>
  <si>
    <t>2F120374D523630000000081</t>
  </si>
  <si>
    <t>WSDE030</t>
  </si>
  <si>
    <t>WSDEI030</t>
  </si>
  <si>
    <t>2F120374D523630000000082</t>
  </si>
  <si>
    <t>WSDE031</t>
  </si>
  <si>
    <t>WSDEI031</t>
  </si>
  <si>
    <t>2F120374D523630000000083</t>
  </si>
  <si>
    <t>WSDE032</t>
  </si>
  <si>
    <t>WSDEI032</t>
  </si>
  <si>
    <t>2F120374D523630000000084</t>
  </si>
  <si>
    <t>A/1/2/AK</t>
  </si>
  <si>
    <t>WSJA001</t>
  </si>
  <si>
    <t>WSJAI001</t>
  </si>
  <si>
    <t>2F120374D523630000000085</t>
  </si>
  <si>
    <t>CLARUS</t>
  </si>
  <si>
    <t>WSJA002</t>
  </si>
  <si>
    <t>WSJAI002</t>
  </si>
  <si>
    <t>No RFID</t>
  </si>
  <si>
    <t>WSJA003</t>
  </si>
  <si>
    <t>WSJAI003</t>
  </si>
  <si>
    <t>2F120374D523630000000086</t>
  </si>
  <si>
    <t>WSJA004</t>
  </si>
  <si>
    <t>WSJAI004</t>
  </si>
  <si>
    <t>2F120374D523630000000087</t>
  </si>
  <si>
    <t>WSJA005</t>
  </si>
  <si>
    <t>WSJAI005</t>
  </si>
  <si>
    <t>WSJA006</t>
  </si>
  <si>
    <t>WSJAI006</t>
  </si>
  <si>
    <t>2F120374D523630000000088</t>
  </si>
  <si>
    <t>WSJA007</t>
  </si>
  <si>
    <t>WSJAI007</t>
  </si>
  <si>
    <t>2F120374D523630000000089</t>
  </si>
  <si>
    <t>WSJA008Z</t>
  </si>
  <si>
    <t>WSJAI008</t>
  </si>
  <si>
    <t>2F120374D52363000000008A</t>
  </si>
  <si>
    <t>WSJA009Z</t>
  </si>
  <si>
    <t>WSJAI009</t>
  </si>
  <si>
    <t>Check Pay</t>
  </si>
  <si>
    <t>WSJA010Z</t>
  </si>
  <si>
    <t>WSJAI010</t>
  </si>
  <si>
    <t>2F120374D52363000000008B</t>
  </si>
  <si>
    <t>WSJA011Z</t>
  </si>
  <si>
    <t>WSJAI011</t>
  </si>
  <si>
    <t>2F120374D52363000000008C</t>
  </si>
  <si>
    <t>WSJA012Z</t>
  </si>
  <si>
    <t>WSJAI012</t>
  </si>
  <si>
    <t>2F120374D52363000000008D</t>
  </si>
  <si>
    <t>WSJA013Z</t>
  </si>
  <si>
    <t>WSJAI013</t>
  </si>
  <si>
    <t>2F120374D52363000000008E</t>
  </si>
  <si>
    <t>WSJA014Z</t>
  </si>
  <si>
    <t>WSJAI014</t>
  </si>
  <si>
    <t>2F120374D52363000000008F</t>
  </si>
  <si>
    <t>WSJA015Z</t>
  </si>
  <si>
    <t>WSJAI015</t>
  </si>
  <si>
    <t>2F120374D523630000000090</t>
  </si>
  <si>
    <t>WSJA016Z</t>
  </si>
  <si>
    <t>WSJAI016</t>
  </si>
  <si>
    <t>2F120374D523630000000091</t>
  </si>
  <si>
    <t>WSJA017Z</t>
  </si>
  <si>
    <t>WSJAI017</t>
  </si>
  <si>
    <t>2F120374D523630000000092</t>
  </si>
  <si>
    <t>WSJA018Z</t>
  </si>
  <si>
    <t>WSJAI018</t>
  </si>
  <si>
    <t>WSJA019Z</t>
  </si>
  <si>
    <t>WSJAI019</t>
  </si>
  <si>
    <t>2F120374D523630000000093</t>
  </si>
  <si>
    <t>WSJA020Z</t>
  </si>
  <si>
    <t>WSJAI020</t>
  </si>
  <si>
    <t>2F120374D523630000000094</t>
  </si>
  <si>
    <t>WSJA021Z</t>
  </si>
  <si>
    <t>WSJAI021</t>
  </si>
  <si>
    <t>2F120374D523630000000095</t>
  </si>
  <si>
    <t>WSJA022Z</t>
  </si>
  <si>
    <t>WSJAI022</t>
  </si>
  <si>
    <t>WSJA023Z</t>
  </si>
  <si>
    <t>WSJAI023</t>
  </si>
  <si>
    <t>2F120374D523630000000096</t>
  </si>
  <si>
    <t>Atrex Energy/Accu</t>
  </si>
  <si>
    <t>WSJA024Z</t>
  </si>
  <si>
    <t>WSJAI024</t>
  </si>
  <si>
    <t>2F120374D523630000000097</t>
  </si>
  <si>
    <t>Smith-microlam</t>
  </si>
  <si>
    <t>WSJA025Z</t>
  </si>
  <si>
    <t>WSJAI025</t>
  </si>
  <si>
    <t>2F120374D523630000000098</t>
  </si>
  <si>
    <t>WSJA026Z</t>
  </si>
  <si>
    <t>WSJAI026</t>
  </si>
  <si>
    <t>2F120374D523630000000099</t>
  </si>
  <si>
    <t>WSJA027Z</t>
  </si>
  <si>
    <t>WSJAI027</t>
  </si>
  <si>
    <t>2F120374D52363000000009A</t>
  </si>
  <si>
    <t>WSJA028Z</t>
  </si>
  <si>
    <t>WSJAI028</t>
  </si>
  <si>
    <t>2F120374D52363000000009B</t>
  </si>
  <si>
    <t>2nd unit</t>
  </si>
  <si>
    <t>WSJA029Z</t>
  </si>
  <si>
    <t>WSJAI029</t>
  </si>
  <si>
    <t>2F120374D52363000000009C</t>
  </si>
  <si>
    <t>WSJA030Z</t>
  </si>
  <si>
    <t>WSJAI030</t>
  </si>
  <si>
    <t>2F120374D52363000000009D</t>
  </si>
  <si>
    <t>WSJA031Z</t>
  </si>
  <si>
    <t>WSJAI031</t>
  </si>
  <si>
    <t>2F120374D52363000000009E</t>
  </si>
  <si>
    <t>WSJA032Z</t>
  </si>
  <si>
    <t>WSJAI032</t>
  </si>
  <si>
    <t>2F120374D52363000000009F</t>
  </si>
  <si>
    <t>WSJA033Z</t>
  </si>
  <si>
    <t>WSJAI033</t>
  </si>
  <si>
    <t>2F120374D5236300000000A0</t>
  </si>
  <si>
    <t>WSJA034Z</t>
  </si>
  <si>
    <t>WSJAI034</t>
  </si>
  <si>
    <t>2F120374D5236300000000A1</t>
  </si>
  <si>
    <t>WSJA035Z</t>
  </si>
  <si>
    <t>WSJAI035</t>
  </si>
  <si>
    <t>2F120374D5236300000000A2</t>
  </si>
  <si>
    <t>WSJA036Z</t>
  </si>
  <si>
    <t>WSJAI036</t>
  </si>
  <si>
    <t>2F120374D5236300000000A3</t>
  </si>
  <si>
    <t>WSJA037Z</t>
  </si>
  <si>
    <t>WSJAI037</t>
  </si>
  <si>
    <t>2F120374D5236300000000A4</t>
  </si>
  <si>
    <t>WSJA038Z</t>
  </si>
  <si>
    <t>WSJAI038</t>
  </si>
  <si>
    <t>2F120374D5236300000000A5</t>
  </si>
  <si>
    <t>SPE7MC-17-V-C703</t>
  </si>
  <si>
    <t>WSJA039Z</t>
  </si>
  <si>
    <t>WSJAI039</t>
  </si>
  <si>
    <t>2F120374D5236300000000A6</t>
  </si>
  <si>
    <t>not shipped</t>
  </si>
  <si>
    <t>WSJA040Z</t>
  </si>
  <si>
    <t>WSJAI040</t>
  </si>
  <si>
    <t>2F120374D5236300000000A7</t>
  </si>
  <si>
    <t>QTY issue</t>
  </si>
  <si>
    <t>Aerfit</t>
  </si>
  <si>
    <t>WSJA041Z</t>
  </si>
  <si>
    <t>WSJAI041</t>
  </si>
  <si>
    <t>WSJA042Z</t>
  </si>
  <si>
    <t>WSJAI042</t>
  </si>
  <si>
    <t>2F120374D5236300000000A8</t>
  </si>
  <si>
    <t>SPE7M818P0269</t>
  </si>
  <si>
    <t>Sted</t>
  </si>
  <si>
    <t>WSJA043Z</t>
  </si>
  <si>
    <t>WSJAI043</t>
  </si>
  <si>
    <t>2F120374D5236300000000A9</t>
  </si>
  <si>
    <t>WSFE001Z</t>
  </si>
  <si>
    <t>WSFEI001</t>
  </si>
  <si>
    <t>2F120374D5236300000000AA</t>
  </si>
  <si>
    <t>WSFE002</t>
  </si>
  <si>
    <t>WSFEI002</t>
  </si>
  <si>
    <t>2F120374D5236300000000AB</t>
  </si>
  <si>
    <t>WSFE003</t>
  </si>
  <si>
    <t>WSFEI003</t>
  </si>
  <si>
    <t>2F120374D5236300000000AC</t>
  </si>
  <si>
    <t>WSFE004Z</t>
  </si>
  <si>
    <t>WSFEI004</t>
  </si>
  <si>
    <t>2F120374D5236300000000AD</t>
  </si>
  <si>
    <t>WSFE005Z</t>
  </si>
  <si>
    <t>WSFEI005</t>
  </si>
  <si>
    <t>2F120374D5236300000000AE</t>
  </si>
  <si>
    <t>WSFE006Z</t>
  </si>
  <si>
    <t>WSFEI006</t>
  </si>
  <si>
    <t>2F120374D5236300000000AF</t>
  </si>
  <si>
    <t>WSFE007Z</t>
  </si>
  <si>
    <t>WSFEI007</t>
  </si>
  <si>
    <t>2F120374D5236300000000B0</t>
  </si>
  <si>
    <t>WSFE008Z</t>
  </si>
  <si>
    <t>WSFEI008</t>
  </si>
  <si>
    <t>2F120374D5236300000000B1</t>
  </si>
  <si>
    <t>WSFE009</t>
  </si>
  <si>
    <t>WSFEI009</t>
  </si>
  <si>
    <t>2F120374D5236300000000B2</t>
  </si>
  <si>
    <t>WSFE010</t>
  </si>
  <si>
    <t>WSFEI010</t>
  </si>
  <si>
    <t>2F120374D5236300000000B3</t>
  </si>
  <si>
    <t>WSFE011Z</t>
  </si>
  <si>
    <t>WSFEI011</t>
  </si>
  <si>
    <t>2F120374D5236300000000B4</t>
  </si>
  <si>
    <t>WSFE012Z</t>
  </si>
  <si>
    <t>WSFEI012</t>
  </si>
  <si>
    <t>WSFE013Z</t>
  </si>
  <si>
    <t>WSFEI013</t>
  </si>
  <si>
    <t>2F120374D5236300000000B5</t>
  </si>
  <si>
    <t>WSFE015Z</t>
  </si>
  <si>
    <t>WSFEI015</t>
  </si>
  <si>
    <t>2F120374D5236300000000B7</t>
  </si>
  <si>
    <t>WSFE016Z</t>
  </si>
  <si>
    <t>WSFEI016</t>
  </si>
  <si>
    <t>WSFE017Z</t>
  </si>
  <si>
    <t>WSFEI017</t>
  </si>
  <si>
    <t>2F120374D5236300000000B8</t>
  </si>
  <si>
    <t>WSFE018Z</t>
  </si>
  <si>
    <t>WSFEI018</t>
  </si>
  <si>
    <t>2F120374D5236300000000B9</t>
  </si>
  <si>
    <t>AAEROFIT</t>
  </si>
  <si>
    <t>WSFE019Z</t>
  </si>
  <si>
    <t>WSFEI019</t>
  </si>
  <si>
    <t>WSFE020Z</t>
  </si>
  <si>
    <t>WSFEI020</t>
  </si>
  <si>
    <t>WSFE021Z</t>
  </si>
  <si>
    <t>WSFEI021</t>
  </si>
  <si>
    <t>2F120374D5236300000000BA</t>
  </si>
  <si>
    <t>MDI</t>
  </si>
  <si>
    <t>WSFE022Z</t>
  </si>
  <si>
    <t>WSFEI022</t>
  </si>
  <si>
    <t>2F120374D5236300000000BB</t>
  </si>
  <si>
    <t>WSFE023</t>
  </si>
  <si>
    <t>WSFEI023</t>
  </si>
  <si>
    <t>2F120374D5236300000000BC</t>
  </si>
  <si>
    <t>KON</t>
  </si>
  <si>
    <t>WSFE024Z</t>
  </si>
  <si>
    <t>WSFEI024</t>
  </si>
  <si>
    <t>cameron</t>
  </si>
  <si>
    <t>WSFE025Z</t>
  </si>
  <si>
    <t>WSFEI025</t>
  </si>
  <si>
    <t>2F120374D5236300000000BD</t>
  </si>
  <si>
    <t>WSFE026Z</t>
  </si>
  <si>
    <t>WSFEI026</t>
  </si>
  <si>
    <t>2F120374D5236300000000BE</t>
  </si>
  <si>
    <t>WSFE027Z</t>
  </si>
  <si>
    <t>WSFEI027</t>
  </si>
  <si>
    <t>2F120374D5236300000000BF</t>
  </si>
  <si>
    <t>WSFE028Z</t>
  </si>
  <si>
    <t>WSFEI028</t>
  </si>
  <si>
    <t>2F120374D5236300000000C0</t>
  </si>
  <si>
    <t>WSFE029Z</t>
  </si>
  <si>
    <t>WSFEI029</t>
  </si>
  <si>
    <t>2F120374D5236300000000C1</t>
  </si>
  <si>
    <t>WSFE030Z</t>
  </si>
  <si>
    <t>WSFEI030</t>
  </si>
  <si>
    <t>2F120374D5236300000000C2</t>
  </si>
  <si>
    <t>WSFE031Z</t>
  </si>
  <si>
    <t>WSFEI031</t>
  </si>
  <si>
    <t>2F120374D5236300000000C3</t>
  </si>
  <si>
    <t>WSFE032Z</t>
  </si>
  <si>
    <t>WSFEI032</t>
  </si>
  <si>
    <t>2F120374D5236300000000C4</t>
  </si>
  <si>
    <t>Plog</t>
  </si>
  <si>
    <t>WSFE033</t>
  </si>
  <si>
    <t>WSFEI033</t>
  </si>
  <si>
    <t>2F120374D5236300000000C5</t>
  </si>
  <si>
    <t>WSFE034</t>
  </si>
  <si>
    <t>WSFEI034</t>
  </si>
  <si>
    <t>2F120374D5236300000000C6</t>
  </si>
  <si>
    <t>WSFE035</t>
  </si>
  <si>
    <t>WSFEI035</t>
  </si>
  <si>
    <t>2F120374D5236300000000C7</t>
  </si>
  <si>
    <t>WSFE036Z</t>
  </si>
  <si>
    <t>WSFEI036</t>
  </si>
  <si>
    <t>2F120374D5236300000000C8</t>
  </si>
  <si>
    <t>WSFE037Z</t>
  </si>
  <si>
    <t>WSFEI037</t>
  </si>
  <si>
    <t>FLOW</t>
  </si>
  <si>
    <t>WSFE038Z</t>
  </si>
  <si>
    <t>WSFEI038</t>
  </si>
  <si>
    <t>WSMR038Z</t>
  </si>
  <si>
    <t>WSMRI038</t>
  </si>
  <si>
    <t>2F120374D5236300000000C9</t>
  </si>
  <si>
    <t>WSMR039Z</t>
  </si>
  <si>
    <t>WSMRI039</t>
  </si>
  <si>
    <t>2F120374D5236300000000CA</t>
  </si>
  <si>
    <t>OLYMPUS</t>
  </si>
  <si>
    <t>WSMR003Z</t>
  </si>
  <si>
    <t>WSMRI003</t>
  </si>
  <si>
    <t>2F120374D5236300000000CB</t>
  </si>
  <si>
    <t>WSMR004Z</t>
  </si>
  <si>
    <t>WSMRI004</t>
  </si>
  <si>
    <t>WSMR005Z</t>
  </si>
  <si>
    <t>WSMRI005</t>
  </si>
  <si>
    <t>2F120374D5236300000000CC</t>
  </si>
  <si>
    <t>WSMR006Z</t>
  </si>
  <si>
    <t>WSMRI006</t>
  </si>
  <si>
    <t>2F120374D5236300000000CD</t>
  </si>
  <si>
    <t>WSMR007Z</t>
  </si>
  <si>
    <t>WSMRI007</t>
  </si>
  <si>
    <t>2F120374D5236300000000CE</t>
  </si>
  <si>
    <t>WSMR008Z</t>
  </si>
  <si>
    <t>WSMRI008</t>
  </si>
  <si>
    <t>2F120374D5236300000000CF</t>
  </si>
  <si>
    <t>WSMR009Z</t>
  </si>
  <si>
    <t>WSMRI009</t>
  </si>
  <si>
    <t>WSMR010Z</t>
  </si>
  <si>
    <t>WSMRI010</t>
  </si>
  <si>
    <t>WSMR011Z</t>
  </si>
  <si>
    <t>WSMRI011</t>
  </si>
  <si>
    <t>2F120374D5236300000000D1</t>
  </si>
  <si>
    <t>WSMRI012</t>
  </si>
  <si>
    <t>WSMR013Z</t>
  </si>
  <si>
    <t>WSMRI013</t>
  </si>
  <si>
    <t>WSMR014Z</t>
  </si>
  <si>
    <t>WSMRI014</t>
  </si>
  <si>
    <t>2F120374D5236300000000D3</t>
  </si>
  <si>
    <t>WSMR015Z</t>
  </si>
  <si>
    <t>WSMRI015</t>
  </si>
  <si>
    <t>2F120374D5236300000000D4</t>
  </si>
  <si>
    <t>WSMRI016</t>
  </si>
  <si>
    <t>2F120374D5236300000000D0</t>
  </si>
  <si>
    <t>WSMR016Z</t>
  </si>
  <si>
    <t>WSMRI017</t>
  </si>
  <si>
    <t>2F120374D5236300000000D5</t>
  </si>
  <si>
    <t>WSMR017</t>
  </si>
  <si>
    <t>WSMRI018</t>
  </si>
  <si>
    <t>2F120374D5236300000000D6</t>
  </si>
  <si>
    <t>WSMR018Z</t>
  </si>
  <si>
    <t>WSMRI019</t>
  </si>
  <si>
    <t>2F120374D5236300000000D7</t>
  </si>
  <si>
    <t>WSMR019Z</t>
  </si>
  <si>
    <t>WSMRI020</t>
  </si>
  <si>
    <t>2F120374D5236300000000D8</t>
  </si>
  <si>
    <t>WSMR021Z</t>
  </si>
  <si>
    <t>WSMRI021</t>
  </si>
  <si>
    <t>WSMR022Z</t>
  </si>
  <si>
    <t>WSMRI022</t>
  </si>
  <si>
    <t>2F120374D5236300000000D9</t>
  </si>
  <si>
    <t>WSMR023Z</t>
  </si>
  <si>
    <t>WSMRI023</t>
  </si>
  <si>
    <t>2F120374D5236300000000DA</t>
  </si>
  <si>
    <t>WSMR024Z</t>
  </si>
  <si>
    <t>WSMRI024</t>
  </si>
  <si>
    <t>2F120374D5236300000000DB</t>
  </si>
  <si>
    <t>SPE7M518V3828</t>
  </si>
  <si>
    <t>WSMR025Z</t>
  </si>
  <si>
    <t>WSMRI025</t>
  </si>
  <si>
    <t>2F120374D5236300000000DC</t>
  </si>
  <si>
    <t>WSMR026Z</t>
  </si>
  <si>
    <t>WSMRI026</t>
  </si>
  <si>
    <t>2F120374D5236300000000DD</t>
  </si>
  <si>
    <t>WSMR027Z</t>
  </si>
  <si>
    <t>WSMRI027</t>
  </si>
  <si>
    <t>2F120374D5236300000000DE</t>
  </si>
  <si>
    <t>DMT</t>
  </si>
  <si>
    <t>WSMR028Z</t>
  </si>
  <si>
    <t>WSMRI028</t>
  </si>
  <si>
    <t>2F120374D5236300000000DF</t>
  </si>
  <si>
    <t>WSMR029Z</t>
  </si>
  <si>
    <t>WSMRI029</t>
  </si>
  <si>
    <t>2F120374D5236300000000E0</t>
  </si>
  <si>
    <t>WSMR030Z</t>
  </si>
  <si>
    <t>WSMRI030</t>
  </si>
  <si>
    <t>2F120374D5236300000000E1</t>
  </si>
  <si>
    <t>WSMR031Z</t>
  </si>
  <si>
    <t>WSMRI031</t>
  </si>
  <si>
    <t>2F120374D5236300000000E2</t>
  </si>
  <si>
    <t>WSMR032Z</t>
  </si>
  <si>
    <t>WSMRI032</t>
  </si>
  <si>
    <t>2F120374D5236300000000E3</t>
  </si>
  <si>
    <t>WSMR033Z</t>
  </si>
  <si>
    <t>WSMRI033</t>
  </si>
  <si>
    <t>2F120374D5236300000000E4</t>
  </si>
  <si>
    <t>WSMR034Z</t>
  </si>
  <si>
    <t>WSMRI034</t>
  </si>
  <si>
    <t>2F120374D5236300000000E5</t>
  </si>
  <si>
    <t>WSMR035Z</t>
  </si>
  <si>
    <t>WSMRI035</t>
  </si>
  <si>
    <t>WSMR036Z</t>
  </si>
  <si>
    <t>WSMRI036</t>
  </si>
  <si>
    <t>2F120374D5236300000000E6</t>
  </si>
  <si>
    <t>WSMR037Z</t>
  </si>
  <si>
    <t>WSMRI037</t>
  </si>
  <si>
    <t>2F120374D5236300000000E7</t>
  </si>
  <si>
    <t>2F120374D5236300000000E8</t>
  </si>
  <si>
    <t>2F120374D5236300000000E9</t>
  </si>
  <si>
    <t>WSAP001Z</t>
  </si>
  <si>
    <t>WSAPI001</t>
  </si>
  <si>
    <t>2F120374D5236300000000EA</t>
  </si>
  <si>
    <t>WSAP002Z</t>
  </si>
  <si>
    <t>WSAPI002</t>
  </si>
  <si>
    <t>2F120374D5236300000000EB</t>
  </si>
  <si>
    <t>WSAP003Z</t>
  </si>
  <si>
    <t>WSAPI003</t>
  </si>
  <si>
    <t>2F120374D5236300000000EC</t>
  </si>
  <si>
    <t>WSAP004Z</t>
  </si>
  <si>
    <t>WSAPI004</t>
  </si>
  <si>
    <t>2F120374D5236300000000ED</t>
  </si>
  <si>
    <t>MOLD</t>
  </si>
  <si>
    <t>WSAP005Z</t>
  </si>
  <si>
    <t>WSAPI005</t>
  </si>
  <si>
    <t>2F120374D5236300000000EE</t>
  </si>
  <si>
    <t>WSAP006Z</t>
  </si>
  <si>
    <t>WSAPI006</t>
  </si>
  <si>
    <t>2F120374D5236300000000EF</t>
  </si>
  <si>
    <t>WSAP007Z</t>
  </si>
  <si>
    <t>WSAPI007</t>
  </si>
  <si>
    <t>2F120374D5236300000000F0</t>
  </si>
  <si>
    <t>WSAP008Z</t>
  </si>
  <si>
    <t>WSAPI008</t>
  </si>
  <si>
    <t>2F120374D5236300000000F1</t>
  </si>
  <si>
    <t>WSAP009Z</t>
  </si>
  <si>
    <t>WSAPI009</t>
  </si>
  <si>
    <t>2F120374D5236300000000F2</t>
  </si>
  <si>
    <t>WSAP010Z</t>
  </si>
  <si>
    <t>WSAPI010</t>
  </si>
  <si>
    <t>2F120374D5236300000000F3</t>
  </si>
  <si>
    <t>WSAP011Z</t>
  </si>
  <si>
    <t>WSAPI011</t>
  </si>
  <si>
    <t>2F120374D5236300000000F4</t>
  </si>
  <si>
    <t>WSAP012Z</t>
  </si>
  <si>
    <t>WSAPI012</t>
  </si>
  <si>
    <t>2F120374D5236300000000F5</t>
  </si>
  <si>
    <t>WSAP013Z</t>
  </si>
  <si>
    <t>WSAPI013</t>
  </si>
  <si>
    <t>2F120374D5236300000000F6</t>
  </si>
  <si>
    <t>WSAP014Z</t>
  </si>
  <si>
    <t>WSAPI014</t>
  </si>
  <si>
    <t>2F120374D5236300000000F7</t>
  </si>
  <si>
    <t>TotalTemp</t>
  </si>
  <si>
    <t>WSAP015Z</t>
  </si>
  <si>
    <t>WSAPI015</t>
  </si>
  <si>
    <t>2F120374D5236300000000F8</t>
  </si>
  <si>
    <t>WSAP016Z</t>
  </si>
  <si>
    <t>WSAPI016</t>
  </si>
  <si>
    <t>2F120374D5236300000000F9</t>
  </si>
  <si>
    <t>WSAP017Z</t>
  </si>
  <si>
    <t>WSAPI017</t>
  </si>
  <si>
    <t>2F120374D5236300000000FA</t>
  </si>
  <si>
    <t>WSAP018Z</t>
  </si>
  <si>
    <t>WSAPI018</t>
  </si>
  <si>
    <t>Glenair Partial</t>
  </si>
  <si>
    <t>WSAP019</t>
  </si>
  <si>
    <t>WSAPI019</t>
  </si>
  <si>
    <t>2F120374D5236300000000FB</t>
  </si>
  <si>
    <t>WSAP020Z</t>
  </si>
  <si>
    <t>WSAPI020</t>
  </si>
  <si>
    <t>2F120374D5236300000000FC</t>
  </si>
  <si>
    <t>WSAP021Z</t>
  </si>
  <si>
    <t>WSAPI021</t>
  </si>
  <si>
    <t>2F120374D5236300000000FD</t>
  </si>
  <si>
    <t>FLOWLine</t>
  </si>
  <si>
    <t>WSAP022Z</t>
  </si>
  <si>
    <t>WSAPI022</t>
  </si>
  <si>
    <t>World Magnet</t>
  </si>
  <si>
    <t>WSAP023</t>
  </si>
  <si>
    <t>WSAPI023</t>
  </si>
  <si>
    <t>2F120374D5236300000000FE</t>
  </si>
  <si>
    <t>WSAP024</t>
  </si>
  <si>
    <t>WSAPI024</t>
  </si>
  <si>
    <t>2F120374D5236300000000FF</t>
  </si>
  <si>
    <t>Void</t>
  </si>
  <si>
    <t>WSAP025</t>
  </si>
  <si>
    <t>WSAPI025</t>
  </si>
  <si>
    <t>2F120374D523630000000100</t>
  </si>
  <si>
    <t>WSAP026Z</t>
  </si>
  <si>
    <t>WSAPI026</t>
  </si>
  <si>
    <t>2F120374D523630000000101</t>
  </si>
  <si>
    <t>WSAP027</t>
  </si>
  <si>
    <t>WSAPI027</t>
  </si>
  <si>
    <t>WSAP028Z</t>
  </si>
  <si>
    <t>WSAPI028</t>
  </si>
  <si>
    <t>2F120374D523630000000102</t>
  </si>
  <si>
    <t>WSAP029Z</t>
  </si>
  <si>
    <t>WSAPI029</t>
  </si>
  <si>
    <t>WSAP030Z</t>
  </si>
  <si>
    <t>WSAPI030</t>
  </si>
  <si>
    <t>2F120374D523630000000103</t>
  </si>
  <si>
    <t>WSAP031Z</t>
  </si>
  <si>
    <t>WSAPI031</t>
  </si>
  <si>
    <t>2F120374D523630000000104</t>
  </si>
  <si>
    <t>WSAP032</t>
  </si>
  <si>
    <t>WSAPI032</t>
  </si>
  <si>
    <t>2F120374D523630000000105</t>
  </si>
  <si>
    <t>WSAP033</t>
  </si>
  <si>
    <t>WSAPI033</t>
  </si>
  <si>
    <t>2F120374D523630000000106</t>
  </si>
  <si>
    <t>WSAP034Z</t>
  </si>
  <si>
    <t>WSAPI034</t>
  </si>
  <si>
    <t>2F120374D523630000000107</t>
  </si>
  <si>
    <t>WMNUGENT</t>
  </si>
  <si>
    <t>WSAP035Z</t>
  </si>
  <si>
    <t>WSAPI035</t>
  </si>
  <si>
    <t>2F120374D523630000000108</t>
  </si>
  <si>
    <t>WSAP036Z</t>
  </si>
  <si>
    <t>WSAPI036</t>
  </si>
  <si>
    <t>2F120374D523630000000109</t>
  </si>
  <si>
    <t>WSAP037Z</t>
  </si>
  <si>
    <t>WSAPI037</t>
  </si>
  <si>
    <t>2F120374D52363000000010A</t>
  </si>
  <si>
    <t>WSAP038Z</t>
  </si>
  <si>
    <t>WSAPI038</t>
  </si>
  <si>
    <t>2F120374D52363000000010B</t>
  </si>
  <si>
    <t>WSAP039Z</t>
  </si>
  <si>
    <t>WSAPI039</t>
  </si>
  <si>
    <t>2F120374D52363000000010C</t>
  </si>
  <si>
    <t>WSAP040Z</t>
  </si>
  <si>
    <t>WSAPI040</t>
  </si>
  <si>
    <t>2F120374D52363000000010D</t>
  </si>
  <si>
    <t>WSAP041Z</t>
  </si>
  <si>
    <t>WSAPI041</t>
  </si>
  <si>
    <t>2F120374D52363000000010E</t>
  </si>
  <si>
    <t>SPE7MC18V4064</t>
  </si>
  <si>
    <t>Glenair return</t>
  </si>
  <si>
    <t>WSAP042Z</t>
  </si>
  <si>
    <t>WSAPI042</t>
  </si>
  <si>
    <t>2F120374D52363000000010F</t>
  </si>
  <si>
    <t>WSAP043Z</t>
  </si>
  <si>
    <t>WSAPI043</t>
  </si>
  <si>
    <t>2F120374D523630000000110</t>
  </si>
  <si>
    <t>Stedhim</t>
  </si>
  <si>
    <t>WSAP044Z</t>
  </si>
  <si>
    <t>WSAPI044</t>
  </si>
  <si>
    <t>WSAP045Z</t>
  </si>
  <si>
    <t>WSAPI045</t>
  </si>
  <si>
    <t>2F120374D523630000000111</t>
  </si>
  <si>
    <t>WSAP046Z</t>
  </si>
  <si>
    <t>WSAPI046</t>
  </si>
  <si>
    <t>2F120374D523630000000112</t>
  </si>
  <si>
    <t>WSAP047Z</t>
  </si>
  <si>
    <t>WSAPI047</t>
  </si>
  <si>
    <t>2F120374D523630000000113</t>
  </si>
  <si>
    <t>WSAP048Z</t>
  </si>
  <si>
    <t>WSAPI048</t>
  </si>
  <si>
    <t>2F120374D523630000000114</t>
  </si>
  <si>
    <t>PREESE</t>
  </si>
  <si>
    <t>WSAP049Z</t>
  </si>
  <si>
    <t>WSAPI049</t>
  </si>
  <si>
    <t>2F120374D523630000000115</t>
  </si>
  <si>
    <t>WSAP050Z</t>
  </si>
  <si>
    <t>WSAPI050</t>
  </si>
  <si>
    <t>2F120374D523630000000116</t>
  </si>
  <si>
    <t>WSAP051</t>
  </si>
  <si>
    <t>WSAPI051</t>
  </si>
  <si>
    <t>2F120374D523630000000117</t>
  </si>
  <si>
    <t>WSAP052Z</t>
  </si>
  <si>
    <t>WSAPI052</t>
  </si>
  <si>
    <t>2F120374D523630000000118</t>
  </si>
  <si>
    <t>WSAP053Z</t>
  </si>
  <si>
    <t>WSAPI053</t>
  </si>
  <si>
    <t>2F120374D523630000000119</t>
  </si>
  <si>
    <t>WSAP054Z</t>
  </si>
  <si>
    <t>WSAPI054</t>
  </si>
  <si>
    <t>2F120374D52363000000011A</t>
  </si>
  <si>
    <t>WSAP055Z</t>
  </si>
  <si>
    <t>WSAPI055</t>
  </si>
  <si>
    <t>2F120374D52363000000011B</t>
  </si>
  <si>
    <t>WSAP057Z</t>
  </si>
  <si>
    <t>WSAPI057</t>
  </si>
  <si>
    <t>2F120374D52363000000011D</t>
  </si>
  <si>
    <t>PREESE Partial</t>
  </si>
  <si>
    <t>WSAP058Z</t>
  </si>
  <si>
    <t>WSAPI058</t>
  </si>
  <si>
    <t>2F120374D52363000000011C</t>
  </si>
  <si>
    <t>WSMY015Z</t>
  </si>
  <si>
    <t>WSMYI015</t>
  </si>
  <si>
    <t>2F120374D52363000000011E</t>
  </si>
  <si>
    <t>WSMY016Z</t>
  </si>
  <si>
    <t>WSMYI016</t>
  </si>
  <si>
    <t>2F120374D52363000000011F</t>
  </si>
  <si>
    <t>WSMY017</t>
  </si>
  <si>
    <t>WSMYI017</t>
  </si>
  <si>
    <t>2F120374D523630000000120</t>
  </si>
  <si>
    <t>WSMY018Z</t>
  </si>
  <si>
    <t>WSMYI018</t>
  </si>
  <si>
    <t>2F120374D523630000000121</t>
  </si>
  <si>
    <t>WSMY019</t>
  </si>
  <si>
    <t>WSMYI019</t>
  </si>
  <si>
    <t>2F120374D523630000000122</t>
  </si>
  <si>
    <t>WSMY020Z</t>
  </si>
  <si>
    <t>WSMYI020</t>
  </si>
  <si>
    <t>2F120374D523630000000123</t>
  </si>
  <si>
    <t>WSMY021Z</t>
  </si>
  <si>
    <t>WSMYI021</t>
  </si>
  <si>
    <t>2F120374D523630000000124</t>
  </si>
  <si>
    <t>Rosetaer</t>
  </si>
  <si>
    <t>WSMY022Z</t>
  </si>
  <si>
    <t>WSMYI022</t>
  </si>
  <si>
    <t>2F120374D523630000000125</t>
  </si>
  <si>
    <t>WSMY023Z</t>
  </si>
  <si>
    <t>WSMYI023</t>
  </si>
  <si>
    <t>WSMY024Z</t>
  </si>
  <si>
    <t>WSMYI024</t>
  </si>
  <si>
    <t>2F120374D523630000000126</t>
  </si>
  <si>
    <t>WorldMagnet</t>
  </si>
  <si>
    <t>WSMY025Z</t>
  </si>
  <si>
    <t>WSMYI025</t>
  </si>
  <si>
    <t>2F120374D523630000000127</t>
  </si>
  <si>
    <t>WSMY026Z</t>
  </si>
  <si>
    <t>WSMYI026</t>
  </si>
  <si>
    <t>2F120374D523630000000128</t>
  </si>
  <si>
    <t>WSMY027Z</t>
  </si>
  <si>
    <t>WSMYI027</t>
  </si>
  <si>
    <t>2F120374D523630000000129</t>
  </si>
  <si>
    <t>WSMY028Z</t>
  </si>
  <si>
    <t>WSMYI028</t>
  </si>
  <si>
    <t>2F120374D52363000000012A</t>
  </si>
  <si>
    <t>Konenberg</t>
  </si>
  <si>
    <t>WSMY029Z</t>
  </si>
  <si>
    <t>WSMYI029</t>
  </si>
  <si>
    <t>WSMY030Z</t>
  </si>
  <si>
    <t>WSMYI030</t>
  </si>
  <si>
    <t>2F120374D52363000000012B</t>
  </si>
  <si>
    <t>WSMY031Z</t>
  </si>
  <si>
    <t>WSMYI031</t>
  </si>
  <si>
    <t>2F120374D52363000000012C</t>
  </si>
  <si>
    <t>WSMY032Z</t>
  </si>
  <si>
    <t>WSMYI032</t>
  </si>
  <si>
    <t>2F120374D52363000000012D</t>
  </si>
  <si>
    <t>WSMY033</t>
  </si>
  <si>
    <t>WSMYI033</t>
  </si>
  <si>
    <t>2F120374D52363000000012E</t>
  </si>
  <si>
    <t>WSMY034Z</t>
  </si>
  <si>
    <t>WSMYI034</t>
  </si>
  <si>
    <t>2F120374D52363000000012F</t>
  </si>
  <si>
    <t>WSMY035Z</t>
  </si>
  <si>
    <t>WSMYI035</t>
  </si>
  <si>
    <t>2F120374D523630000000130</t>
  </si>
  <si>
    <t>WSMY036Z</t>
  </si>
  <si>
    <t>WSMYI036</t>
  </si>
  <si>
    <t>2F120374D523630000000131</t>
  </si>
  <si>
    <t>WSMY037Z</t>
  </si>
  <si>
    <t>WSMYI037</t>
  </si>
  <si>
    <t>2F120374D523630000000132</t>
  </si>
  <si>
    <t>WSMY038Z</t>
  </si>
  <si>
    <t>WSMYI038</t>
  </si>
  <si>
    <t>2F120374D523630000000133</t>
  </si>
  <si>
    <t>WSMY039Z</t>
  </si>
  <si>
    <t>WSMYI039</t>
  </si>
  <si>
    <t>2F120374D523630000000134</t>
  </si>
  <si>
    <t>WSMY040Z</t>
  </si>
  <si>
    <t>WSMYI040</t>
  </si>
  <si>
    <t>2F120374D523630000000135</t>
  </si>
  <si>
    <t>WSMY041Z</t>
  </si>
  <si>
    <t>WSMYI041</t>
  </si>
  <si>
    <t>2F120374D523630000000136</t>
  </si>
  <si>
    <t>WSMY042Z</t>
  </si>
  <si>
    <t>WSMYI042</t>
  </si>
  <si>
    <t>2F120374D523630000000137</t>
  </si>
  <si>
    <t>WSMY043Z</t>
  </si>
  <si>
    <t>WSMYI043</t>
  </si>
  <si>
    <t>2F120374D523630000000138</t>
  </si>
  <si>
    <t>WSJU001Z</t>
  </si>
  <si>
    <t>WSJUI001</t>
  </si>
  <si>
    <t>2F120374D523630000000139</t>
  </si>
  <si>
    <t>WSJU002Z</t>
  </si>
  <si>
    <t>WSJUI002</t>
  </si>
  <si>
    <t>WSJU003Z</t>
  </si>
  <si>
    <t>WSJUI003</t>
  </si>
  <si>
    <t>2F120374D52363000000013A</t>
  </si>
  <si>
    <t>WSJU004Z</t>
  </si>
  <si>
    <t>WSJUI004</t>
  </si>
  <si>
    <t>WSJU005Z</t>
  </si>
  <si>
    <t>WSJUI005</t>
  </si>
  <si>
    <t>WSJU006Z</t>
  </si>
  <si>
    <t>WSJUI006</t>
  </si>
  <si>
    <t>2F120374D52363000000013B</t>
  </si>
  <si>
    <t>WSJU007Z</t>
  </si>
  <si>
    <t>WSJUI007</t>
  </si>
  <si>
    <t>2F120374D52363000000013C</t>
  </si>
  <si>
    <t>ROSTRA</t>
  </si>
  <si>
    <t>WSJU008Z</t>
  </si>
  <si>
    <t>WSJUI008</t>
  </si>
  <si>
    <t>2F120374D52363000000013D</t>
  </si>
  <si>
    <t>WSJU009Z</t>
  </si>
  <si>
    <t>WSJUI009</t>
  </si>
  <si>
    <t>WSJU010Z</t>
  </si>
  <si>
    <t>WSJUI010</t>
  </si>
  <si>
    <t>2F120374D52363000000013E</t>
  </si>
  <si>
    <t>GEMS Dest</t>
  </si>
  <si>
    <t>WSJU011Z</t>
  </si>
  <si>
    <t>WSJUI011</t>
  </si>
  <si>
    <t>Call</t>
  </si>
  <si>
    <t>Glenair Dest</t>
  </si>
  <si>
    <t>WSJU012Z</t>
  </si>
  <si>
    <t>WSJUI012</t>
  </si>
  <si>
    <t>2F120374D52363000000013F</t>
  </si>
  <si>
    <t>Phenix Logis</t>
  </si>
  <si>
    <t>WSJU013Z</t>
  </si>
  <si>
    <t>WSJUI013</t>
  </si>
  <si>
    <t>2F120374D523630000000140</t>
  </si>
  <si>
    <t>WSJU014Z</t>
  </si>
  <si>
    <t>WSJUI014</t>
  </si>
  <si>
    <t>2F120374D523630000000141</t>
  </si>
  <si>
    <t>WSJU015Z</t>
  </si>
  <si>
    <t>WSJUI015</t>
  </si>
  <si>
    <t>2F120374D523630000000142</t>
  </si>
  <si>
    <t>WSJU016Z</t>
  </si>
  <si>
    <t>WSJUI016</t>
  </si>
  <si>
    <t>2F120374D523630000000143</t>
  </si>
  <si>
    <t>WSJU017Z</t>
  </si>
  <si>
    <t>WSJUI017</t>
  </si>
  <si>
    <t>2F120374D523630000000144</t>
  </si>
  <si>
    <t>WSJU018Z</t>
  </si>
  <si>
    <t>WSJUI018</t>
  </si>
  <si>
    <t>WSJU019Z</t>
  </si>
  <si>
    <t>WSJUI019</t>
  </si>
  <si>
    <t>2F120374D523630000000145</t>
  </si>
  <si>
    <t>WSJU020Z</t>
  </si>
  <si>
    <t>WSJUI020</t>
  </si>
  <si>
    <t>2F120374D523630000000146</t>
  </si>
  <si>
    <t>WSJU021Z</t>
  </si>
  <si>
    <t>WSJUI021</t>
  </si>
  <si>
    <t>2F120374D523630000000147</t>
  </si>
  <si>
    <t>WSJU022Z</t>
  </si>
  <si>
    <t>WSJUI022</t>
  </si>
  <si>
    <t>2F120374D523630000000148</t>
  </si>
  <si>
    <t>Scientific-Mini</t>
  </si>
  <si>
    <t>WSJU023Z</t>
  </si>
  <si>
    <t>WSJUI023</t>
  </si>
  <si>
    <t>2F120374D523630000000149</t>
  </si>
  <si>
    <t>SPE7M018V8133</t>
  </si>
  <si>
    <t>WSJU024Z</t>
  </si>
  <si>
    <t>WSJUI024</t>
  </si>
  <si>
    <t>2F120374D52363000000014A</t>
  </si>
  <si>
    <t>SPE7M018V7017</t>
  </si>
  <si>
    <t>WSJU025Z</t>
  </si>
  <si>
    <t>WSJUI025</t>
  </si>
  <si>
    <t>2F120374D52363000000014B</t>
  </si>
  <si>
    <t>WSJU026Z</t>
  </si>
  <si>
    <t>WSJUI026</t>
  </si>
  <si>
    <t>2F120374D52363000000014C</t>
  </si>
  <si>
    <t>Power&amp;Heat</t>
  </si>
  <si>
    <t>WSJU027Z</t>
  </si>
  <si>
    <t>WSJUI027</t>
  </si>
  <si>
    <t>call</t>
  </si>
  <si>
    <t>WSJU028Z</t>
  </si>
  <si>
    <t>WSJUI028</t>
  </si>
  <si>
    <t>2F120374D52363000000014D</t>
  </si>
  <si>
    <t>WSJU029Z</t>
  </si>
  <si>
    <t>WSJUI029</t>
  </si>
  <si>
    <t>2F120374D52363000000014E</t>
  </si>
  <si>
    <t>WSJU030Z</t>
  </si>
  <si>
    <t>WSJUI030</t>
  </si>
  <si>
    <t>2F120374D52363000000014F</t>
  </si>
  <si>
    <t>WSJU031Z</t>
  </si>
  <si>
    <t>WSJUI031</t>
  </si>
  <si>
    <t>2F120374D523630000000150</t>
  </si>
  <si>
    <t>WSJU032Z</t>
  </si>
  <si>
    <t>WSJUI032</t>
  </si>
  <si>
    <t>2F120374D523630000000151</t>
  </si>
  <si>
    <t>WSJU033Z</t>
  </si>
  <si>
    <t>WSJUI033</t>
  </si>
  <si>
    <t>2F120374D523630000000152</t>
  </si>
  <si>
    <t>WSJU034Z</t>
  </si>
  <si>
    <t>WSJUI034</t>
  </si>
  <si>
    <t>2F120374D523630000000153</t>
  </si>
  <si>
    <t>WSJU035Z</t>
  </si>
  <si>
    <t>WSJUI035</t>
  </si>
  <si>
    <t>2F120374D523630000000154</t>
  </si>
  <si>
    <t>SPE7MC18V2156</t>
  </si>
  <si>
    <t>MUNTER Return</t>
  </si>
  <si>
    <t>WSJU036Z</t>
  </si>
  <si>
    <t>WSJUI036</t>
  </si>
  <si>
    <t>2F120374D523630000000155</t>
  </si>
  <si>
    <t>PBM VOID</t>
  </si>
  <si>
    <t>WSJU037</t>
  </si>
  <si>
    <t>WSJUI037</t>
  </si>
  <si>
    <t>2F120374D523630000000156</t>
  </si>
  <si>
    <t>WSJU038Z</t>
  </si>
  <si>
    <t>WSJUI038</t>
  </si>
  <si>
    <t>2F120374D523630000000157</t>
  </si>
  <si>
    <t>WSJU039Z</t>
  </si>
  <si>
    <t>WSJUI039</t>
  </si>
  <si>
    <t>2F120374D523630000000158</t>
  </si>
  <si>
    <t>WSJU040</t>
  </si>
  <si>
    <t>WSJUI040</t>
  </si>
  <si>
    <t>Glenair Partial-mod</t>
  </si>
  <si>
    <t>WSJU041</t>
  </si>
  <si>
    <t>WSJUI041</t>
  </si>
  <si>
    <t>2F120374D523630000000159</t>
  </si>
  <si>
    <t>WSJU042Z</t>
  </si>
  <si>
    <t>WSJUI042</t>
  </si>
  <si>
    <t>KDST</t>
  </si>
  <si>
    <t>WSJU043Z</t>
  </si>
  <si>
    <t>WSJUI043</t>
  </si>
  <si>
    <t>2F120374D52363000000015A</t>
  </si>
  <si>
    <t>SPE7M518V1410</t>
  </si>
  <si>
    <t>ITT Return</t>
  </si>
  <si>
    <t>WSJU044Z</t>
  </si>
  <si>
    <t>WSJUI044</t>
  </si>
  <si>
    <t>2F120374D52363000000015B</t>
  </si>
  <si>
    <t>SPE7M0-18-P-0299</t>
  </si>
  <si>
    <t>WSJU045Z</t>
  </si>
  <si>
    <t>WSJUI045</t>
  </si>
  <si>
    <t>2F120374D52363000000015C</t>
  </si>
  <si>
    <t>GENSCO</t>
  </si>
  <si>
    <t>WSJU046</t>
  </si>
  <si>
    <t>WSJUI046</t>
  </si>
  <si>
    <t>2F120374D52363000000015D</t>
  </si>
  <si>
    <t>WSJU047</t>
  </si>
  <si>
    <t>WSJUI047</t>
  </si>
  <si>
    <t>2F120374D52363000000015E</t>
  </si>
  <si>
    <t>WSJU048Z</t>
  </si>
  <si>
    <t>WSJUI048</t>
  </si>
  <si>
    <t>2F120374D52363000000015F</t>
  </si>
  <si>
    <t>WSJU049</t>
  </si>
  <si>
    <t>WSJUI049</t>
  </si>
  <si>
    <t>2F120374D523630000000160</t>
  </si>
  <si>
    <t>WSJU050</t>
  </si>
  <si>
    <t>WSJUI050</t>
  </si>
  <si>
    <t>2F120374D523630000000161</t>
  </si>
  <si>
    <t>WSJU051Z</t>
  </si>
  <si>
    <t>WSJUI051</t>
  </si>
  <si>
    <t>2F120374D523630000000162</t>
  </si>
  <si>
    <t>WSJU052Z</t>
  </si>
  <si>
    <t>WSJUI052</t>
  </si>
  <si>
    <t>2F120374D523630000000163</t>
  </si>
  <si>
    <t>WSJU053Z</t>
  </si>
  <si>
    <t>WSJUI053</t>
  </si>
  <si>
    <t>2F120374D523630000000164</t>
  </si>
  <si>
    <t>WSJY001Z</t>
  </si>
  <si>
    <t>2F120374D523630000000165</t>
  </si>
  <si>
    <t>2F120374D523630000000166</t>
  </si>
  <si>
    <t>INDECOO</t>
  </si>
  <si>
    <t>WSJY003Z</t>
  </si>
  <si>
    <t>2F120374D523630000000167</t>
  </si>
  <si>
    <t>WSJY004Z</t>
  </si>
  <si>
    <t>2F120374D523630000000168</t>
  </si>
  <si>
    <t>WSJY005Z</t>
  </si>
  <si>
    <t>2F120374D523630000000169</t>
  </si>
  <si>
    <t>FLOWLINE</t>
  </si>
  <si>
    <t>WSJY006Z</t>
  </si>
  <si>
    <t>2F120374D52363000000016A</t>
  </si>
  <si>
    <t>WSJY007Z</t>
  </si>
  <si>
    <t>2F120374D52363000000016B</t>
  </si>
  <si>
    <t>2F120374D52363000000016C</t>
  </si>
  <si>
    <t>2F120374D52363000000016D</t>
  </si>
  <si>
    <t>2F120374D52363000000016E</t>
  </si>
  <si>
    <t>2F120374D52363000000016F</t>
  </si>
  <si>
    <t>WSJY012Z</t>
  </si>
  <si>
    <t>2F120374D523630000000170</t>
  </si>
  <si>
    <t>WSJY013Z</t>
  </si>
  <si>
    <t>WSJYI013</t>
  </si>
  <si>
    <t>2F120374D523630000000171</t>
  </si>
  <si>
    <t>WSJY014Z</t>
  </si>
  <si>
    <t>WSJYI014</t>
  </si>
  <si>
    <t>2F120374D523630000000172</t>
  </si>
  <si>
    <t>WSJY015Z</t>
  </si>
  <si>
    <t>WSJYI015</t>
  </si>
  <si>
    <t>2F120374D523630000000173</t>
  </si>
  <si>
    <t>WSJY016Z</t>
  </si>
  <si>
    <t>WSJYI016</t>
  </si>
  <si>
    <t>2F120374D523630000000174</t>
  </si>
  <si>
    <t>WSJY020Z</t>
  </si>
  <si>
    <t>WSJYI020</t>
  </si>
  <si>
    <t>X</t>
  </si>
  <si>
    <t>WSJY018</t>
  </si>
  <si>
    <t>WSJYI018</t>
  </si>
  <si>
    <t>2F120374D523630000000176</t>
  </si>
  <si>
    <t>WSJY019Z</t>
  </si>
  <si>
    <t>WSJYI019</t>
  </si>
  <si>
    <t>2F120374D523630000000177</t>
  </si>
  <si>
    <t>WSJY021Z</t>
  </si>
  <si>
    <t>WSJYI021</t>
  </si>
  <si>
    <t>2F120374D523630000000178</t>
  </si>
  <si>
    <t>WSJY022Z</t>
  </si>
  <si>
    <t>WSJYI022</t>
  </si>
  <si>
    <t>WSJY023Z</t>
  </si>
  <si>
    <t>WSJYI023</t>
  </si>
  <si>
    <t>2F120374D523630000000179</t>
  </si>
  <si>
    <t>WSJY024Z</t>
  </si>
  <si>
    <t>WSJYI024</t>
  </si>
  <si>
    <t>2F120374D52363000000017A</t>
  </si>
  <si>
    <t>WSJY025Z</t>
  </si>
  <si>
    <t>WSJYI025</t>
  </si>
  <si>
    <t>2F120374D52363000000017B</t>
  </si>
  <si>
    <t>WSJY026Z</t>
  </si>
  <si>
    <t>WSJYI026</t>
  </si>
  <si>
    <t>2F120374D52363000000017C</t>
  </si>
  <si>
    <t>WSJY027Z</t>
  </si>
  <si>
    <t>WSJYI027</t>
  </si>
  <si>
    <t>WSJY028Z</t>
  </si>
  <si>
    <t>WSJYI028</t>
  </si>
  <si>
    <t>2F120374D52363000000017D</t>
  </si>
  <si>
    <t>XEN</t>
  </si>
  <si>
    <t>WSJY029</t>
  </si>
  <si>
    <t>WSJYI029</t>
  </si>
  <si>
    <t>2F120374D52363000000017E</t>
  </si>
  <si>
    <t>WSJY030Z</t>
  </si>
  <si>
    <t>WSJYI030</t>
  </si>
  <si>
    <t>2F120374D52363000000017F</t>
  </si>
  <si>
    <t>WSJY031Z</t>
  </si>
  <si>
    <t>WSJYI031</t>
  </si>
  <si>
    <t>2F120374D523630000000180</t>
  </si>
  <si>
    <t>WSJY032Z</t>
  </si>
  <si>
    <t>WSJYI032</t>
  </si>
  <si>
    <t>2F120374D523630000000181</t>
  </si>
  <si>
    <t>WSJY033Z</t>
  </si>
  <si>
    <t>WSJYI033</t>
  </si>
  <si>
    <t>2F120374D523630000000182</t>
  </si>
  <si>
    <t>WSJY034Z</t>
  </si>
  <si>
    <t>WSJYI034</t>
  </si>
  <si>
    <t>2F120374D523630000000183</t>
  </si>
  <si>
    <t>WSJY035Z</t>
  </si>
  <si>
    <t>WSJYI035</t>
  </si>
  <si>
    <t>2F120374D523630000000184</t>
  </si>
  <si>
    <t>WSJY036Z</t>
  </si>
  <si>
    <t>WSJYI036</t>
  </si>
  <si>
    <t>2F120374D523630000000185</t>
  </si>
  <si>
    <t>WSJY037Z</t>
  </si>
  <si>
    <t>WSJYI037</t>
  </si>
  <si>
    <t>2F120374D523630000000186</t>
  </si>
  <si>
    <t>WSJY038Z</t>
  </si>
  <si>
    <t>WSJYI038</t>
  </si>
  <si>
    <t>2F120374D523630000000187</t>
  </si>
  <si>
    <t>WSJY039Z</t>
  </si>
  <si>
    <t>WSJYI039</t>
  </si>
  <si>
    <t>2F120374D523630000000188</t>
  </si>
  <si>
    <t>WSJYI040</t>
  </si>
  <si>
    <t>2F120374D523630000000189</t>
  </si>
  <si>
    <t>WSJY041Z</t>
  </si>
  <si>
    <t>WSJYI041</t>
  </si>
  <si>
    <t>2F120374D52363000000018A</t>
  </si>
  <si>
    <t>WSJY042</t>
  </si>
  <si>
    <t>WSJYI042</t>
  </si>
  <si>
    <t>2F120374D52363000000018B</t>
  </si>
  <si>
    <t>WSJY043Z</t>
  </si>
  <si>
    <t>WSJYI043</t>
  </si>
  <si>
    <t>2F120374D52363000000018C</t>
  </si>
  <si>
    <t>WSJY044Z</t>
  </si>
  <si>
    <t>WSJYI044</t>
  </si>
  <si>
    <t>2F120374D52363000000018D</t>
  </si>
  <si>
    <t>WSJY045</t>
  </si>
  <si>
    <t>WSJYI045</t>
  </si>
  <si>
    <t>2F120374D52363000000018E</t>
  </si>
  <si>
    <t>WSJY046</t>
  </si>
  <si>
    <t>WSJYI046</t>
  </si>
  <si>
    <t>2F120374D52363000000018F</t>
  </si>
  <si>
    <t>WSJY047Z</t>
  </si>
  <si>
    <t>WSJYI047</t>
  </si>
  <si>
    <t>2F120374D523630000000190</t>
  </si>
  <si>
    <t>WSAU001Z</t>
  </si>
  <si>
    <t>2F120374D523630000000191</t>
  </si>
  <si>
    <t>WSAU002Z</t>
  </si>
  <si>
    <t>2F120374D523630000000192</t>
  </si>
  <si>
    <t>WSAU003Z</t>
  </si>
  <si>
    <t>2F120374D523630000000193</t>
  </si>
  <si>
    <t>LEE spring</t>
  </si>
  <si>
    <t>WSAU004Z</t>
  </si>
  <si>
    <t>2F120374D523630000000194</t>
  </si>
  <si>
    <t>2F120374D523630000000195</t>
  </si>
  <si>
    <t>WSAU006Z</t>
  </si>
  <si>
    <t>2F120374D523630000000196</t>
  </si>
  <si>
    <t>WSAU007Z</t>
  </si>
  <si>
    <t>2F120374D523630000000197</t>
  </si>
  <si>
    <t>WSAU008Z</t>
  </si>
  <si>
    <t>2F120374D523630000000198</t>
  </si>
  <si>
    <t>WSAU009Z</t>
  </si>
  <si>
    <t>2F120374D523630000000199</t>
  </si>
  <si>
    <t>WSAU010Z</t>
  </si>
  <si>
    <t>2F120374D52363000000019A</t>
  </si>
  <si>
    <t>Total Temp</t>
  </si>
  <si>
    <t>WSAU011Z</t>
  </si>
  <si>
    <t>2F120374D52363000000019B</t>
  </si>
  <si>
    <t>2F120374D52363000000019C</t>
  </si>
  <si>
    <t>2F120374D52363000000019D</t>
  </si>
  <si>
    <t>WSAU014Z</t>
  </si>
  <si>
    <t>2F120374D52363000000019E</t>
  </si>
  <si>
    <t>WSAU015Z</t>
  </si>
  <si>
    <t>2F120374D52363000000019F</t>
  </si>
  <si>
    <t>WSAU016Z</t>
  </si>
  <si>
    <t>2F120374D5236300000001A0</t>
  </si>
  <si>
    <t>INDEC</t>
  </si>
  <si>
    <t>WSAU017Z</t>
  </si>
  <si>
    <t>2F120374D5236300000001A1</t>
  </si>
  <si>
    <t>WSAU018Z</t>
  </si>
  <si>
    <t>2F120374D5236300000001A2</t>
  </si>
  <si>
    <t>WSAU019Z</t>
  </si>
  <si>
    <t>2F120374D5236300000001A3</t>
  </si>
  <si>
    <t>WSAU020Z</t>
  </si>
  <si>
    <t>2F120374D5236300000001A4</t>
  </si>
  <si>
    <t>WSAU021Z</t>
  </si>
  <si>
    <t>2F120374D5236300000001A5</t>
  </si>
  <si>
    <t>WSAU022Z</t>
  </si>
  <si>
    <t>NORFID</t>
  </si>
  <si>
    <t>WSAU023Z</t>
  </si>
  <si>
    <t>2F120374D5236300000001A7</t>
  </si>
  <si>
    <t>2F120374D5236300000001A8</t>
  </si>
  <si>
    <t>WSAU025</t>
  </si>
  <si>
    <t>WSAUI025</t>
  </si>
  <si>
    <t>2F120374D5236300000001A9</t>
  </si>
  <si>
    <t>WSAU026Z</t>
  </si>
  <si>
    <t>WSAUI026</t>
  </si>
  <si>
    <t>2F120374D5236300000001AA</t>
  </si>
  <si>
    <t>WSAU027Z</t>
  </si>
  <si>
    <t>WSAUI027</t>
  </si>
  <si>
    <t>WSAU028Z</t>
  </si>
  <si>
    <t>WSAUI028</t>
  </si>
  <si>
    <t>2F120374D5236300000001AB</t>
  </si>
  <si>
    <t>WSAU029Z</t>
  </si>
  <si>
    <t>WSAUI029</t>
  </si>
  <si>
    <t>WSAU030</t>
  </si>
  <si>
    <t>WSAUI030</t>
  </si>
  <si>
    <t>2F120374D5236300000001AC</t>
  </si>
  <si>
    <t>WSAU031</t>
  </si>
  <si>
    <t>WSAUI031</t>
  </si>
  <si>
    <t>2F120374D5236300000001AD</t>
  </si>
  <si>
    <t>WSAU032Z</t>
  </si>
  <si>
    <t>WSAUI032</t>
  </si>
  <si>
    <t>2F120374D5236300000001AE</t>
  </si>
  <si>
    <t>WSAU033</t>
  </si>
  <si>
    <t>WSAUI033</t>
  </si>
  <si>
    <t>2F120374D5236300000001AF</t>
  </si>
  <si>
    <t>WSAU034Z</t>
  </si>
  <si>
    <t>WSAUI034</t>
  </si>
  <si>
    <t>2F120374D5236300000001B0</t>
  </si>
  <si>
    <t>WSAU035Z</t>
  </si>
  <si>
    <t>WSAUI035</t>
  </si>
  <si>
    <t>UBSGear</t>
  </si>
  <si>
    <t>WSAU036Z</t>
  </si>
  <si>
    <t>WSAUI036</t>
  </si>
  <si>
    <t>2F120374D5236300000001B1</t>
  </si>
  <si>
    <t>WSAU037Z</t>
  </si>
  <si>
    <t>WSAUI037</t>
  </si>
  <si>
    <t>2F120374D5236300000001B2</t>
  </si>
  <si>
    <t>WSAU038Z</t>
  </si>
  <si>
    <t>WSAUI038</t>
  </si>
  <si>
    <t>2F120374D5236300000001B3</t>
  </si>
  <si>
    <t>WSAU039Z</t>
  </si>
  <si>
    <t>WSAUI039</t>
  </si>
  <si>
    <t>2F120374D5236300000001B4</t>
  </si>
  <si>
    <t>Konsberg</t>
  </si>
  <si>
    <t>WSAU040Z</t>
  </si>
  <si>
    <t>WSAUI040</t>
  </si>
  <si>
    <t>2F120374D5236300000001B5</t>
  </si>
  <si>
    <t>WSAU041</t>
  </si>
  <si>
    <t>WSAUI041</t>
  </si>
  <si>
    <t>2F120374D5236300000001B6</t>
  </si>
  <si>
    <t>WSAU042Z</t>
  </si>
  <si>
    <t>WSAUI042</t>
  </si>
  <si>
    <t>2F120374D5236300000001B7</t>
  </si>
  <si>
    <t>WSAU043Z</t>
  </si>
  <si>
    <t>WSAUI043</t>
  </si>
  <si>
    <t>2F120374D5236300000001B8</t>
  </si>
  <si>
    <t>WSAU044Z</t>
  </si>
  <si>
    <t>WSAUI044</t>
  </si>
  <si>
    <t>2F120374D5236300000001B9</t>
  </si>
  <si>
    <t>WSAU045</t>
  </si>
  <si>
    <t>WSAUI045</t>
  </si>
  <si>
    <t>2F120374D5236300000001BA</t>
  </si>
  <si>
    <t>WSAU046Z</t>
  </si>
  <si>
    <t>WSAUI046</t>
  </si>
  <si>
    <t>2F120374D5236300000001BB</t>
  </si>
  <si>
    <t>WSAU047Z</t>
  </si>
  <si>
    <t>2F120374D5236300000001BC</t>
  </si>
  <si>
    <t>WSAU048Z</t>
  </si>
  <si>
    <t>WSAUI048</t>
  </si>
  <si>
    <t>WSAU049Z</t>
  </si>
  <si>
    <t>WSAUI049</t>
  </si>
  <si>
    <t>2F120374D5236300000001BD</t>
  </si>
  <si>
    <t>WSAU050Z</t>
  </si>
  <si>
    <t>WSAUI050</t>
  </si>
  <si>
    <t>2F120374D5236300000001BE</t>
  </si>
  <si>
    <t>KTDSI</t>
  </si>
  <si>
    <t>WSAU051Z</t>
  </si>
  <si>
    <t>WSAUI051</t>
  </si>
  <si>
    <t>2F120374D5236300000001BF</t>
  </si>
  <si>
    <t>WSAU052Z</t>
  </si>
  <si>
    <t>WSAUI052</t>
  </si>
  <si>
    <t>2F120374D5236300000001C0</t>
  </si>
  <si>
    <t>WSAU053Z</t>
  </si>
  <si>
    <t>WSAUI053</t>
  </si>
  <si>
    <t>2F120374D5236300000001C1</t>
  </si>
  <si>
    <t>WSAU054Z</t>
  </si>
  <si>
    <t>WSAUI054</t>
  </si>
  <si>
    <t>2F120374D5236300000001C2</t>
  </si>
  <si>
    <t>WSSE001Z</t>
  </si>
  <si>
    <t>2F120374D5236300000001C3</t>
  </si>
  <si>
    <t>WSSE002Z</t>
  </si>
  <si>
    <t>2F120374D5236300000001C4</t>
  </si>
  <si>
    <t>WSSE003Z</t>
  </si>
  <si>
    <t>2F120374D5236300000001C5</t>
  </si>
  <si>
    <t>Morriscrane</t>
  </si>
  <si>
    <t>No</t>
  </si>
  <si>
    <t>WSSE005Z</t>
  </si>
  <si>
    <t>WSSE006Z</t>
  </si>
  <si>
    <t>2F120374D5236300000001C6</t>
  </si>
  <si>
    <t>East?West</t>
  </si>
  <si>
    <t>WSSE007Z</t>
  </si>
  <si>
    <t>WSSE008Z</t>
  </si>
  <si>
    <t>SPE4A418V8695</t>
  </si>
  <si>
    <t>WSSE009Z</t>
  </si>
  <si>
    <t>WSSE010Z</t>
  </si>
  <si>
    <t>2F120374D5236300000001C7</t>
  </si>
  <si>
    <t>WSSE011Z</t>
  </si>
  <si>
    <t>2F120374D5236300000001C8</t>
  </si>
  <si>
    <t>WSSE012Z</t>
  </si>
  <si>
    <t>WSSEI012</t>
  </si>
  <si>
    <t>2F120374D5236300000001C9</t>
  </si>
  <si>
    <t>WSSE013Z</t>
  </si>
  <si>
    <t>WSSEI013</t>
  </si>
  <si>
    <t>2F120374D5236300000001CA</t>
  </si>
  <si>
    <t>Worldmag</t>
  </si>
  <si>
    <t>WSSEI014</t>
  </si>
  <si>
    <t>2F120374D5236300000001CB</t>
  </si>
  <si>
    <t>WSSE015Z</t>
  </si>
  <si>
    <t>WSSEI015</t>
  </si>
  <si>
    <t>2F120374D5236300000001CC</t>
  </si>
  <si>
    <t>Avibank Return</t>
  </si>
  <si>
    <t>WSSE016Z</t>
  </si>
  <si>
    <t>WSSEI016</t>
  </si>
  <si>
    <t>2F120374D5236300000001CD</t>
  </si>
  <si>
    <t>WSSE017Z</t>
  </si>
  <si>
    <t>WSSEI017</t>
  </si>
  <si>
    <t>2F120374D5236300000001CE</t>
  </si>
  <si>
    <t>2F120374D5236300000001CF</t>
  </si>
  <si>
    <t>WSSEI019</t>
  </si>
  <si>
    <t>2F120374D5236300000001D0</t>
  </si>
  <si>
    <t>WSSE020Z</t>
  </si>
  <si>
    <t>WSSEI020</t>
  </si>
  <si>
    <t>2F120374D5236300000001D1</t>
  </si>
  <si>
    <t>WSSE021Z</t>
  </si>
  <si>
    <t>WSSEI021</t>
  </si>
  <si>
    <t>2F120374D5236300000001D2</t>
  </si>
  <si>
    <t>WSSE022Z</t>
  </si>
  <si>
    <t>WSSEI022</t>
  </si>
  <si>
    <t>2F120374D5236300000001D3</t>
  </si>
  <si>
    <t>WSSE023Z</t>
  </si>
  <si>
    <t>WSSEI023</t>
  </si>
  <si>
    <t>2F120374D5236300000001D4</t>
  </si>
  <si>
    <t>WSSE024Z</t>
  </si>
  <si>
    <t>WSSEI024</t>
  </si>
  <si>
    <t>2F120374D5236300000001D5</t>
  </si>
  <si>
    <t>WSSE025Z</t>
  </si>
  <si>
    <t>WSSEI025</t>
  </si>
  <si>
    <t>2F120374D5236300000001D6</t>
  </si>
  <si>
    <t>WSSE026Z</t>
  </si>
  <si>
    <t>WSSEI026</t>
  </si>
  <si>
    <t>2F120374D5236300000001D7</t>
  </si>
  <si>
    <t>WSSE027Z</t>
  </si>
  <si>
    <t>WSSEI027</t>
  </si>
  <si>
    <t>2F120374D5236300000001D8</t>
  </si>
  <si>
    <t>WSSE028Z</t>
  </si>
  <si>
    <t>WSSEI028</t>
  </si>
  <si>
    <t>2F120374D5236300000001D9</t>
  </si>
  <si>
    <t>WSSE029</t>
  </si>
  <si>
    <t>WSSEI029</t>
  </si>
  <si>
    <t>2F120374D5236300000001DA</t>
  </si>
  <si>
    <t>WSSE030Z</t>
  </si>
  <si>
    <t>WSSEI030</t>
  </si>
  <si>
    <t>2F120374D5236300000001DB</t>
  </si>
  <si>
    <t>WSSE031Z</t>
  </si>
  <si>
    <t>WSSEI031</t>
  </si>
  <si>
    <t>2F120374D5236300000001DC</t>
  </si>
  <si>
    <t>WSSE032Z</t>
  </si>
  <si>
    <t>WSSEI032</t>
  </si>
  <si>
    <t>2F120374D5236300000001DD</t>
  </si>
  <si>
    <t>WSSE033</t>
  </si>
  <si>
    <t>WSSEI033</t>
  </si>
  <si>
    <t>WSSE034</t>
  </si>
  <si>
    <t>WSSEI034</t>
  </si>
  <si>
    <t>WSSE035</t>
  </si>
  <si>
    <t>WSSEI035</t>
  </si>
  <si>
    <t>WSSE036Z</t>
  </si>
  <si>
    <t>WSSEI036</t>
  </si>
  <si>
    <t>WSSE037Z</t>
  </si>
  <si>
    <t>WSSEI037</t>
  </si>
  <si>
    <t>2F120374D5236300000001DE</t>
  </si>
  <si>
    <t>WSSE038Z</t>
  </si>
  <si>
    <t>WSSEI038</t>
  </si>
  <si>
    <t>WSSE039Z</t>
  </si>
  <si>
    <t>WSSEI039</t>
  </si>
  <si>
    <t>2F120374D5236300000001DF</t>
  </si>
  <si>
    <t>WSSE040Z</t>
  </si>
  <si>
    <t>WSSEI040</t>
  </si>
  <si>
    <t>2F120374D5236300000001E0</t>
  </si>
  <si>
    <t>WSSE041Z</t>
  </si>
  <si>
    <t>WSSEI041</t>
  </si>
  <si>
    <t>2F120374D5236300000001E1</t>
  </si>
  <si>
    <t>WSSE042Z</t>
  </si>
  <si>
    <t>WSSEI042</t>
  </si>
  <si>
    <t>2F120374D5236300000001E2</t>
  </si>
  <si>
    <t>WSSE043</t>
  </si>
  <si>
    <t>WSSEI043</t>
  </si>
  <si>
    <t>2F120374D5236300000001E3</t>
  </si>
  <si>
    <t>SPE7M5-18-V-097G</t>
  </si>
  <si>
    <t>WSSE044Z</t>
  </si>
  <si>
    <t>WSSEI044</t>
  </si>
  <si>
    <t>2F120374D5236300000001E4</t>
  </si>
  <si>
    <t>WSSE045Z</t>
  </si>
  <si>
    <t>WSSEI045</t>
  </si>
  <si>
    <t>WSOC001Z</t>
  </si>
  <si>
    <t>WSOSI001</t>
  </si>
  <si>
    <t>2F120374D5236300000001E6</t>
  </si>
  <si>
    <t>WSOC002Z</t>
  </si>
  <si>
    <t>WSOSI002</t>
  </si>
  <si>
    <t>2F120374D5236300000001E7</t>
  </si>
  <si>
    <t>Clean Seal</t>
  </si>
  <si>
    <t>WSOC003Z</t>
  </si>
  <si>
    <t>WSOCI003</t>
  </si>
  <si>
    <t>2F120374D5236300000001E8</t>
  </si>
  <si>
    <t>WSOC004Z</t>
  </si>
  <si>
    <t>WSOCI004</t>
  </si>
  <si>
    <t>2F120374D5236300000001E9</t>
  </si>
  <si>
    <t>WSOC005Z</t>
  </si>
  <si>
    <t>WSOCI005</t>
  </si>
  <si>
    <t>WSOC006Z</t>
  </si>
  <si>
    <t>WSOCI006</t>
  </si>
  <si>
    <t>LEESPRING</t>
  </si>
  <si>
    <t>WSOC007Z</t>
  </si>
  <si>
    <t>WSOCI007</t>
  </si>
  <si>
    <t>WSOC008Z</t>
  </si>
  <si>
    <t>WSOCI008</t>
  </si>
  <si>
    <t>2F120374D5236300000001EB</t>
  </si>
  <si>
    <t>WSOCI009</t>
  </si>
  <si>
    <t>2F120374D5236300000001EC</t>
  </si>
  <si>
    <t>WSOCI010</t>
  </si>
  <si>
    <t>2F120374D5236300000001ED</t>
  </si>
  <si>
    <t>WSOC011Z</t>
  </si>
  <si>
    <t>WSOCI011</t>
  </si>
  <si>
    <t>2F120374D5236300000001EE</t>
  </si>
  <si>
    <t>WSOC012Z</t>
  </si>
  <si>
    <t>WSOCI012</t>
  </si>
  <si>
    <t>2F120374D5236300000001EF</t>
  </si>
  <si>
    <t>SPE8ED-18-V-0562</t>
  </si>
  <si>
    <t>WSOC013Z</t>
  </si>
  <si>
    <t>WSOCI013</t>
  </si>
  <si>
    <t>2F120374D5236300000001F0</t>
  </si>
  <si>
    <t>Pauli</t>
  </si>
  <si>
    <t>WSOC014Z</t>
  </si>
  <si>
    <t>WSOCI014</t>
  </si>
  <si>
    <t>2F120374D5236300000001F1</t>
  </si>
  <si>
    <t>WSOC015Z</t>
  </si>
  <si>
    <t>WSOCI015</t>
  </si>
  <si>
    <t>2F120374D5236300000001F2</t>
  </si>
  <si>
    <t>WSOC016Z</t>
  </si>
  <si>
    <t>WSOCI016</t>
  </si>
  <si>
    <t>2F120374D5236300000001F3</t>
  </si>
  <si>
    <t>WSOC017Z</t>
  </si>
  <si>
    <t>WSOCI017</t>
  </si>
  <si>
    <t>2F120374D5236300000001F4</t>
  </si>
  <si>
    <t>WSOC018Z</t>
  </si>
  <si>
    <t>WSOCI018</t>
  </si>
  <si>
    <t>2F120374D5236300000001F5</t>
  </si>
  <si>
    <t>WSOC019Z</t>
  </si>
  <si>
    <t>WSOCI019</t>
  </si>
  <si>
    <t>2F120374D5236300000001F6</t>
  </si>
  <si>
    <t>TIMPRICE</t>
  </si>
  <si>
    <t>WSOC020Z</t>
  </si>
  <si>
    <t>WSOCI020</t>
  </si>
  <si>
    <t>2F120374D5236300000001F7</t>
  </si>
  <si>
    <t>WSOC021Z</t>
  </si>
  <si>
    <t>WSOCI021</t>
  </si>
  <si>
    <t>2F120374D5236300000001F8</t>
  </si>
  <si>
    <t>WSOC022Z</t>
  </si>
  <si>
    <t>WSOCI022</t>
  </si>
  <si>
    <t>2F120374D5236300000001F9</t>
  </si>
  <si>
    <t>WSOC023Z</t>
  </si>
  <si>
    <t>WSOCI023</t>
  </si>
  <si>
    <t>2F120374D5236300000001FA</t>
  </si>
  <si>
    <t>WSOC024Z</t>
  </si>
  <si>
    <t>WSOCI024</t>
  </si>
  <si>
    <t>2F120374D5236300000001FB</t>
  </si>
  <si>
    <t>WSOC025Z</t>
  </si>
  <si>
    <t>WSOCI025</t>
  </si>
  <si>
    <t>2F120374D5236300000001FC</t>
  </si>
  <si>
    <t>WSOC026Z</t>
  </si>
  <si>
    <t>WSOCI026</t>
  </si>
  <si>
    <t>2F120374D5236300000001FD</t>
  </si>
  <si>
    <t>WSOC027Z</t>
  </si>
  <si>
    <t>WSOCI027</t>
  </si>
  <si>
    <t>2F120374D5236300000001FE</t>
  </si>
  <si>
    <t>WSOC028Z</t>
  </si>
  <si>
    <t>WSOCI028</t>
  </si>
  <si>
    <t>2F120374D5236300000001FF</t>
  </si>
  <si>
    <t>WSOC029Z</t>
  </si>
  <si>
    <t>WSOCI029</t>
  </si>
  <si>
    <t>WSOCI030</t>
  </si>
  <si>
    <t>2F120374D523630000000200</t>
  </si>
  <si>
    <t>WSOC031Z</t>
  </si>
  <si>
    <t>WSOCI031</t>
  </si>
  <si>
    <t>2F120374D523630000000201</t>
  </si>
  <si>
    <t>WSOC032Z</t>
  </si>
  <si>
    <t>WSOCI032</t>
  </si>
  <si>
    <t>2F120374D523630000000202</t>
  </si>
  <si>
    <t>WSOC033Z</t>
  </si>
  <si>
    <t>WSOCI033</t>
  </si>
  <si>
    <t>2F120374D523630000000203</t>
  </si>
  <si>
    <t>WSOC034Z</t>
  </si>
  <si>
    <t>WSOCI034</t>
  </si>
  <si>
    <t>2F120374D523630000000204</t>
  </si>
  <si>
    <t>WSOC035Z</t>
  </si>
  <si>
    <t>WSOCI035</t>
  </si>
  <si>
    <t>2F120374D523630000000205</t>
  </si>
  <si>
    <t>WSOC036Z</t>
  </si>
  <si>
    <t>WSOCI036</t>
  </si>
  <si>
    <t>2F120374D523630000000206</t>
  </si>
  <si>
    <t>WSOC037</t>
  </si>
  <si>
    <t>WSOCI037</t>
  </si>
  <si>
    <t>2F120374D523630000000207</t>
  </si>
  <si>
    <t>WSOC038Z</t>
  </si>
  <si>
    <t>WSOCI038</t>
  </si>
  <si>
    <t>2F120374D523630000000208</t>
  </si>
  <si>
    <t>WSOC039Z</t>
  </si>
  <si>
    <t>WSOCI039</t>
  </si>
  <si>
    <t>2F120374D523630000000209</t>
  </si>
  <si>
    <t>WSOC040Z</t>
  </si>
  <si>
    <t>WSOCI040</t>
  </si>
  <si>
    <t>2F120374D52363000000020A</t>
  </si>
  <si>
    <t>WSOC041Z</t>
  </si>
  <si>
    <t>WSOCI041</t>
  </si>
  <si>
    <t>2F120374D52363000000020B</t>
  </si>
  <si>
    <t>WSOC042Z</t>
  </si>
  <si>
    <t>WSOCI042</t>
  </si>
  <si>
    <t>2F120374D52363000000020C</t>
  </si>
  <si>
    <t>WSOC043Z</t>
  </si>
  <si>
    <t>WSOCI043</t>
  </si>
  <si>
    <t>2F120374D52363000000020D</t>
  </si>
  <si>
    <t>WSOC044Z</t>
  </si>
  <si>
    <t>WSOCI044</t>
  </si>
  <si>
    <t>2F120374D52363000000020E</t>
  </si>
  <si>
    <t>WSOC045Z</t>
  </si>
  <si>
    <t>WSOCI045</t>
  </si>
  <si>
    <t>2F120374D52363000000020F</t>
  </si>
  <si>
    <t>WSOC046Z</t>
  </si>
  <si>
    <t>WSOCI046</t>
  </si>
  <si>
    <t>2F120374D523630000000210</t>
  </si>
  <si>
    <t>WSOC047Z</t>
  </si>
  <si>
    <t>WSOCI047</t>
  </si>
  <si>
    <t>2F120374D523630000000211</t>
  </si>
  <si>
    <t>WSOC048Z</t>
  </si>
  <si>
    <t>WSOCI048</t>
  </si>
  <si>
    <t>2F120374D523630000000212</t>
  </si>
  <si>
    <t>WSNV008Z</t>
  </si>
  <si>
    <t>2F120374D523630000000213</t>
  </si>
  <si>
    <t>WSNV009Z</t>
  </si>
  <si>
    <t>2F120374D523630000000214</t>
  </si>
  <si>
    <t>WSNV010Z</t>
  </si>
  <si>
    <t>no</t>
  </si>
  <si>
    <t>WSNV012Z</t>
  </si>
  <si>
    <t>2F120374D523630000000215</t>
  </si>
  <si>
    <t>WSNV013Z</t>
  </si>
  <si>
    <t>2F120374D523630000000216</t>
  </si>
  <si>
    <t>WSNV014Z</t>
  </si>
  <si>
    <t>2F120374D523630000000217</t>
  </si>
  <si>
    <t>2F120374D523630000000218</t>
  </si>
  <si>
    <t>WSNV016Z</t>
  </si>
  <si>
    <t>2F120374D523630000000219</t>
  </si>
  <si>
    <t>W.Nugent</t>
  </si>
  <si>
    <t>WSNV017Z</t>
  </si>
  <si>
    <t>2F120374D52363000000021A</t>
  </si>
  <si>
    <t>2F120374D52363000000021B</t>
  </si>
  <si>
    <t>2F120374D52363000000021C</t>
  </si>
  <si>
    <t>WSNVI029</t>
  </si>
  <si>
    <t>2F120374D52363000000021D</t>
  </si>
  <si>
    <t>WSNVI027</t>
  </si>
  <si>
    <t>2F120374D52363000000021E</t>
  </si>
  <si>
    <t>WSNV022Z</t>
  </si>
  <si>
    <t>WSNVI028</t>
  </si>
  <si>
    <t>2F120374D52363000000021F</t>
  </si>
  <si>
    <t>WSNV023Z</t>
  </si>
  <si>
    <t>2F120374D523630000000220</t>
  </si>
  <si>
    <t>WSNV024</t>
  </si>
  <si>
    <t>2F120374D523630000000221</t>
  </si>
  <si>
    <t>WSNV025</t>
  </si>
  <si>
    <t>WSNVI022</t>
  </si>
  <si>
    <t>2F120374D523630000000222</t>
  </si>
  <si>
    <t>WSNV026Z</t>
  </si>
  <si>
    <t>WSNVI023</t>
  </si>
  <si>
    <t>2F120374D523630000000223</t>
  </si>
  <si>
    <t>WSNV027Z</t>
  </si>
  <si>
    <t>WSNVI024</t>
  </si>
  <si>
    <t>2F120374D523630000000224</t>
  </si>
  <si>
    <t>WSNV028Z</t>
  </si>
  <si>
    <t>WSNVI025</t>
  </si>
  <si>
    <t>2F120374D523630000000225</t>
  </si>
  <si>
    <t>WSNV029Z</t>
  </si>
  <si>
    <t>WSNVI026</t>
  </si>
  <si>
    <t>2F120374D523630000000226</t>
  </si>
  <si>
    <t>WSNV030Z</t>
  </si>
  <si>
    <t>WSNVI030</t>
  </si>
  <si>
    <t>2F120374D523630000000227</t>
  </si>
  <si>
    <t>WSNV031Z</t>
  </si>
  <si>
    <t>WSNVI031</t>
  </si>
  <si>
    <t>2F120374D523630000000228</t>
  </si>
  <si>
    <t>WSNV132Z</t>
  </si>
  <si>
    <t>WSNVI132</t>
  </si>
  <si>
    <t>2F120374D523630000000229</t>
  </si>
  <si>
    <t>WSNV133Z</t>
  </si>
  <si>
    <t>WSNVI133</t>
  </si>
  <si>
    <t>2F120374D52363000000022A</t>
  </si>
  <si>
    <t>WSNV134Z</t>
  </si>
  <si>
    <t>WSNVI134</t>
  </si>
  <si>
    <t>2F120374D52363000000022B</t>
  </si>
  <si>
    <t>SPE4A618V553L</t>
  </si>
  <si>
    <t>WSNV135Z</t>
  </si>
  <si>
    <t>WSNVI135</t>
  </si>
  <si>
    <t>2F120374D52363000000022C</t>
  </si>
  <si>
    <t>WSNV136Z</t>
  </si>
  <si>
    <t>WSNVI136</t>
  </si>
  <si>
    <t>2F120374D52363000000022D</t>
  </si>
  <si>
    <t>WSNV137Z</t>
  </si>
  <si>
    <t>WSNVI137</t>
  </si>
  <si>
    <t>WSNV138Z</t>
  </si>
  <si>
    <t>WSNVI138</t>
  </si>
  <si>
    <t>2F120374D5236300000001A6</t>
  </si>
  <si>
    <t>WSNV139Z</t>
  </si>
  <si>
    <t>WSNVI139</t>
  </si>
  <si>
    <t>2F120374D5236300000001E5</t>
  </si>
  <si>
    <t>Glenair Pakgigng req</t>
  </si>
  <si>
    <t>WSNV140Z</t>
  </si>
  <si>
    <t>WSNVI140</t>
  </si>
  <si>
    <t>2F120374D5236300000001EA</t>
  </si>
  <si>
    <t>WSNV141Z</t>
  </si>
  <si>
    <t>WSNVI141</t>
  </si>
  <si>
    <t>WSNV142</t>
  </si>
  <si>
    <t>WSNVI142</t>
  </si>
  <si>
    <t>2F120374D52363000000022E</t>
  </si>
  <si>
    <t>WSNV143Z</t>
  </si>
  <si>
    <t>WSNVI143</t>
  </si>
  <si>
    <t>2F120374D52363000000022F</t>
  </si>
  <si>
    <t>WSDE101</t>
  </si>
  <si>
    <t>WSDEI101</t>
  </si>
  <si>
    <t>2F120374D523630000000230</t>
  </si>
  <si>
    <t>WSDE102Z</t>
  </si>
  <si>
    <t>WSDEI102</t>
  </si>
  <si>
    <t>2F120374D523630000000231</t>
  </si>
  <si>
    <t>WSDE103Z</t>
  </si>
  <si>
    <t>WSDEI103</t>
  </si>
  <si>
    <t>2F120374D523630000000232</t>
  </si>
  <si>
    <t>WSDE104Z</t>
  </si>
  <si>
    <t>WSDEI104</t>
  </si>
  <si>
    <t>SPE7M5-19-P-0693</t>
  </si>
  <si>
    <t>WSDE105Z</t>
  </si>
  <si>
    <t>WSDEI105</t>
  </si>
  <si>
    <t>2F120374D523630000000233</t>
  </si>
  <si>
    <t>WSDE106Z</t>
  </si>
  <si>
    <t>WSDEI106</t>
  </si>
  <si>
    <t>WSDE107Z</t>
  </si>
  <si>
    <t>WSDEI107</t>
  </si>
  <si>
    <t>2F120374D523630000000234</t>
  </si>
  <si>
    <t>SPE7L3-19-V-0001</t>
  </si>
  <si>
    <t>WSDE108Z</t>
  </si>
  <si>
    <t>WSDEI108</t>
  </si>
  <si>
    <t>2F120374D523630000000235</t>
  </si>
  <si>
    <t>WSDE109Z</t>
  </si>
  <si>
    <t>WSDEI109</t>
  </si>
  <si>
    <t>2F120374D523630000000236</t>
  </si>
  <si>
    <t>WSDE110Z</t>
  </si>
  <si>
    <t>WSDEI110</t>
  </si>
  <si>
    <t>2F120374D523630000000237</t>
  </si>
  <si>
    <t>WSDE11AZ</t>
  </si>
  <si>
    <t>WSDEI1A3</t>
  </si>
  <si>
    <t>2F120374D523630000000239</t>
  </si>
  <si>
    <t>Tim price</t>
  </si>
  <si>
    <t>WSDE111Z</t>
  </si>
  <si>
    <t>WSDEI111</t>
  </si>
  <si>
    <t>WSDE112Z</t>
  </si>
  <si>
    <t>WSDEI112</t>
  </si>
  <si>
    <t>WSDE113Z</t>
  </si>
  <si>
    <t>WSDEI113</t>
  </si>
  <si>
    <t>WSDE115Z</t>
  </si>
  <si>
    <t>WSDEI115</t>
  </si>
  <si>
    <t>2F120374D523630000000238</t>
  </si>
  <si>
    <t>WSDE116Z</t>
  </si>
  <si>
    <t>WSDEI116</t>
  </si>
  <si>
    <t>2F120374D52363000000023A</t>
  </si>
  <si>
    <t>WSDE117Z</t>
  </si>
  <si>
    <t>WSDEI117</t>
  </si>
  <si>
    <t>2F120374D52363000000023B</t>
  </si>
  <si>
    <t>GEMS MOP41</t>
  </si>
  <si>
    <t>WSDE118Z</t>
  </si>
  <si>
    <t>WSDEI118</t>
  </si>
  <si>
    <t>2F120374D52363000000023C</t>
  </si>
  <si>
    <t>WSDE119Z</t>
  </si>
  <si>
    <t>WSDEI119</t>
  </si>
  <si>
    <t>2F120374D52363000000023D</t>
  </si>
  <si>
    <t>WSDE120</t>
  </si>
  <si>
    <t>WSDEI120</t>
  </si>
  <si>
    <t>2F120374D52363000000023E</t>
  </si>
  <si>
    <t>WSDE121</t>
  </si>
  <si>
    <t>WSDEI121</t>
  </si>
  <si>
    <t>2F120374D52363000000023F</t>
  </si>
  <si>
    <t>WSDE122Z</t>
  </si>
  <si>
    <t>WSDEI122</t>
  </si>
  <si>
    <t>2F120374D523630000000240</t>
  </si>
  <si>
    <t>WSDE123Z</t>
  </si>
  <si>
    <t>WSDEI123</t>
  </si>
  <si>
    <t>2F120374D523630000000241</t>
  </si>
  <si>
    <t>WSDE124Z</t>
  </si>
  <si>
    <t>WSDEI124</t>
  </si>
  <si>
    <t>2F120374D523630000000242</t>
  </si>
  <si>
    <t>WSDE125Z</t>
  </si>
  <si>
    <t>WSDEI125</t>
  </si>
  <si>
    <t>2F120374D523630000000243</t>
  </si>
  <si>
    <t>WSDE126Z</t>
  </si>
  <si>
    <t>WSDEI126</t>
  </si>
  <si>
    <t>2F120374D523630000000244</t>
  </si>
  <si>
    <t>WSDE127</t>
  </si>
  <si>
    <t>WSDEI127</t>
  </si>
  <si>
    <t>2F120374D523630000000245</t>
  </si>
  <si>
    <t>WSDE128Z</t>
  </si>
  <si>
    <t>WSDEI128</t>
  </si>
  <si>
    <t>2F120374D523630000000246</t>
  </si>
  <si>
    <t>WSDE129Z</t>
  </si>
  <si>
    <t>WSDEI129</t>
  </si>
  <si>
    <t>2F120374D523630000000247</t>
  </si>
  <si>
    <t>WSDE130Z</t>
  </si>
  <si>
    <t>WSDEI130</t>
  </si>
  <si>
    <t>2F120374D523630000000248</t>
  </si>
  <si>
    <t>WSDE131</t>
  </si>
  <si>
    <t>WSDEI131</t>
  </si>
  <si>
    <t>2F120374D523630000000249</t>
  </si>
  <si>
    <t>WSDE132Z</t>
  </si>
  <si>
    <t>WSDEI132</t>
  </si>
  <si>
    <t>WSDE133Z</t>
  </si>
  <si>
    <t>WSDEI133</t>
  </si>
  <si>
    <t>2F120374D52363000000024A</t>
  </si>
  <si>
    <t>WSDE134Z</t>
  </si>
  <si>
    <t>WSDEI134</t>
  </si>
  <si>
    <t>2F120374D52363000000024B</t>
  </si>
  <si>
    <t>WSDE135</t>
  </si>
  <si>
    <t>WSDEI135</t>
  </si>
  <si>
    <t>2F120374D52363000000024C</t>
  </si>
  <si>
    <t>WSDE136</t>
  </si>
  <si>
    <t>WSDEI136</t>
  </si>
  <si>
    <t>2F120374D52363000000024D</t>
  </si>
  <si>
    <t>WSDE137Z</t>
  </si>
  <si>
    <t>WSDEI137</t>
  </si>
  <si>
    <t>2F120374D52363000000024E</t>
  </si>
  <si>
    <t>WSDE138Z</t>
  </si>
  <si>
    <t>WSDEI138</t>
  </si>
  <si>
    <t>2F120374D52363000000024F</t>
  </si>
  <si>
    <t>WSDE139</t>
  </si>
  <si>
    <t>WSDEI139</t>
  </si>
  <si>
    <t>2F120374D523630000000250</t>
  </si>
  <si>
    <t>WSDE140Z</t>
  </si>
  <si>
    <t>WSDEI140</t>
  </si>
  <si>
    <t>2F120374D523630000000251</t>
  </si>
  <si>
    <t>WSDE141Z</t>
  </si>
  <si>
    <t>WSDEI141</t>
  </si>
  <si>
    <t>2F120374D523630000000252</t>
  </si>
  <si>
    <t>WSDE142Z</t>
  </si>
  <si>
    <t>WSDEI142</t>
  </si>
  <si>
    <t>2F120374D523630000000253</t>
  </si>
  <si>
    <t>Jan29019</t>
  </si>
  <si>
    <t>WJA1901Z</t>
  </si>
  <si>
    <t>WJAI1901</t>
  </si>
  <si>
    <t>WJA1902Z</t>
  </si>
  <si>
    <t>WJAI1902</t>
  </si>
  <si>
    <t>WJA1903Z</t>
  </si>
  <si>
    <t>WJAI1903</t>
  </si>
  <si>
    <t>WJA1904Z</t>
  </si>
  <si>
    <t>WJAI1904</t>
  </si>
  <si>
    <t>2F120374D523630000000254</t>
  </si>
  <si>
    <t>WJA1905Z</t>
  </si>
  <si>
    <t>WJAI1905</t>
  </si>
  <si>
    <t>2F120374D523630000000255</t>
  </si>
  <si>
    <t>WJA1906Z</t>
  </si>
  <si>
    <t>WJAI1906</t>
  </si>
  <si>
    <t>2F120374D523630000000256</t>
  </si>
  <si>
    <t>WJA1907Z</t>
  </si>
  <si>
    <t>WJAI1907</t>
  </si>
  <si>
    <t>2F120374D523630000000257</t>
  </si>
  <si>
    <t>WJA1908Z</t>
  </si>
  <si>
    <t>WJAI1908</t>
  </si>
  <si>
    <t>2F120374D523630000000258</t>
  </si>
  <si>
    <t>WJA1909Z</t>
  </si>
  <si>
    <t>WJAI1909</t>
  </si>
  <si>
    <t>2F120374D523630000000259</t>
  </si>
  <si>
    <t>WJA1910Z</t>
  </si>
  <si>
    <t>WJAI1910</t>
  </si>
  <si>
    <t>2F120374D52363000000025A</t>
  </si>
  <si>
    <t>Glenair MOP41</t>
  </si>
  <si>
    <t>WJA1911Z</t>
  </si>
  <si>
    <t>WJAI1911</t>
  </si>
  <si>
    <t>2F120374D52363000000025B</t>
  </si>
  <si>
    <t>WJA1912Z</t>
  </si>
  <si>
    <t>WJAI1912</t>
  </si>
  <si>
    <t>2F120374D52363000000025C</t>
  </si>
  <si>
    <t>SPE7M5-18-V-9065</t>
  </si>
  <si>
    <t>WJA1913</t>
  </si>
  <si>
    <t>WJAI1913</t>
  </si>
  <si>
    <t>2F120374D52363000000025D</t>
  </si>
  <si>
    <t>WJA1914Z</t>
  </si>
  <si>
    <t>WJAI1914</t>
  </si>
  <si>
    <t>2F120374D52363000000025E</t>
  </si>
  <si>
    <t>WJA1915Z</t>
  </si>
  <si>
    <t>WJAI1915</t>
  </si>
  <si>
    <t>2F120374D52363000000025F</t>
  </si>
  <si>
    <t>WJA1916Z</t>
  </si>
  <si>
    <t>WJAI1916</t>
  </si>
  <si>
    <t>Gems</t>
  </si>
  <si>
    <t>WJA1917Z</t>
  </si>
  <si>
    <t>WJAI1917</t>
  </si>
  <si>
    <t>2F120374D523630000000260</t>
  </si>
  <si>
    <t>2F120374D523630000000261</t>
  </si>
  <si>
    <t>WJA1919Z</t>
  </si>
  <si>
    <t>WJAI1919</t>
  </si>
  <si>
    <t>2F120374D523630000000262</t>
  </si>
  <si>
    <t>WJA1920Z</t>
  </si>
  <si>
    <t>WJAI1920</t>
  </si>
  <si>
    <t>2F120374D523630000000263</t>
  </si>
  <si>
    <t>WJA1921Z</t>
  </si>
  <si>
    <t>WJAI1921</t>
  </si>
  <si>
    <t>2F120374D523630000000264</t>
  </si>
  <si>
    <t>WJA1922Z</t>
  </si>
  <si>
    <t>WJAI1922</t>
  </si>
  <si>
    <t>2F120374D523630000000265</t>
  </si>
  <si>
    <t>Nafco return</t>
  </si>
  <si>
    <t>WJA1923Z</t>
  </si>
  <si>
    <t>WJAI1923</t>
  </si>
  <si>
    <t>2F120374D523630000000266</t>
  </si>
  <si>
    <t>WJA1924Z</t>
  </si>
  <si>
    <t>WJAI1924</t>
  </si>
  <si>
    <t>2F120374D523630000000267</t>
  </si>
  <si>
    <t>WJA1925Z</t>
  </si>
  <si>
    <t>WJAI1925</t>
  </si>
  <si>
    <t>2F120374D523630000000268</t>
  </si>
  <si>
    <t>Ace Spring</t>
  </si>
  <si>
    <t>WJA1926Z</t>
  </si>
  <si>
    <t>WJAI1926</t>
  </si>
  <si>
    <t>WJA1927Z</t>
  </si>
  <si>
    <t>WJAI1927</t>
  </si>
  <si>
    <t>WJA1928Z</t>
  </si>
  <si>
    <t>WJAI1928</t>
  </si>
  <si>
    <t>2F120374D523630000000269</t>
  </si>
  <si>
    <t>WJA1929Z</t>
  </si>
  <si>
    <t>WJAI1929</t>
  </si>
  <si>
    <t>2F120374D52363000000026A</t>
  </si>
  <si>
    <t>WJA1930</t>
  </si>
  <si>
    <t>WJAI1930</t>
  </si>
  <si>
    <t>2F120374D52363000000026B</t>
  </si>
  <si>
    <t>WJA1931</t>
  </si>
  <si>
    <t>WJAI1931</t>
  </si>
  <si>
    <t>2F120374D52363000000026C</t>
  </si>
  <si>
    <t>WJA1932Z</t>
  </si>
  <si>
    <t>WJAI1932</t>
  </si>
  <si>
    <t>2F120374D52363000000026D</t>
  </si>
  <si>
    <t>WJA1933Z</t>
  </si>
  <si>
    <t>WJAI1933</t>
  </si>
  <si>
    <t>2F120374D52363000000026E</t>
  </si>
  <si>
    <t>WJA1934Z</t>
  </si>
  <si>
    <t>WJAI1934</t>
  </si>
  <si>
    <t>2F120374D52363000000026F</t>
  </si>
  <si>
    <t>WJA1935Z</t>
  </si>
  <si>
    <t>WJAI1935</t>
  </si>
  <si>
    <t>2F120374D523630000000270</t>
  </si>
  <si>
    <t>WJA1936</t>
  </si>
  <si>
    <t>WJAI1936</t>
  </si>
  <si>
    <t>2F120374D523630000000271</t>
  </si>
  <si>
    <t>WJA1937</t>
  </si>
  <si>
    <t>WJAI1937</t>
  </si>
  <si>
    <t>2F120374D523630000000272</t>
  </si>
  <si>
    <t>WJA1938Z</t>
  </si>
  <si>
    <t>WJAI1938</t>
  </si>
  <si>
    <t>2F120374D523630000000273</t>
  </si>
  <si>
    <t>WJA1939</t>
  </si>
  <si>
    <t>WJAI1939</t>
  </si>
  <si>
    <t>2F120374D523630000000274</t>
  </si>
  <si>
    <t>WJA1940Z</t>
  </si>
  <si>
    <t>WJAI1940</t>
  </si>
  <si>
    <t>2F120374D523630000000275</t>
  </si>
  <si>
    <t>WJA1941Z</t>
  </si>
  <si>
    <t>WJAI1941</t>
  </si>
  <si>
    <t>2F120374D523630000000276</t>
  </si>
  <si>
    <t>WJA1942Z</t>
  </si>
  <si>
    <t>WJAI1942</t>
  </si>
  <si>
    <t>2F120374D523630000000277</t>
  </si>
  <si>
    <t>WJA1943Z</t>
  </si>
  <si>
    <t>WJAI1943</t>
  </si>
  <si>
    <t>2F120374D523630000000278</t>
  </si>
  <si>
    <t>WJA1944Z</t>
  </si>
  <si>
    <t>WJAI1944</t>
  </si>
  <si>
    <t>2F120374D523630000000279</t>
  </si>
  <si>
    <t>WJA1945Z</t>
  </si>
  <si>
    <t>WJAI1945</t>
  </si>
  <si>
    <t>WJA1946</t>
  </si>
  <si>
    <t>WJAI1946</t>
  </si>
  <si>
    <t>2F120374D52363000000027A</t>
  </si>
  <si>
    <t>WJA1947Z</t>
  </si>
  <si>
    <t>WJAI1947</t>
  </si>
  <si>
    <t>2F120374D52363000000027B</t>
  </si>
  <si>
    <t>WJA1948</t>
  </si>
  <si>
    <t>WJAI1948</t>
  </si>
  <si>
    <t>2F120374D52363000000027C</t>
  </si>
  <si>
    <t>WJA1949Z</t>
  </si>
  <si>
    <t>WJAI1949</t>
  </si>
  <si>
    <t>2F120374D52363000000027D</t>
  </si>
  <si>
    <t>WJA1950Z</t>
  </si>
  <si>
    <t>WJAI1950</t>
  </si>
  <si>
    <t>WJA1951Z</t>
  </si>
  <si>
    <t>WJAI1951</t>
  </si>
  <si>
    <t>WJA1952Z</t>
  </si>
  <si>
    <t>WJAI1952</t>
  </si>
  <si>
    <t>2F120374D52363000000027E</t>
  </si>
  <si>
    <t>WJA1953Z</t>
  </si>
  <si>
    <t>WJAI1953</t>
  </si>
  <si>
    <t>WJA1954Z</t>
  </si>
  <si>
    <t>WJAI1954</t>
  </si>
  <si>
    <t>WJA1955Z</t>
  </si>
  <si>
    <t>WJAI1955</t>
  </si>
  <si>
    <t>2F120374D52363000000027F</t>
  </si>
  <si>
    <t>WJA1956Z</t>
  </si>
  <si>
    <t>WJAI1956</t>
  </si>
  <si>
    <t>2F120374D523630000000280</t>
  </si>
  <si>
    <t>WJA1957Z</t>
  </si>
  <si>
    <t>WJAI1957</t>
  </si>
  <si>
    <t>2F120374D523630000000281</t>
  </si>
  <si>
    <t>WJA1958Z</t>
  </si>
  <si>
    <t>WJAI1958</t>
  </si>
  <si>
    <t>2F120374D523630000000282</t>
  </si>
  <si>
    <t>WJA1959Z</t>
  </si>
  <si>
    <t>WJAI1959</t>
  </si>
  <si>
    <t>2F120374D523630000000283</t>
  </si>
  <si>
    <t>WJA1960Z</t>
  </si>
  <si>
    <t>WJAI1960</t>
  </si>
  <si>
    <t>2F120374D523630000000284</t>
  </si>
  <si>
    <t>WJA1961Z</t>
  </si>
  <si>
    <t>WJAI1961</t>
  </si>
  <si>
    <t>2F120374D523630000000285</t>
  </si>
  <si>
    <t>WJA1962Z</t>
  </si>
  <si>
    <t>WJAI1962</t>
  </si>
  <si>
    <t>2F120374D523630000000286</t>
  </si>
  <si>
    <t>WJA1963Z</t>
  </si>
  <si>
    <t>WJAI1963</t>
  </si>
  <si>
    <t>2F120374D523630000000287</t>
  </si>
  <si>
    <t>WJA1964Z</t>
  </si>
  <si>
    <t>WJAI1964</t>
  </si>
  <si>
    <t>2F120374D523630000000288</t>
  </si>
  <si>
    <t>WJA1965Z</t>
  </si>
  <si>
    <t>WJAI1965</t>
  </si>
  <si>
    <t>2F120374D523630000000289</t>
  </si>
  <si>
    <t>WJA1966Z</t>
  </si>
  <si>
    <t>WJAI1966</t>
  </si>
  <si>
    <t>2F120374D52363000000028A</t>
  </si>
  <si>
    <t>MorrisCrane</t>
  </si>
  <si>
    <t>WJA1967Z</t>
  </si>
  <si>
    <t>WJAI1967</t>
  </si>
  <si>
    <t>2F120374D52363000000028B</t>
  </si>
  <si>
    <t>WJA1968Z</t>
  </si>
  <si>
    <t>WJAI1969</t>
  </si>
  <si>
    <t>2F120374D52363000000028C</t>
  </si>
  <si>
    <t>WJAI1970</t>
  </si>
  <si>
    <t>2F120374D52363000000028D</t>
  </si>
  <si>
    <t>WJA1970Z</t>
  </si>
  <si>
    <t>WJAI1968</t>
  </si>
  <si>
    <t>2F120374D52363000000028E</t>
  </si>
  <si>
    <t>WJA1971Z</t>
  </si>
  <si>
    <t>2F120374D52363000000028F</t>
  </si>
  <si>
    <t>WJA1972Z</t>
  </si>
  <si>
    <t>WJAI1972</t>
  </si>
  <si>
    <t>2F120374D523630000000290</t>
  </si>
  <si>
    <t>WJAI1973</t>
  </si>
  <si>
    <t>2F120374D523630000000291</t>
  </si>
  <si>
    <t>Ultavolt</t>
  </si>
  <si>
    <t>WJA1974Z</t>
  </si>
  <si>
    <t>WJAI1974</t>
  </si>
  <si>
    <t>2F120374D523630000000292</t>
  </si>
  <si>
    <t>KDTSI</t>
  </si>
  <si>
    <t>WJA1975Z</t>
  </si>
  <si>
    <t>WJAI1975</t>
  </si>
  <si>
    <t>2F120374D523630000000293</t>
  </si>
  <si>
    <t>WJA1976Z</t>
  </si>
  <si>
    <t>WJAI1976</t>
  </si>
  <si>
    <t>2F120374D523630000000294</t>
  </si>
  <si>
    <t>WJA1977Z</t>
  </si>
  <si>
    <t>WJAI1977</t>
  </si>
  <si>
    <t>2F120374D523630000000295</t>
  </si>
  <si>
    <t>WJA1978Z</t>
  </si>
  <si>
    <t>WJAI1978</t>
  </si>
  <si>
    <t>2F120374D523630000000296</t>
  </si>
  <si>
    <t>WJA1979Z</t>
  </si>
  <si>
    <t>WJAI1979</t>
  </si>
  <si>
    <t>2F120374D523630000000297</t>
  </si>
  <si>
    <t>WJA1980Z</t>
  </si>
  <si>
    <t>WJAI1980</t>
  </si>
  <si>
    <t>WJA1981Z</t>
  </si>
  <si>
    <t>WJAI1981</t>
  </si>
  <si>
    <t>2F120374D523630000000298</t>
  </si>
  <si>
    <t>WJA1982Z</t>
  </si>
  <si>
    <t>WJAI1982</t>
  </si>
  <si>
    <t>2F120374D523630000000299</t>
  </si>
  <si>
    <t>WJA1983Z</t>
  </si>
  <si>
    <t>WJAI1983</t>
  </si>
  <si>
    <t>WJA1984</t>
  </si>
  <si>
    <t>WJAI1984</t>
  </si>
  <si>
    <t>2F120374D52363000000029A</t>
  </si>
  <si>
    <t>WJA1985Z</t>
  </si>
  <si>
    <t>WJAI1985</t>
  </si>
  <si>
    <t>2F120374D52363000000029B</t>
  </si>
  <si>
    <t>WJA1986</t>
  </si>
  <si>
    <t>WJAI1986</t>
  </si>
  <si>
    <t>2F120374D52363000000029C</t>
  </si>
  <si>
    <t>WJA1987Z</t>
  </si>
  <si>
    <t>WJAI1987</t>
  </si>
  <si>
    <t>2F120374D52363000000029D</t>
  </si>
  <si>
    <t>XLEM</t>
  </si>
  <si>
    <t>WJA1988Z</t>
  </si>
  <si>
    <t>WJAI1988</t>
  </si>
  <si>
    <t>2F120374D52363000000029E</t>
  </si>
  <si>
    <t>WJA1989Z</t>
  </si>
  <si>
    <t>WJAI1989</t>
  </si>
  <si>
    <t>2F120374D52363000000029F</t>
  </si>
  <si>
    <t>WJA1990Z</t>
  </si>
  <si>
    <t>WJAI1990</t>
  </si>
  <si>
    <t>2F120374D5236300000002A0</t>
  </si>
  <si>
    <t>WJA1991Z</t>
  </si>
  <si>
    <t>WJAI1991</t>
  </si>
  <si>
    <t>2F120374D5236300000002A1</t>
  </si>
  <si>
    <t>WJA1992Z</t>
  </si>
  <si>
    <t>WJAI1992</t>
  </si>
  <si>
    <t>2F120374D5236300000002A2</t>
  </si>
  <si>
    <t>WJA1993Z</t>
  </si>
  <si>
    <t>WJAI1993</t>
  </si>
  <si>
    <t>2F120374D5236300000002A3</t>
  </si>
  <si>
    <t>WJA1994Z</t>
  </si>
  <si>
    <t>WJAI1994</t>
  </si>
  <si>
    <t>WJA1995Z</t>
  </si>
  <si>
    <t>WJAI1995</t>
  </si>
  <si>
    <t>2F120374D5236300000002A4</t>
  </si>
  <si>
    <t>Altern</t>
  </si>
  <si>
    <t>WJA1996Z</t>
  </si>
  <si>
    <t>WJAI1996</t>
  </si>
  <si>
    <t>2F120374D5236300000002A5</t>
  </si>
  <si>
    <t>WJA1997Z</t>
  </si>
  <si>
    <t>WJAI1997</t>
  </si>
  <si>
    <t>2F120374D5236300000002A6</t>
  </si>
  <si>
    <t>WJA1998Z</t>
  </si>
  <si>
    <t>WJAI1998</t>
  </si>
  <si>
    <t>2F120374D5236300000002A7</t>
  </si>
  <si>
    <t>WJA1999Z</t>
  </si>
  <si>
    <t>WJAI1999</t>
  </si>
  <si>
    <t>WJA2000Z</t>
  </si>
  <si>
    <t>WJAI2000</t>
  </si>
  <si>
    <t>2F120374D5236300000002A8</t>
  </si>
  <si>
    <t>WJA2001Z</t>
  </si>
  <si>
    <t>WJAI2001</t>
  </si>
  <si>
    <t>2F120374D5236300000002A9</t>
  </si>
  <si>
    <t>WJA2002Z</t>
  </si>
  <si>
    <t>WJAI2002</t>
  </si>
  <si>
    <t>2F120374D5236300000002AA</t>
  </si>
  <si>
    <t>WJA2003Z</t>
  </si>
  <si>
    <t>WJAI2003</t>
  </si>
  <si>
    <t>2F120374D5236300000002AB</t>
  </si>
  <si>
    <t>WMR0001Z</t>
  </si>
  <si>
    <t>WMRI0001</t>
  </si>
  <si>
    <t>2F120374D5236300000002AC</t>
  </si>
  <si>
    <t>MRB9002Z</t>
  </si>
  <si>
    <t>MRB90002</t>
  </si>
  <si>
    <t>2F120374D5236300000002AD</t>
  </si>
  <si>
    <t>MRB9003Z</t>
  </si>
  <si>
    <t>MRB90003</t>
  </si>
  <si>
    <t>2F120374D5236300000002AE</t>
  </si>
  <si>
    <t>MRB9004Z</t>
  </si>
  <si>
    <t>MRB90004</t>
  </si>
  <si>
    <t>2F120374D5236300000002AF</t>
  </si>
  <si>
    <t>MRB9005</t>
  </si>
  <si>
    <t>MRB90005</t>
  </si>
  <si>
    <t>2F120374D5236300000002B0</t>
  </si>
  <si>
    <t>MRB9006</t>
  </si>
  <si>
    <t>MRB90006</t>
  </si>
  <si>
    <t>2F120374D5236300000002B1</t>
  </si>
  <si>
    <t>MRB9007Z</t>
  </si>
  <si>
    <t>MRB90007</t>
  </si>
  <si>
    <t>2F120374D5236300000002B2</t>
  </si>
  <si>
    <t>MRB9008Z</t>
  </si>
  <si>
    <t>MRB90008</t>
  </si>
  <si>
    <t>2F120374D5236300000002B3</t>
  </si>
  <si>
    <t>MRB9009</t>
  </si>
  <si>
    <t>MRB90009</t>
  </si>
  <si>
    <t>2F120374D5236300000002B4</t>
  </si>
  <si>
    <t>MRB9010Z</t>
  </si>
  <si>
    <t>MRB90010</t>
  </si>
  <si>
    <t>2F120374D5236300000002B5</t>
  </si>
  <si>
    <t>MRB9011</t>
  </si>
  <si>
    <t>MRB90011</t>
  </si>
  <si>
    <t>2F120374D5236300000002B6</t>
  </si>
  <si>
    <t>MRB9012Z</t>
  </si>
  <si>
    <t>MRB90012</t>
  </si>
  <si>
    <t>2F120374D5236300000002B7</t>
  </si>
  <si>
    <t>MRB9013Z</t>
  </si>
  <si>
    <t>MRB90013</t>
  </si>
  <si>
    <t>2F120374D5236300000002B8</t>
  </si>
  <si>
    <t>MRB9014</t>
  </si>
  <si>
    <t>MRB90014</t>
  </si>
  <si>
    <t>2F120374D5236300000002B9</t>
  </si>
  <si>
    <t>MRB9015Z</t>
  </si>
  <si>
    <t>MRB90015</t>
  </si>
  <si>
    <t>2F120374D5236300000002BA</t>
  </si>
  <si>
    <t>Applied Specialties</t>
  </si>
  <si>
    <t>MRB9016Z</t>
  </si>
  <si>
    <t>MRB90016</t>
  </si>
  <si>
    <t>2F120374D5236300000002BB</t>
  </si>
  <si>
    <t>MRB9017Z</t>
  </si>
  <si>
    <t>MRB90017</t>
  </si>
  <si>
    <t>2F120374D5236300000002BC</t>
  </si>
  <si>
    <t>MRB9018Z</t>
  </si>
  <si>
    <t>MRB90018</t>
  </si>
  <si>
    <t>2F120374D5236300000002BD</t>
  </si>
  <si>
    <t>MRB9019Z</t>
  </si>
  <si>
    <t>MRB90019</t>
  </si>
  <si>
    <t>2F120374D5236300000002BE</t>
  </si>
  <si>
    <t>MRB9020Z</t>
  </si>
  <si>
    <t>MRB90020</t>
  </si>
  <si>
    <t>2F120374D5236300000002BF</t>
  </si>
  <si>
    <t>MRB9021Z</t>
  </si>
  <si>
    <t>MRB90021</t>
  </si>
  <si>
    <t>2F120374D5236300000002C0</t>
  </si>
  <si>
    <t>WESTSIM ENGINEERING, INC</t>
  </si>
  <si>
    <t>Descrip</t>
  </si>
  <si>
    <t>Ship Costs</t>
  </si>
  <si>
    <t>Fedbid</t>
  </si>
  <si>
    <t>Valves</t>
  </si>
  <si>
    <t>IR</t>
  </si>
  <si>
    <t>Transducer</t>
  </si>
  <si>
    <t>Seimens</t>
  </si>
  <si>
    <t>Flow Meter</t>
  </si>
  <si>
    <t>2016 Total</t>
  </si>
  <si>
    <t>AIS</t>
  </si>
  <si>
    <t>JapanRadio</t>
  </si>
  <si>
    <t>WSA01</t>
  </si>
  <si>
    <t>Eng Services</t>
  </si>
  <si>
    <t>BOLO3</t>
  </si>
  <si>
    <t>Unit price</t>
  </si>
  <si>
    <t>Margin%</t>
  </si>
  <si>
    <t>Margin$</t>
  </si>
  <si>
    <t>Price/init</t>
  </si>
  <si>
    <t>Total Price</t>
  </si>
  <si>
    <t>Total Cost</t>
  </si>
  <si>
    <t>Profit</t>
  </si>
  <si>
    <t>n</t>
  </si>
  <si>
    <t>FY9150 60 APS TRK INTRANSIT CARGO</t>
  </si>
  <si>
    <t>QTY DIS QL</t>
  </si>
  <si>
    <t>BLDG 977 CP 707 424 3992</t>
  </si>
  <si>
    <t>90 RAGSDALE ST</t>
  </si>
  <si>
    <t>TRAVIS AFB CA 94535-2631</t>
  </si>
  <si>
    <t>DIVIDE</t>
  </si>
  <si>
    <t>MULT</t>
  </si>
  <si>
    <t>SUB</t>
  </si>
  <si>
    <t>SUM</t>
  </si>
  <si>
    <t>HIB 15%dis</t>
  </si>
  <si>
    <t>We request status of the items on the our PO</t>
  </si>
  <si>
    <t>Thanks for your help.</t>
  </si>
  <si>
    <t>M24758-2dl</t>
  </si>
  <si>
    <t>glenair</t>
  </si>
  <si>
    <t>ADTS405261892M0</t>
  </si>
  <si>
    <t>Oct</t>
  </si>
  <si>
    <t>50-99</t>
  </si>
  <si>
    <t>100-249</t>
  </si>
  <si>
    <t>WE HAVE MOVED - PLEASE NOTE OUR NEW ADDRESS
7061 Grand National DR
Suite 107A
Orlando FL 32819</t>
  </si>
  <si>
    <t>Sep</t>
  </si>
  <si>
    <t>expdec24</t>
  </si>
  <si>
    <t>SCI</t>
  </si>
  <si>
    <t>004618</t>
  </si>
  <si>
    <t>004619</t>
  </si>
  <si>
    <t>004621</t>
  </si>
  <si>
    <t>390GH013NF1312H-98J</t>
  </si>
  <si>
    <t>004658</t>
  </si>
  <si>
    <t>Total</t>
  </si>
  <si>
    <t>nov</t>
  </si>
  <si>
    <t>35-49</t>
  </si>
  <si>
    <t>003980</t>
  </si>
  <si>
    <t>004122</t>
  </si>
  <si>
    <t>004620</t>
  </si>
  <si>
    <t>387HS083XW2514-6</t>
  </si>
  <si>
    <t>Qty 10</t>
  </si>
  <si>
    <t>GLENAIR</t>
  </si>
  <si>
    <t>Qty 4-6</t>
  </si>
  <si>
    <t>Qty 7-9</t>
  </si>
  <si>
    <t>Qty10-19</t>
  </si>
  <si>
    <t>Qty 20-34</t>
  </si>
  <si>
    <t>XM-79660086200WL</t>
  </si>
  <si>
    <t>QTY 35-49</t>
  </si>
  <si>
    <t>QTY 50-99</t>
  </si>
  <si>
    <t>WESTSIM INC</t>
  </si>
  <si>
    <t>RECEIVING REPORT</t>
  </si>
  <si>
    <t>DATE</t>
  </si>
  <si>
    <t>VENDOR</t>
  </si>
  <si>
    <t>PO</t>
  </si>
  <si>
    <t>PACKAGES</t>
  </si>
  <si>
    <t>PART NO</t>
  </si>
  <si>
    <t>Accepted</t>
  </si>
  <si>
    <t>6150014482091</t>
  </si>
  <si>
    <t>06324</t>
  </si>
  <si>
    <t>Daily List</t>
  </si>
  <si>
    <t>0LB15</t>
  </si>
  <si>
    <t>mikep@peerlessusa.com</t>
  </si>
  <si>
    <t>,5930012377322</t>
  </si>
  <si>
    <t>11/23/2016</t>
  </si>
  <si>
    <t>CopmCage Codes</t>
  </si>
  <si>
    <t>33670</t>
  </si>
  <si>
    <t>Perry</t>
  </si>
  <si>
    <t>5360004708534</t>
  </si>
  <si>
    <t>7P4J6</t>
  </si>
  <si>
    <t>DAAMNEE</t>
  </si>
  <si>
    <t>3TGF0</t>
  </si>
  <si>
    <t>PEERLESS INDUSTRIAL</t>
  </si>
  <si>
    <t>;5930007614625</t>
  </si>
  <si>
    <t>3110012470519</t>
  </si>
  <si>
    <t>6RVM4</t>
  </si>
  <si>
    <t>Stealth Del bea fl</t>
  </si>
  <si>
    <t>22519</t>
  </si>
  <si>
    <t>paulk@datadelay.com</t>
  </si>
  <si>
    <t>6105013151771</t>
  </si>
  <si>
    <t>7Z016 Kampi</t>
  </si>
  <si>
    <t>1V4T7</t>
  </si>
  <si>
    <t>82829</t>
  </si>
  <si>
    <t>Allen</t>
  </si>
  <si>
    <t>erin@newerasalesteam.com</t>
  </si>
  <si>
    <t>5945000799274</t>
  </si>
  <si>
    <t>6685008164491</t>
  </si>
  <si>
    <t>2U435</t>
  </si>
  <si>
    <t>Dela</t>
  </si>
  <si>
    <t>92555</t>
  </si>
  <si>
    <t>lee</t>
  </si>
  <si>
    <t>4LF36</t>
  </si>
  <si>
    <t>28968</t>
  </si>
  <si>
    <t>3020015268841</t>
  </si>
  <si>
    <t>6680013034420</t>
  </si>
  <si>
    <t>1N8T8</t>
  </si>
  <si>
    <t>Jigil</t>
  </si>
  <si>
    <t>15542</t>
  </si>
  <si>
    <t>SCIENTIFIC COMPONENTS CORP DBA</t>
  </si>
  <si>
    <t>1MQB3</t>
  </si>
  <si>
    <t>STI</t>
  </si>
  <si>
    <t>3MBT2</t>
  </si>
  <si>
    <t>81901</t>
  </si>
  <si>
    <t>4820-01-418-2897</t>
  </si>
  <si>
    <t>1XLG2</t>
  </si>
  <si>
    <t>92021</t>
  </si>
  <si>
    <t>2995997703879</t>
  </si>
  <si>
    <t>5325-01-462-2867</t>
  </si>
  <si>
    <t>19362</t>
  </si>
  <si>
    <t>ditmco</t>
  </si>
  <si>
    <t>JBacon@ditmco.com</t>
  </si>
  <si>
    <t>30941</t>
  </si>
  <si>
    <t>east</t>
  </si>
  <si>
    <t>5331015712255</t>
  </si>
  <si>
    <t>3EWS7</t>
  </si>
  <si>
    <t>A Harold</t>
  </si>
  <si>
    <t>la@minicircuits.com</t>
  </si>
  <si>
    <t>53919</t>
  </si>
  <si>
    <t>PASTERNACK ENTERPRISES</t>
  </si>
  <si>
    <t>5935014419290</t>
  </si>
  <si>
    <t>1WP64</t>
  </si>
  <si>
    <t>III Williams</t>
  </si>
  <si>
    <t>84256</t>
  </si>
  <si>
    <t>AVBANK</t>
  </si>
  <si>
    <t>2590015215323</t>
  </si>
  <si>
    <t>darlapotter@fluidflow.com</t>
  </si>
  <si>
    <t>K5777</t>
  </si>
  <si>
    <t>HYST</t>
  </si>
  <si>
    <t>2805016043205</t>
  </si>
  <si>
    <t>0BJ09</t>
  </si>
  <si>
    <t>CS Control</t>
  </si>
  <si>
    <t>04034</t>
  </si>
  <si>
    <t>4730010060947</t>
  </si>
  <si>
    <t>sbutler@eastwestindustries.com</t>
  </si>
  <si>
    <t>4810013104264</t>
  </si>
  <si>
    <t>4330016437439</t>
  </si>
  <si>
    <t>54572</t>
  </si>
  <si>
    <t>Anna.Nichols@slmti.com</t>
  </si>
  <si>
    <t>1PS62</t>
  </si>
  <si>
    <t>CRYSTAL ENGINEERING</t>
  </si>
  <si>
    <t>6130013373517</t>
  </si>
  <si>
    <t>5985016189798</t>
  </si>
  <si>
    <t>66935</t>
  </si>
  <si>
    <t>jennifer.ann1.ludwig@jcifederal.com</t>
  </si>
  <si>
    <t>82974</t>
  </si>
  <si>
    <t>5915009535121</t>
  </si>
  <si>
    <t>4940016033174</t>
  </si>
  <si>
    <t>sales@pasternack.com</t>
  </si>
  <si>
    <t>03QL3</t>
  </si>
  <si>
    <t>5930011475211</t>
  </si>
  <si>
    <t>5930</t>
  </si>
  <si>
    <t>4810014480779</t>
  </si>
  <si>
    <t>1CE49</t>
  </si>
  <si>
    <t>5930015256330</t>
  </si>
  <si>
    <t>5935</t>
  </si>
  <si>
    <t>4820010318510</t>
  </si>
  <si>
    <t>51398</t>
  </si>
  <si>
    <t>Atrenne Computing Solutions</t>
  </si>
  <si>
    <t>5945</t>
  </si>
  <si>
    <t>NSN/MATERIAL:4820012850689</t>
  </si>
  <si>
    <t>4310</t>
  </si>
  <si>
    <t>5985014512454</t>
  </si>
  <si>
    <t>liz@flamecorp.com</t>
  </si>
  <si>
    <t>86184</t>
  </si>
  <si>
    <t>GRISWOLD INDUSTRIES</t>
  </si>
  <si>
    <t>ITEM DESCRIPTION VALVE,SAFETY RELIEF</t>
  </si>
  <si>
    <t>6015</t>
  </si>
  <si>
    <t>4130014946046</t>
  </si>
  <si>
    <t>0UF75</t>
  </si>
  <si>
    <t>CAMMENGA ASSOCIATES</t>
  </si>
  <si>
    <t>nannette@metrexvalve.com</t>
  </si>
  <si>
    <t>HYDROAIr</t>
  </si>
  <si>
    <t>2J622</t>
  </si>
  <si>
    <t>SCI cables only?</t>
  </si>
  <si>
    <t>malcolm.bounds@sci.com</t>
  </si>
  <si>
    <t>5DR61</t>
  </si>
  <si>
    <t>5355005387381</t>
  </si>
  <si>
    <t>53367   </t>
  </si>
  <si>
    <t>SETRA SYSTEMS, INC</t>
  </si>
  <si>
    <t>66752</t>
  </si>
  <si>
    <t>cskipper@us.pepperl-fuchs.com</t>
  </si>
  <si>
    <t>5975015586523</t>
  </si>
  <si>
    <t>50619</t>
  </si>
  <si>
    <t>R,Kern</t>
  </si>
  <si>
    <t>5985-01-505-5961</t>
  </si>
  <si>
    <t>20722</t>
  </si>
  <si>
    <t>Entwistle Company, The</t>
  </si>
  <si>
    <t>bsheffield@entwistleco.com</t>
  </si>
  <si>
    <t>1NB39</t>
  </si>
  <si>
    <t>Norsell</t>
  </si>
  <si>
    <t>1N5X2</t>
  </si>
  <si>
    <t>EMPOWER RF SYSTEMS, I</t>
  </si>
  <si>
    <t>0CPF6   </t>
  </si>
  <si>
    <t>+</t>
  </si>
  <si>
    <t>4Z9A3</t>
  </si>
  <si>
    <t>DIAGNOSTIC SOLUTIONS INTERNATIONAL 4</t>
  </si>
  <si>
    <t>07126</t>
  </si>
  <si>
    <t>ELECTRO SWITCH CORP. Digtron</t>
  </si>
  <si>
    <t>vlangosh@digitran-es.com</t>
  </si>
  <si>
    <t>25205</t>
  </si>
  <si>
    <t>MOLDED DEVICES</t>
  </si>
  <si>
    <t>64667</t>
  </si>
  <si>
    <t>NATIONAL INSTRUMENTS CORPORATION</t>
  </si>
  <si>
    <t>quote@ni.com</t>
  </si>
  <si>
    <t>66822</t>
  </si>
  <si>
    <t>MORPAC INDUSTRIES, INC. DBA</t>
  </si>
  <si>
    <t>05991</t>
  </si>
  <si>
    <t>CAMERON TECHNOLOGIES US, INC.</t>
  </si>
  <si>
    <t>1KWT0</t>
  </si>
  <si>
    <t>crystal@ametek.com</t>
  </si>
  <si>
    <t>3GRA1</t>
  </si>
  <si>
    <t>LEDDYNAMICS INC</t>
  </si>
  <si>
    <t>bsparadeo@leddynamics.com</t>
  </si>
  <si>
    <t>53059</t>
  </si>
  <si>
    <t>SPIRAX SARCO, INC.</t>
  </si>
  <si>
    <t>07058</t>
  </si>
  <si>
    <t>AIREX RUBBER PRODUCTS CORPORATION</t>
  </si>
  <si>
    <t>bserenson@airexrubber.com</t>
  </si>
  <si>
    <t>NMC/WOLLARD, INC.</t>
  </si>
  <si>
    <t>Sauer Compressors Usa, Inc.</t>
  </si>
  <si>
    <t>Munter Kazandra.Torres@Munters.com</t>
  </si>
  <si>
    <t>partsairtusa@munters.com</t>
  </si>
  <si>
    <t>03FF4</t>
  </si>
  <si>
    <t>Atrex Energy, Inc.</t>
  </si>
  <si>
    <t>1Z254</t>
  </si>
  <si>
    <t>JEROME-ASTRO</t>
  </si>
  <si>
    <t>taylor.jones@astrodynetdi.com</t>
  </si>
  <si>
    <t>95717</t>
  </si>
  <si>
    <t>GOULD J D CO INC</t>
  </si>
  <si>
    <t>0LE36</t>
  </si>
  <si>
    <t>Connec</t>
  </si>
  <si>
    <t>srobinson@connectronicscorp.com</t>
  </si>
  <si>
    <t>21392</t>
  </si>
  <si>
    <t>PREECE INCORPORATED</t>
  </si>
  <si>
    <t>0WN82</t>
  </si>
  <si>
    <t>THERMTROL</t>
  </si>
  <si>
    <t>30974</t>
  </si>
  <si>
    <t>AEROFIT, LLC</t>
  </si>
  <si>
    <t>dorothy.sablan@newport.com</t>
  </si>
  <si>
    <t>89022</t>
  </si>
  <si>
    <t>TDK-LAMBDA AMERICAS INC.</t>
  </si>
  <si>
    <t>Bonnie.West@us.tdk-lambda.com</t>
  </si>
  <si>
    <t>34345</t>
  </si>
  <si>
    <t>KULITE SEMICONDUCTOR PRODUCTS, INC</t>
  </si>
  <si>
    <t>097B0</t>
  </si>
  <si>
    <t>Tim PRICE</t>
  </si>
  <si>
    <t>91663</t>
  </si>
  <si>
    <t>ARMEL ELECTRONICS INC</t>
  </si>
  <si>
    <t>68999</t>
  </si>
  <si>
    <t>Times Microwave Systems, Inc. DBA</t>
  </si>
  <si>
    <t>86928</t>
  </si>
  <si>
    <t>1GWN9</t>
  </si>
  <si>
    <t>CLARUS TECHNOLOGIES, LLC DBA</t>
  </si>
  <si>
    <t>Kendra.Mitchell@colfaxfluidhandling.com</t>
  </si>
  <si>
    <t>ccpressureusa@ge.com</t>
  </si>
  <si>
    <t>Chromalox, Inc. DBA Ogden</t>
  </si>
  <si>
    <t>ksoares@atrenne-cs.com</t>
  </si>
  <si>
    <t>ESSEX INDUSTRIES</t>
  </si>
  <si>
    <t>rgeisz@essexind.com</t>
  </si>
  <si>
    <t>heather@spartech-south.com</t>
  </si>
  <si>
    <t>0NJ18</t>
  </si>
  <si>
    <t>DOMETIC CORPORATION DIV SEALAND</t>
  </si>
  <si>
    <t>tdavis@cla-val.com</t>
  </si>
  <si>
    <t>Norman Filters</t>
  </si>
  <si>
    <t>jharty@normanfilters.com</t>
  </si>
  <si>
    <t>3VMM5</t>
  </si>
  <si>
    <t>TECHNA NDT LLC DBA TECHNA NDT</t>
  </si>
  <si>
    <t>Sales@TechnaNDT.com</t>
  </si>
  <si>
    <t>5E938</t>
  </si>
  <si>
    <t>kbriersmith@hydroair.net</t>
  </si>
  <si>
    <t>75Y25</t>
  </si>
  <si>
    <t>PROCURE, INC.</t>
  </si>
  <si>
    <t>sales@procureinc.us</t>
  </si>
  <si>
    <t>brenze@pgcontrols.com</t>
  </si>
  <si>
    <t>WEMS</t>
  </si>
  <si>
    <t>cnotaro@wems.com</t>
  </si>
  <si>
    <t>07294</t>
  </si>
  <si>
    <t>Genisco Filter Corp.</t>
  </si>
  <si>
    <t>adrian.cole@genisco.com</t>
  </si>
  <si>
    <t>Nancy@kerneng.com</t>
  </si>
  <si>
    <t>ZIERICK MFG CORP</t>
  </si>
  <si>
    <t>hdaffin@biscoind.com</t>
  </si>
  <si>
    <t>calvin.duplechin@doverautomation.com</t>
  </si>
  <si>
    <t>3T081</t>
  </si>
  <si>
    <t>Westone Laboratories, Inc. DBA</t>
  </si>
  <si>
    <t>cindyt@westone.com</t>
  </si>
  <si>
    <t>russell.hanson@empowerrf.com</t>
  </si>
  <si>
    <t>1DFQ0</t>
  </si>
  <si>
    <t>HVR ADVANCED POWER COMPONENTS,</t>
  </si>
  <si>
    <t>sales@hvrapc.com</t>
  </si>
  <si>
    <t>1VJJ9</t>
  </si>
  <si>
    <t>Parts Express</t>
  </si>
  <si>
    <t>website</t>
  </si>
  <si>
    <t>1VZM8</t>
  </si>
  <si>
    <t>NEWARK ELECTRONICS CORPORATION</t>
  </si>
  <si>
    <t>0C579</t>
  </si>
  <si>
    <t>WORLD MAGNETICS COMPANY </t>
  </si>
  <si>
    <t>sgalla@worldmagnetics.com</t>
  </si>
  <si>
    <t>Nicole.Acevedo@dsi-hums.com</t>
  </si>
  <si>
    <t>7AYE6</t>
  </si>
  <si>
    <t>KTSDI LLC DBA</t>
  </si>
  <si>
    <t>parts@KTSDI.com</t>
  </si>
  <si>
    <t>1Q449</t>
  </si>
  <si>
    <t>BLUE SEA SYSTEMS, INC. DBA BLUE</t>
  </si>
  <si>
    <t>gabrielac@westmarine.com</t>
  </si>
  <si>
    <t>Website</t>
  </si>
  <si>
    <t>1BZ19</t>
  </si>
  <si>
    <t>C S ANTENNAS, INC.</t>
  </si>
  <si>
    <t>nlandis@amphenol-antennas.com</t>
  </si>
  <si>
    <t>1UN88</t>
  </si>
  <si>
    <t>Miller-Leaman, Inc.</t>
  </si>
  <si>
    <t>rachelg@millerleaman.com</t>
  </si>
  <si>
    <t>IN-MAR</t>
  </si>
  <si>
    <t>Cyndee@inmarsystems.com</t>
  </si>
  <si>
    <t>RHODE SCHWARZ</t>
  </si>
  <si>
    <t>Service.RSA@RSA.Rohde-Schwarz.com</t>
  </si>
  <si>
    <t>009P6</t>
  </si>
  <si>
    <t>DETECTO SCALE CO</t>
  </si>
  <si>
    <t>elainerobles@moldeddevices.com</t>
  </si>
  <si>
    <t>Norland Products Inc</t>
  </si>
  <si>
    <t>3A4R9</t>
  </si>
  <si>
    <t>DELTA T SYSTEMS INC.</t>
  </si>
  <si>
    <t>COLE INSTRUMENT CORP. 3</t>
  </si>
  <si>
    <t>HIRSCHMANN ELECTRONICS INC 3V1N9</t>
  </si>
  <si>
    <t>Magnatrol Valve Corporation DBA</t>
  </si>
  <si>
    <t>DELKIN DEVICES, INC.</t>
  </si>
  <si>
    <t>06GU3</t>
  </si>
  <si>
    <t>LAIRD R F Products, Inc.</t>
  </si>
  <si>
    <t>DBardsley2@cameron.slb.com</t>
  </si>
  <si>
    <t>0H7R3</t>
  </si>
  <si>
    <t>MACGREGOR USA INC. DBA</t>
  </si>
  <si>
    <t>MAURY MICROWAVE, INC.</t>
  </si>
  <si>
    <t>US.QUOTES@US.SPIRAXSARCO.COM</t>
  </si>
  <si>
    <t>71468</t>
  </si>
  <si>
    <t>I T T Cannon 71468</t>
  </si>
  <si>
    <t>lcerulli@brandel-stephens.com</t>
  </si>
  <si>
    <t>44185</t>
  </si>
  <si>
    <t>Mbrown@nmc-wollard.com</t>
  </si>
  <si>
    <t>56528</t>
  </si>
  <si>
    <t>FIL-COIL (FC) INC.</t>
  </si>
  <si>
    <t>VECTOR CONTROLS, INC. 4PUW1</t>
  </si>
  <si>
    <t>DIT-MCO INTERNATIONAL LLC</t>
  </si>
  <si>
    <t>0BA69</t>
  </si>
  <si>
    <t>NETWORKS INTERNATIONAL CORP.</t>
  </si>
  <si>
    <t>DATAPATH, INC. DBA DATAPATH 1BPK0</t>
  </si>
  <si>
    <t>80756</t>
  </si>
  <si>
    <t>SPIROLOX, INC</t>
  </si>
  <si>
    <t>K3602</t>
  </si>
  <si>
    <t>WELIN LAMBIE LIMITED DBA</t>
  </si>
  <si>
    <t>06659</t>
  </si>
  <si>
    <t>TESTEK, LLC</t>
  </si>
  <si>
    <t>54679</t>
  </si>
  <si>
    <t>FLOWMETRICS, INC. DBA</t>
  </si>
  <si>
    <t>17454</t>
  </si>
  <si>
    <t>Timken Gears Services Inc. DBA</t>
  </si>
  <si>
    <t>4J674</t>
  </si>
  <si>
    <t>LEADER TECH, INC. DBA HEICO COMPANY</t>
  </si>
  <si>
    <t>3J6B1</t>
  </si>
  <si>
    <t>INDUSTRIAL WEBBING CORP.</t>
  </si>
  <si>
    <t>K0216</t>
  </si>
  <si>
    <t>THALES OPTRONICS LIMITED.</t>
  </si>
  <si>
    <t>U5503</t>
  </si>
  <si>
    <t>HIAB LIMITED DIV GOVERNMENT</t>
  </si>
  <si>
    <t>6SPR5</t>
  </si>
  <si>
    <t>FLOWLINE VALVE AND CONTROLS,</t>
  </si>
  <si>
    <t>1V8S5</t>
  </si>
  <si>
    <t>KNEE-PRO INDUSTRIES, INC</t>
  </si>
  <si>
    <t>63009</t>
  </si>
  <si>
    <t>DONTECH INCORPORATED</t>
  </si>
  <si>
    <t>17772</t>
  </si>
  <si>
    <t>AERO ENGINEERING MANUFACTURING</t>
  </si>
  <si>
    <t>30205</t>
  </si>
  <si>
    <t>MERCER PRODUCTS MANUFACTURING</t>
  </si>
  <si>
    <t>98991</t>
  </si>
  <si>
    <t>WORCESTER CONTROLS CORP P O BOX</t>
  </si>
  <si>
    <t>52837</t>
  </si>
  <si>
    <t>WILDEN PUMP AND ENGINEERING CO</t>
  </si>
  <si>
    <t>36575</t>
  </si>
  <si>
    <t>AIRCHIME MANUFACTURING CO LTD</t>
  </si>
  <si>
    <t>82340</t>
  </si>
  <si>
    <t>EDO LLC DBA</t>
  </si>
  <si>
    <t>04366</t>
  </si>
  <si>
    <t>LIQUID CONTROLS, L.L.C. DBA</t>
  </si>
  <si>
    <t>00026</t>
  </si>
  <si>
    <t>MMC INTERNATIONAL CORP.</t>
  </si>
  <si>
    <t>55378</t>
  </si>
  <si>
    <t>TRAC REGULATORS INC</t>
  </si>
  <si>
    <t>1SEH7</t>
  </si>
  <si>
    <t>mcalvo@acumentrics.com</t>
  </si>
  <si>
    <t>38589</t>
  </si>
  <si>
    <t>MARTIN-DECKER TOTCO INC DBA M/D</t>
  </si>
  <si>
    <t>09870</t>
  </si>
  <si>
    <t>BRANDSTROM INSTRUMENTS, INC. 09870</t>
  </si>
  <si>
    <t>DIAGNOSTIC SOLUTIONS INTERNATIONAL</t>
  </si>
  <si>
    <t>info@inmarsystems.com</t>
  </si>
  <si>
    <t>sales@preeceinc.com</t>
  </si>
  <si>
    <t>Call..(949) 770-9411</t>
  </si>
  <si>
    <t>81860</t>
  </si>
  <si>
    <t>HUTCHINSON AEROSPACE INDUSTRY,</t>
  </si>
  <si>
    <t>53882</t>
  </si>
  <si>
    <t>HACH ULTRA ANALYTICS INC. DBA</t>
  </si>
  <si>
    <t>59672</t>
  </si>
  <si>
    <t>C V INTERNATIONAL, INC.</t>
  </si>
  <si>
    <t>07524</t>
  </si>
  <si>
    <t>DOVER ENERGY, INC. DBA Blackmer</t>
  </si>
  <si>
    <t>73949</t>
  </si>
  <si>
    <t>Guardian Electric Manufacturing</t>
  </si>
  <si>
    <t>05236</t>
  </si>
  <si>
    <t>JONATHAN ENGINEERED SOLUTIONS 05236</t>
  </si>
  <si>
    <t>65597</t>
  </si>
  <si>
    <t>Thales Defense Security, Inc.</t>
  </si>
  <si>
    <t>10988</t>
  </si>
  <si>
    <t>CNH INDUSTRIAL AMERICA LLC 10988</t>
  </si>
  <si>
    <t>I T T CANNON</t>
  </si>
  <si>
    <t>P/N KJA6T21W75PNL</t>
  </si>
  <si>
    <t>P/N CA3102R28-2009-16P</t>
  </si>
  <si>
    <t>33476</t>
  </si>
  <si>
    <t>Telegenix</t>
  </si>
  <si>
    <t>06AG3</t>
  </si>
  <si>
    <t>DK MANUFACTURING LLC</t>
  </si>
  <si>
    <t>D8265</t>
  </si>
  <si>
    <t>J.P. Sauer Sohn Maschinenbau GmbH</t>
  </si>
  <si>
    <t>4310123345715</t>
  </si>
  <si>
    <t>12615</t>
  </si>
  <si>
    <t>U S TERMINALS INC</t>
  </si>
  <si>
    <t>5999-00-108-8499</t>
  </si>
  <si>
    <t>0FDK5</t>
  </si>
  <si>
    <t>MELTRIC CORPORATION</t>
  </si>
  <si>
    <t>5935016541832</t>
  </si>
  <si>
    <t>51435</t>
  </si>
  <si>
    <t>EMS Development Corporation</t>
  </si>
  <si>
    <t>0RPE1</t>
  </si>
  <si>
    <t>BALLUFF INC</t>
  </si>
  <si>
    <t>EMS Development Corporation 51435</t>
  </si>
  <si>
    <t>1NPW9</t>
  </si>
  <si>
    <t>901 D, LLC</t>
  </si>
  <si>
    <t>8Z410</t>
  </si>
  <si>
    <t>LEDTRONICS, INC.</t>
  </si>
  <si>
    <t>spoh@ledtronics.com</t>
  </si>
  <si>
    <t>0LSP2</t>
  </si>
  <si>
    <t>SPECTRUM CONTROL, INC. DBA</t>
  </si>
  <si>
    <t>0L9X3</t>
  </si>
  <si>
    <t>BALLARD COMMERCIAL INDUSTRIES,</t>
  </si>
  <si>
    <t>3A7L4</t>
  </si>
  <si>
    <t>PROTOTYPE MACHINE CO. DBA Randolph</t>
  </si>
  <si>
    <t>88759</t>
  </si>
  <si>
    <t>Dynatect Manufacturing, Inc. DBA</t>
  </si>
  <si>
    <t>0AYP6</t>
  </si>
  <si>
    <t>SPECIFIC SYSTEMS, LTD.</t>
  </si>
  <si>
    <t>640P7</t>
  </si>
  <si>
    <t>CRN Solutions, Inc. DBA Primus</t>
  </si>
  <si>
    <t>0BKB8</t>
  </si>
  <si>
    <t>SUPERIOR PLASTICS, INC CAGE</t>
  </si>
  <si>
    <t>1GVT4</t>
  </si>
  <si>
    <t>MEGAPHASE, L.L.C.</t>
  </si>
  <si>
    <t>55345</t>
  </si>
  <si>
    <t>ALAMO AIRCRAFT, LTD</t>
  </si>
  <si>
    <t>0AM43</t>
  </si>
  <si>
    <t>LCR Electronics</t>
  </si>
  <si>
    <t>47WD8</t>
  </si>
  <si>
    <t>EVAC NORTH AMERICA</t>
  </si>
  <si>
    <t>arojas@aerofit.com</t>
  </si>
  <si>
    <t>311K7</t>
  </si>
  <si>
    <t>KISSLING ELECTROTEC, INCORPORATED</t>
  </si>
  <si>
    <t>13619</t>
  </si>
  <si>
    <t>EMS DEVELOPMENT CORPORATION</t>
  </si>
  <si>
    <t>13669</t>
  </si>
  <si>
    <t>TESCOM CORPORATION DBA EMERSON</t>
  </si>
  <si>
    <t>59577</t>
  </si>
  <si>
    <t>EASY VAC, INC.</t>
  </si>
  <si>
    <t>11023</t>
  </si>
  <si>
    <t>FORENTA L.P.</t>
  </si>
  <si>
    <t>8/13/2017</t>
  </si>
  <si>
    <t>3FLE0</t>
  </si>
  <si>
    <t>VOLEX INC.</t>
  </si>
  <si>
    <t>6LE50</t>
  </si>
  <si>
    <t>FLUID HANDLING, LLC DBA STANDARD</t>
  </si>
  <si>
    <t>kmartin@tencarva.com</t>
  </si>
  <si>
    <t>57500</t>
  </si>
  <si>
    <t>Teledyne Reynolds, Inc. DBA</t>
  </si>
  <si>
    <t>98313</t>
  </si>
  <si>
    <t>Davis Aircraft Products Co., Inc.</t>
  </si>
  <si>
    <t>3BFK5</t>
  </si>
  <si>
    <t>Richard Manno Company Inc.</t>
  </si>
  <si>
    <t>23540</t>
  </si>
  <si>
    <t>NIAGARA PLASTICS L.L.C.</t>
  </si>
  <si>
    <t>64415</t>
  </si>
  <si>
    <t>Selex ES Inc. DBA</t>
  </si>
  <si>
    <t>74YZ3</t>
  </si>
  <si>
    <t>BROMINE SYSTEMS, INC.</t>
  </si>
  <si>
    <t>04710</t>
  </si>
  <si>
    <t>WESCON PRODUCTS COMPANY DIV</t>
  </si>
  <si>
    <t>deanna.howell@wesconcontrols.com</t>
  </si>
  <si>
    <t>8L945</t>
  </si>
  <si>
    <t>NORTHERN LIGHTS, INC. DBA NORTHERN</t>
  </si>
  <si>
    <t>71176</t>
  </si>
  <si>
    <t>EMERSON ELECTRIC CO BROWNING MFG</t>
  </si>
  <si>
    <t>52791</t>
  </si>
  <si>
    <t>Tecom Industries, Incorporated DBA</t>
  </si>
  <si>
    <t>75078</t>
  </si>
  <si>
    <t>JACOBS MFG CO THE</t>
  </si>
  <si>
    <t>07687</t>
  </si>
  <si>
    <t>HYDRA-MATIC PACKING CO INC</t>
  </si>
  <si>
    <t>29381</t>
  </si>
  <si>
    <t>GICHNER SYSTEMS GROUP, INC. DBA</t>
  </si>
  <si>
    <t>08748</t>
  </si>
  <si>
    <t>ELDEC CORPORATION DBA CRANE</t>
  </si>
  <si>
    <t>8/20/2017</t>
  </si>
  <si>
    <t>1BW94</t>
  </si>
  <si>
    <t>OFFSHORE SPARS CO.</t>
  </si>
  <si>
    <t>78314</t>
  </si>
  <si>
    <t>SIMS PUMP VALVE COMPANY, INC.</t>
  </si>
  <si>
    <t>4HBU4</t>
  </si>
  <si>
    <t>KINGTRON VALVE &amp; CONTROL INC</t>
  </si>
  <si>
    <t>SPIRAX SARCO, INC. 53059 P/N 62637</t>
  </si>
  <si>
    <t>66CR4</t>
  </si>
  <si>
    <t>GRIEB MANUFACTURING COMPANY, INC.</t>
  </si>
  <si>
    <t>22830</t>
  </si>
  <si>
    <t>Symetrics Industries, LLC DBA</t>
  </si>
  <si>
    <t>terie.briones@kulite.com</t>
  </si>
  <si>
    <t>1XP56</t>
  </si>
  <si>
    <t>AI-TEK INSTRUMENTS, LLC</t>
  </si>
  <si>
    <t>34004</t>
  </si>
  <si>
    <t>STANLEY BLACK DECKER, INC. DBA</t>
  </si>
  <si>
    <t>61796</t>
  </si>
  <si>
    <t>CEMEN TECH, INC.</t>
  </si>
  <si>
    <t>0NWE3</t>
  </si>
  <si>
    <t>CUSTOM CONTROLS CO DO NOT USE AS</t>
  </si>
  <si>
    <t>4ZW64</t>
  </si>
  <si>
    <t>Brooks Instrument LLC</t>
  </si>
  <si>
    <t>3DD99</t>
  </si>
  <si>
    <t>QUADRANT VALVE &amp; ACTUATOR LLC</t>
  </si>
  <si>
    <t>70508</t>
  </si>
  <si>
    <t>AMERICAN METAL BEARING COMPANY</t>
  </si>
  <si>
    <t>03705</t>
  </si>
  <si>
    <t>Apex Tool Group, LLC</t>
  </si>
  <si>
    <t>info@armelelectronics.com</t>
  </si>
  <si>
    <t>10236</t>
  </si>
  <si>
    <t>Electrodynamics, Inc. DBA L-3</t>
  </si>
  <si>
    <t>31UG4</t>
  </si>
  <si>
    <t>AMERICAN DEFENSE SYSTEMS, INC. DBA</t>
  </si>
  <si>
    <t>I 0XBF7</t>
  </si>
  <si>
    <t>ENERGY TECHNOLOGIES, INC. DBA E T</t>
  </si>
  <si>
    <t>54752</t>
  </si>
  <si>
    <t>R G Rollin Co</t>
  </si>
  <si>
    <t>80735</t>
  </si>
  <si>
    <t>Columbus Mckinnon Corporation DBA 8</t>
  </si>
  <si>
    <t>94607</t>
  </si>
  <si>
    <t>AMOT CONTROLS CORPORATION</t>
  </si>
  <si>
    <t>05BU0</t>
  </si>
  <si>
    <t>KIDDE TECHNOLOGIES INC DBA KIDDE</t>
  </si>
  <si>
    <t>96046</t>
  </si>
  <si>
    <t>Crane Pumps Systems, Inc.</t>
  </si>
  <si>
    <t>63544</t>
  </si>
  <si>
    <t>ENGINE MONITOR, INC. DBA E M I</t>
  </si>
  <si>
    <t>60674</t>
  </si>
  <si>
    <t>MICROWAVE DEVICES INC</t>
  </si>
  <si>
    <t>76364</t>
  </si>
  <si>
    <t>MILWAUKEE VALVE COMPANY, INC. DBA 76364</t>
  </si>
  <si>
    <t>72197</t>
  </si>
  <si>
    <t>KVH INDUSTRIES, INC.</t>
  </si>
  <si>
    <t>24664</t>
  </si>
  <si>
    <t>JONAL LABORATORIES INCORPORATED</t>
  </si>
  <si>
    <t>59662</t>
  </si>
  <si>
    <t>XENOTRONIX / TLI INC</t>
  </si>
  <si>
    <t>98810</t>
  </si>
  <si>
    <t>Aerosonic LLC</t>
  </si>
  <si>
    <t>52476</t>
  </si>
  <si>
    <t>Coleman Microwave Co. DBA</t>
  </si>
  <si>
    <t>27315</t>
  </si>
  <si>
    <t>MORRIS MATERIAL HANDLING, INC. DBA</t>
  </si>
  <si>
    <t>06223</t>
  </si>
  <si>
    <t>KOOLTRONIC INC.</t>
  </si>
  <si>
    <t>tim.smith@timesmicro.com</t>
  </si>
  <si>
    <t>29293</t>
  </si>
  <si>
    <t>ADVANCE MFG.CO., INC.</t>
  </si>
  <si>
    <t>6Z833</t>
  </si>
  <si>
    <t>Cortron, Inc.</t>
  </si>
  <si>
    <t>09051</t>
  </si>
  <si>
    <t>GAYLORD INDUSTRIES, INC.</t>
  </si>
  <si>
    <t>7Y065</t>
  </si>
  <si>
    <t>SAFEGUARDS TECHNOLOGY LLC DBA</t>
  </si>
  <si>
    <t>81343</t>
  </si>
  <si>
    <t>SOCIETY OF AUTOMOTIVE ENGINEERS INC</t>
  </si>
  <si>
    <t>35351</t>
  </si>
  <si>
    <t>GE AVIATION SYSTEMS LLC</t>
  </si>
  <si>
    <t>62727</t>
  </si>
  <si>
    <t>MID-STATE SALES, INC. DBA</t>
  </si>
  <si>
    <t>81815</t>
  </si>
  <si>
    <t>COMMUNICATION COIL, INC. DBA</t>
  </si>
  <si>
    <t>13675</t>
  </si>
  <si>
    <t>WEMS INC. DBA WEMS ELECTRONICS</t>
  </si>
  <si>
    <t>59025</t>
  </si>
  <si>
    <t>SUPFINA MACHINE COMPANY, INC</t>
  </si>
  <si>
    <t>09032</t>
  </si>
  <si>
    <t>TATE ANDALE, INC. 0</t>
  </si>
  <si>
    <t>97424</t>
  </si>
  <si>
    <t>AMETEK INC. DBA AMETEK AEROSPACE</t>
  </si>
  <si>
    <t>0B1R9</t>
  </si>
  <si>
    <t>TRAINA MECHANICAL, INC.</t>
  </si>
  <si>
    <t>3XLP1</t>
  </si>
  <si>
    <t>POWERFLARE CORPORATION 3</t>
  </si>
  <si>
    <t>0EYA6</t>
  </si>
  <si>
    <t>WARTSILA DEFENSE, INC.</t>
  </si>
  <si>
    <t>59157</t>
  </si>
  <si>
    <t>LOOS CO., INC. DBA WIRE ROPE DIV</t>
  </si>
  <si>
    <t>03RT1</t>
  </si>
  <si>
    <t>Ultravolt, Inc.</t>
  </si>
  <si>
    <t>92997</t>
  </si>
  <si>
    <t>MILWAUKEE SPRAYER MFG. CO. INC.</t>
  </si>
  <si>
    <t>29192</t>
  </si>
  <si>
    <t>OLYMPUS SCIENTIFIC SOLUTIONS</t>
  </si>
  <si>
    <t>Circor Instrumentation</t>
  </si>
  <si>
    <t>85213</t>
  </si>
  <si>
    <t>L.C.DOANE COMPANY,THE</t>
  </si>
  <si>
    <t>94874</t>
  </si>
  <si>
    <t>DROITCOUR COMPANY</t>
  </si>
  <si>
    <t>76588</t>
  </si>
  <si>
    <t>CORE INDUSTRIES INC.</t>
  </si>
  <si>
    <t>62749</t>
  </si>
  <si>
    <t>NORTECH CORP</t>
  </si>
  <si>
    <t>22508</t>
  </si>
  <si>
    <t>FISHER CONTROLS CO INC</t>
  </si>
  <si>
    <t>91363</t>
  </si>
  <si>
    <t>NORRISEAL NORRIS VALUES DIV DBA</t>
  </si>
  <si>
    <t>0H015</t>
  </si>
  <si>
    <t>BW TECHNOLOGIES LTD</t>
  </si>
  <si>
    <t>55822</t>
  </si>
  <si>
    <t>GST INDUSTRIES INC. DBA</t>
  </si>
  <si>
    <t>61510</t>
  </si>
  <si>
    <t>THERMO KING CORPORATION DBA</t>
  </si>
  <si>
    <t>21013</t>
  </si>
  <si>
    <t>METREX VALVE CORP.</t>
  </si>
  <si>
    <t>H6077</t>
  </si>
  <si>
    <t>MAFO NAVAL CLOSURES B.V.</t>
  </si>
  <si>
    <t>3KMC3</t>
  </si>
  <si>
    <t>ZISTOS CORPORATION</t>
  </si>
  <si>
    <t>34423</t>
  </si>
  <si>
    <t>CLARKE HESS COMMUNICATION RESEARCH</t>
  </si>
  <si>
    <t>0EYB3</t>
  </si>
  <si>
    <t>LONDON BRIDGE TRADING COMPANY, LTD</t>
  </si>
  <si>
    <t>56878</t>
  </si>
  <si>
    <t>SPS TECHNOLOGIES, LLC DBA</t>
  </si>
  <si>
    <t>09257</t>
  </si>
  <si>
    <t>TRELLEBORG SEALING SOLUTIONS US,</t>
  </si>
  <si>
    <t>28014</t>
  </si>
  <si>
    <t>General Plastics Manufacturing Co</t>
  </si>
  <si>
    <t>44294</t>
  </si>
  <si>
    <t>Numberall Stamp Tool Co, Inc</t>
  </si>
  <si>
    <t>99479</t>
  </si>
  <si>
    <t>BOWMAR, LLC DBA</t>
  </si>
  <si>
    <t>55566</t>
  </si>
  <si>
    <t>Matthew Warren, Inc DBA RAF</t>
  </si>
  <si>
    <t>3W5J0</t>
  </si>
  <si>
    <t>APPLIED POROUS TECHNOLOGIES, INC.</t>
  </si>
  <si>
    <t>28480</t>
  </si>
  <si>
    <t>HEWLETT-PACKARD COMPANY DBA HP</t>
  </si>
  <si>
    <t>47432</t>
  </si>
  <si>
    <t>INTERSPIRO, INC.</t>
  </si>
  <si>
    <t>65996</t>
  </si>
  <si>
    <t>WAGO CORPORATION</t>
  </si>
  <si>
    <t>3HHC6</t>
  </si>
  <si>
    <t>TOOL HOUSE INC., THE</t>
  </si>
  <si>
    <t>10055</t>
  </si>
  <si>
    <t>MARINE ELECTRONICS, LLC SALES</t>
  </si>
  <si>
    <t>0GZA0</t>
  </si>
  <si>
    <t>TEMPLETON KENLY &amp; CO. INC DBA TK</t>
  </si>
  <si>
    <t>73760</t>
  </si>
  <si>
    <t>ITT Aerospace Controls LLC DBA ITT</t>
  </si>
  <si>
    <t>1U1C6</t>
  </si>
  <si>
    <t>Mettler-toledo Thornton, Inc. DBA</t>
  </si>
  <si>
    <t>52806</t>
  </si>
  <si>
    <t>THE SALVAJOR COMPANY</t>
  </si>
  <si>
    <t>62950</t>
  </si>
  <si>
    <t>EXCELTEC INTL CORP</t>
  </si>
  <si>
    <t>Star Cases, LLC DBA ZERO</t>
  </si>
  <si>
    <t>55908</t>
  </si>
  <si>
    <t>METROPOLE PRODUCTS, INC.</t>
  </si>
  <si>
    <t>06666</t>
  </si>
  <si>
    <t>GENERAL DEVICES CO INC</t>
  </si>
  <si>
    <t>90800</t>
  </si>
  <si>
    <t>ROMAC INDUSTRIES, INC. DBA HAYS</t>
  </si>
  <si>
    <t>52406</t>
  </si>
  <si>
    <t>RUGGLES-KLINGEMANN MFG CO DBA THE</t>
  </si>
  <si>
    <t>96948</t>
  </si>
  <si>
    <t>KEPNER PRODUCTS COMPANY DBA</t>
  </si>
  <si>
    <t>7BP65</t>
  </si>
  <si>
    <t>MARINE INDUSTRIES WEST LLC</t>
  </si>
  <si>
    <t>79566</t>
  </si>
  <si>
    <t>Whitney Blake Company DBA</t>
  </si>
  <si>
    <t>0NM25</t>
  </si>
  <si>
    <t>Clean-Seal Inc</t>
  </si>
  <si>
    <t>A196G</t>
  </si>
  <si>
    <t>MASTSYSTEM INTL OY DBA COBHAM MAST</t>
  </si>
  <si>
    <t>11/12/2017</t>
  </si>
  <si>
    <t>73957</t>
  </si>
  <si>
    <t>GROOV-PIN CORPORATION</t>
  </si>
  <si>
    <t>56043</t>
  </si>
  <si>
    <t>HYDRO-TEST PRODUCTS, INC.</t>
  </si>
  <si>
    <t>6L622</t>
  </si>
  <si>
    <t>Draeger, Inc.</t>
  </si>
  <si>
    <t>0B9E8</t>
  </si>
  <si>
    <t>ENVIRO SYSTEMS, INC. DBA</t>
  </si>
  <si>
    <t>97539</t>
  </si>
  <si>
    <t>A P M Hexseal Corporation</t>
  </si>
  <si>
    <t>96165</t>
  </si>
  <si>
    <t>CHICAGO FAUCET CO</t>
  </si>
  <si>
    <t>64030</t>
  </si>
  <si>
    <t>HYDRO ENGINEERING, INC</t>
  </si>
  <si>
    <t>84147</t>
  </si>
  <si>
    <t>ANDREW LLC</t>
  </si>
  <si>
    <t>2F607</t>
  </si>
  <si>
    <t>BONITRON INC.</t>
  </si>
  <si>
    <t>54035</t>
  </si>
  <si>
    <t>SUN HYDRAULICS CORP</t>
  </si>
  <si>
    <t>ZIERICK MFG CORP 79963</t>
  </si>
  <si>
    <t>3F033</t>
  </si>
  <si>
    <t>VPI ACQUISITION COMPANY LLC DBA</t>
  </si>
  <si>
    <t>CAGE CODES</t>
  </si>
  <si>
    <t>1PND8</t>
  </si>
  <si>
    <t>SLMTI</t>
  </si>
  <si>
    <t>York</t>
  </si>
  <si>
    <t>Engineering Services for BOLO3</t>
  </si>
  <si>
    <t>SAT</t>
  </si>
  <si>
    <t>SUN</t>
  </si>
  <si>
    <t>MON</t>
  </si>
  <si>
    <t>T</t>
  </si>
  <si>
    <t>W</t>
  </si>
  <si>
    <t>TH</t>
  </si>
  <si>
    <t>FR</t>
  </si>
  <si>
    <t>Engineering Services for A. Harold and Associates, LLC</t>
  </si>
  <si>
    <t>Day</t>
  </si>
  <si>
    <t>Date</t>
  </si>
  <si>
    <t>HRS</t>
  </si>
  <si>
    <t>Total Hrs</t>
  </si>
  <si>
    <t>WESTSIM ENGINEERING, INC Monthly Expanses 2016</t>
  </si>
  <si>
    <t>April</t>
  </si>
  <si>
    <t>May</t>
  </si>
  <si>
    <t>June</t>
  </si>
  <si>
    <t>July</t>
  </si>
  <si>
    <t>Aug</t>
  </si>
  <si>
    <t>Sept</t>
  </si>
  <si>
    <t>Nov</t>
  </si>
  <si>
    <t>Dec</t>
  </si>
  <si>
    <t>Officers Compensation</t>
  </si>
  <si>
    <t>Monthly</t>
  </si>
  <si>
    <t>Rents</t>
  </si>
  <si>
    <t>rent</t>
  </si>
  <si>
    <t>Business Ins</t>
  </si>
  <si>
    <t>ins</t>
  </si>
  <si>
    <t>Corp Fees</t>
  </si>
  <si>
    <t>cable</t>
  </si>
  <si>
    <t>Licenses</t>
  </si>
  <si>
    <t>empl</t>
  </si>
  <si>
    <t>Training</t>
  </si>
  <si>
    <t>misc</t>
  </si>
  <si>
    <t>Conferences</t>
  </si>
  <si>
    <t>alicorp</t>
  </si>
  <si>
    <t>Travel</t>
  </si>
  <si>
    <t>shi</t>
  </si>
  <si>
    <t>Shipping</t>
  </si>
  <si>
    <t>Shipping Supplies</t>
  </si>
  <si>
    <t>Office equipment</t>
  </si>
  <si>
    <t>Office Supplies</t>
  </si>
  <si>
    <t>Credit Card Fees</t>
  </si>
  <si>
    <t>Telephone</t>
  </si>
  <si>
    <t>Business meals</t>
  </si>
  <si>
    <t>Internet</t>
  </si>
  <si>
    <t>Interest/charges</t>
  </si>
  <si>
    <t>Legal/acct</t>
  </si>
  <si>
    <t>Auto</t>
  </si>
  <si>
    <t>Total Expanse</t>
  </si>
  <si>
    <t>Capital Equipment</t>
  </si>
  <si>
    <t>Loan to Corp:</t>
  </si>
  <si>
    <t>Computer</t>
  </si>
  <si>
    <t>Home office</t>
  </si>
  <si>
    <t>Printer</t>
  </si>
  <si>
    <t>Use of Auto</t>
  </si>
  <si>
    <t>Rent deposit</t>
  </si>
  <si>
    <t>Differed compensation?</t>
  </si>
  <si>
    <t>Gross Sales</t>
  </si>
  <si>
    <t>Cost of goods</t>
  </si>
  <si>
    <t>Gross profit</t>
  </si>
  <si>
    <t>aug</t>
  </si>
  <si>
    <t>sep</t>
  </si>
  <si>
    <t>oct</t>
  </si>
  <si>
    <t>dec</t>
  </si>
  <si>
    <t>k</t>
  </si>
  <si>
    <t>WESTSIM ENGINEERING, INC 2016</t>
  </si>
  <si>
    <t>Loan to Corp</t>
  </si>
  <si>
    <t>Borrowed</t>
  </si>
  <si>
    <t>ANTENNA</t>
  </si>
  <si>
    <t>Restricter</t>
  </si>
  <si>
    <t>Delay</t>
  </si>
  <si>
    <t>Switches</t>
  </si>
  <si>
    <t>DIAL</t>
  </si>
  <si>
    <t>Lamps</t>
  </si>
  <si>
    <t>Backshell</t>
  </si>
  <si>
    <t>Switch Flow</t>
  </si>
  <si>
    <t>Cover Kit</t>
  </si>
  <si>
    <t>CYLINDER</t>
  </si>
  <si>
    <t>RELAY-SWITCH</t>
  </si>
  <si>
    <t>Cable Assy</t>
  </si>
  <si>
    <t>Gear SET</t>
  </si>
  <si>
    <t>Washer</t>
  </si>
  <si>
    <t>Mod kit</t>
  </si>
  <si>
    <t>VALVE,BALL</t>
  </si>
  <si>
    <t>Connecting Link</t>
  </si>
  <si>
    <t>VALVE</t>
  </si>
  <si>
    <t>Actutor</t>
  </si>
  <si>
    <t>BOSS MOUNTING</t>
  </si>
  <si>
    <t>ROD</t>
  </si>
  <si>
    <t>2017 Total</t>
  </si>
  <si>
    <t>ja021</t>
  </si>
  <si>
    <t>FEI030</t>
  </si>
  <si>
    <t>fe19</t>
  </si>
  <si>
    <t>mr03</t>
  </si>
  <si>
    <t>mr06</t>
  </si>
  <si>
    <t>EI018</t>
  </si>
  <si>
    <t>fe32</t>
  </si>
  <si>
    <t>mr07</t>
  </si>
  <si>
    <t>fe33</t>
  </si>
  <si>
    <t>mr010</t>
  </si>
  <si>
    <t>FE37</t>
  </si>
  <si>
    <t>mr38</t>
  </si>
  <si>
    <t>mr12</t>
  </si>
  <si>
    <t>mr39</t>
  </si>
  <si>
    <t>mr14</t>
  </si>
  <si>
    <t>j018</t>
  </si>
  <si>
    <t>mr16</t>
  </si>
  <si>
    <t>AP002</t>
  </si>
  <si>
    <t>ap01</t>
  </si>
  <si>
    <t>mr13</t>
  </si>
  <si>
    <t>MR034</t>
  </si>
  <si>
    <t>ap04</t>
  </si>
  <si>
    <t>MR38</t>
  </si>
  <si>
    <t>ja39</t>
  </si>
  <si>
    <t>MR039</t>
  </si>
  <si>
    <t>cit</t>
  </si>
  <si>
    <t>mr26</t>
  </si>
  <si>
    <t>mr23</t>
  </si>
  <si>
    <t>MR036</t>
  </si>
  <si>
    <t>Ap005</t>
  </si>
  <si>
    <t>fe38</t>
  </si>
  <si>
    <t>AP003</t>
  </si>
  <si>
    <t>Ap006</t>
  </si>
  <si>
    <t>mr09</t>
  </si>
  <si>
    <t>Ap007</t>
  </si>
  <si>
    <t>Ap008</t>
  </si>
  <si>
    <t>Ap009</t>
  </si>
  <si>
    <t>Ap010</t>
  </si>
  <si>
    <t>Ap011</t>
  </si>
  <si>
    <t>Ap012</t>
  </si>
  <si>
    <t>MR22</t>
  </si>
  <si>
    <t>apr014</t>
  </si>
  <si>
    <t>Ap017</t>
  </si>
  <si>
    <t>Ap16</t>
  </si>
  <si>
    <t>AP15</t>
  </si>
  <si>
    <t>Ap13</t>
  </si>
  <si>
    <t>AP019</t>
  </si>
  <si>
    <t>Ap020</t>
  </si>
  <si>
    <t>Ap31</t>
  </si>
  <si>
    <t>Ap30</t>
  </si>
  <si>
    <t>Ap021</t>
  </si>
  <si>
    <t>Ap43</t>
  </si>
  <si>
    <t>Ap32</t>
  </si>
  <si>
    <t>Ap38</t>
  </si>
  <si>
    <t>Ap023</t>
  </si>
  <si>
    <t>Ap33</t>
  </si>
  <si>
    <t>Ap40</t>
  </si>
  <si>
    <t>Ap025</t>
  </si>
  <si>
    <t>Ap34</t>
  </si>
  <si>
    <t>Ap026</t>
  </si>
  <si>
    <t>Ap36</t>
  </si>
  <si>
    <t>AP027</t>
  </si>
  <si>
    <t>Ap41</t>
  </si>
  <si>
    <t>MAr021</t>
  </si>
  <si>
    <t>Ap45</t>
  </si>
  <si>
    <t>Ap49</t>
  </si>
  <si>
    <t>Ap48</t>
  </si>
  <si>
    <t>Ap47</t>
  </si>
  <si>
    <t>Ap52</t>
  </si>
  <si>
    <t>Ap44</t>
  </si>
  <si>
    <t>Ap54</t>
  </si>
  <si>
    <t>Ap46</t>
  </si>
  <si>
    <t>Ap55</t>
  </si>
  <si>
    <t>Ap53</t>
  </si>
  <si>
    <t>Ap56</t>
  </si>
  <si>
    <t>Ap51</t>
  </si>
  <si>
    <t>Ap057</t>
  </si>
  <si>
    <t>received pay for 4</t>
  </si>
  <si>
    <t>API050</t>
  </si>
  <si>
    <t>MYI033</t>
  </si>
  <si>
    <t>API029</t>
  </si>
  <si>
    <t>SMYI030</t>
  </si>
  <si>
    <t>SMYI034</t>
  </si>
  <si>
    <t>MYI031</t>
  </si>
  <si>
    <t>MYI035</t>
  </si>
  <si>
    <t>MYI032</t>
  </si>
  <si>
    <t>MYI037</t>
  </si>
  <si>
    <t>MYI036</t>
  </si>
  <si>
    <t>MYI038</t>
  </si>
  <si>
    <t>MYI026</t>
  </si>
  <si>
    <t>SMYI041</t>
  </si>
  <si>
    <t>Ju021</t>
  </si>
  <si>
    <t>: WSJUI017</t>
  </si>
  <si>
    <t>: WSMYI025</t>
  </si>
  <si>
    <t>JU49</t>
  </si>
  <si>
    <t>JU52</t>
  </si>
  <si>
    <t>JU45</t>
  </si>
  <si>
    <t>JY04</t>
  </si>
  <si>
    <t>JU37</t>
  </si>
  <si>
    <t>JY05</t>
  </si>
  <si>
    <t>JY01</t>
  </si>
  <si>
    <t>JY02</t>
  </si>
  <si>
    <t>JY08</t>
  </si>
  <si>
    <t>JY03</t>
  </si>
  <si>
    <t>JY10</t>
  </si>
  <si>
    <t>JY06</t>
  </si>
  <si>
    <t>JY11</t>
  </si>
  <si>
    <t>JY07</t>
  </si>
  <si>
    <t>JY12</t>
  </si>
  <si>
    <t>JU50</t>
  </si>
  <si>
    <t>JY13</t>
  </si>
  <si>
    <t>JU47</t>
  </si>
  <si>
    <t>JY14</t>
  </si>
  <si>
    <t>JU46</t>
  </si>
  <si>
    <t>jy09</t>
  </si>
  <si>
    <t>JU05</t>
  </si>
  <si>
    <t>jy15</t>
  </si>
  <si>
    <t>JU41</t>
  </si>
  <si>
    <t>jy16</t>
  </si>
  <si>
    <t>JU51</t>
  </si>
  <si>
    <t>jy17</t>
  </si>
  <si>
    <t>JU20</t>
  </si>
  <si>
    <t>jy18</t>
  </si>
  <si>
    <t>JU48</t>
  </si>
  <si>
    <t>jy19</t>
  </si>
  <si>
    <t>JU43</t>
  </si>
  <si>
    <t>mr05</t>
  </si>
  <si>
    <t>interest</t>
  </si>
  <si>
    <t>WSJY042Z</t>
  </si>
  <si>
    <t>WSAUI047</t>
  </si>
  <si>
    <t>voice</t>
  </si>
  <si>
    <t>Invoices Paid in Nov 2018</t>
  </si>
  <si>
    <t>DEC2018 Payments Received</t>
  </si>
  <si>
    <t>WSDEI143</t>
  </si>
  <si>
    <t>Invoices</t>
  </si>
  <si>
    <t>660-032N19F6-64</t>
  </si>
  <si>
    <t>320AS001NF24-2</t>
  </si>
  <si>
    <t>FEDBID 6/4/2018</t>
  </si>
  <si>
    <t>311HS001N2505</t>
  </si>
  <si>
    <t>660-013N25F6-113</t>
  </si>
  <si>
    <t>GA801BK223</t>
  </si>
  <si>
    <t>660-012N25F6-111</t>
  </si>
  <si>
    <t>311FS001N2205</t>
  </si>
  <si>
    <t>GC60068-3</t>
  </si>
  <si>
    <t>311FS001N2405</t>
  </si>
  <si>
    <t>G8092-24M</t>
  </si>
  <si>
    <t>storo@aerofit.com</t>
  </si>
  <si>
    <t>05942</t>
  </si>
  <si>
    <t>Amada Miyachi America, Inc.</t>
  </si>
  <si>
    <t>tatsuya.koyama@amadamiyachi.com</t>
  </si>
  <si>
    <t>crystal.bryant@pccairframe.com</t>
  </si>
  <si>
    <t>aracely.pineda@pccairframe.com</t>
  </si>
  <si>
    <t>818-392-2196</t>
  </si>
  <si>
    <t>The 6373-Series hose assemblies were previously manufactured by Preece Inc. Preece operations were transferred to AdelWiggins Group earlier this year as part of a merger. The manufacturer is experiencing production delays. Please see the attached letter.
Westsim request extension of delivery date to  11/27/2019.</t>
  </si>
  <si>
    <t>CAPEWELL AERIAL SYSTEMS LLC DBA</t>
  </si>
  <si>
    <t>kmorse@applebeechurch.com</t>
  </si>
  <si>
    <t>31946</t>
  </si>
  <si>
    <t>COLE INSTRUMENT CORP.</t>
  </si>
  <si>
    <t>sales@cole-switches.com</t>
  </si>
  <si>
    <t>tschrum@cole-switches.com</t>
  </si>
  <si>
    <t>kathryn.joines@ultra-ems.com</t>
  </si>
  <si>
    <t>1KHV0</t>
  </si>
  <si>
    <t>Exlar Corporation</t>
  </si>
  <si>
    <t>bradley@flowlinevalves.com</t>
  </si>
  <si>
    <t>0PK88</t>
  </si>
  <si>
    <t>GAI-TRONICS CORP</t>
  </si>
  <si>
    <t>customerservice@gai-tronics.com</t>
  </si>
  <si>
    <t>GENERAL DEVICES CO INC </t>
  </si>
  <si>
    <t>davepatrick@generaldevices.com</t>
  </si>
  <si>
    <t>02378</t>
  </si>
  <si>
    <t>General Rubber Corporation</t>
  </si>
  <si>
    <t>gregs@general-rubber.com</t>
  </si>
  <si>
    <t>icarrillo@glenair.com</t>
  </si>
  <si>
    <t>sales@gouldvalve.com</t>
  </si>
  <si>
    <t>1CEB5</t>
  </si>
  <si>
    <t>HANSEN TECHNOLOGIES CORPORATION</t>
  </si>
  <si>
    <t>sales@hantech.com</t>
  </si>
  <si>
    <t>HIAB LIMITED DIV GOVERNMENT </t>
  </si>
  <si>
    <t>us.hiab.parts@hiab.com</t>
  </si>
  <si>
    <t>419-482-6000 X2286 Judy CC</t>
  </si>
  <si>
    <t>HIAB USA INC. DBA</t>
  </si>
  <si>
    <t>ksmith@brandel-stephens.com</t>
  </si>
  <si>
    <t>Elona.Brown@astrodynetdi.com</t>
  </si>
  <si>
    <t>lucyb@lcdoane.com</t>
  </si>
  <si>
    <t>MARWAY POWER SYSTEMS, INC. DBA</t>
  </si>
  <si>
    <t>tbishop@marway.com</t>
  </si>
  <si>
    <t>08407</t>
  </si>
  <si>
    <t>MIRADA RESEARCH MANUFACTURING,</t>
  </si>
  <si>
    <t>kdrewelow@miradaresearch.com</t>
  </si>
  <si>
    <t>angelinaherrera@moldeddevices.com</t>
  </si>
  <si>
    <t>partscpp@konecranes.com</t>
  </si>
  <si>
    <t>NAFCO USA, LLC 32387</t>
  </si>
  <si>
    <t>joshh@nafcousa.com</t>
  </si>
  <si>
    <t>04YE1</t>
  </si>
  <si>
    <t>S AUTOMATIONDIRECT.COM, INC</t>
  </si>
  <si>
    <t>APPLIED AVIONICS, INC. DBA</t>
  </si>
  <si>
    <t>1NSE4</t>
  </si>
  <si>
    <t>AYDIN DISPLAYS, INC.</t>
  </si>
  <si>
    <t>sales@spartonre.com</t>
  </si>
  <si>
    <t>CTT Inc.</t>
  </si>
  <si>
    <t>sales@cttinc.com</t>
  </si>
  <si>
    <t>L-Com Global</t>
  </si>
  <si>
    <t>rolf.geerdink@mafo.nl</t>
  </si>
  <si>
    <t>tina.lopez@newport.com</t>
  </si>
  <si>
    <t>OLDENBURG GROUP INCORPORATED DBA</t>
  </si>
  <si>
    <t>OMEGA LABORATORIES INC DBA</t>
  </si>
  <si>
    <t>0SCJ7</t>
  </si>
  <si>
    <t>Phoenix Logistics, Inc. DBA PLI</t>
  </si>
  <si>
    <t>kjonas@phxlogistics.com</t>
  </si>
  <si>
    <t>troane@adelwiggins.com</t>
  </si>
  <si>
    <t>0B7R6</t>
  </si>
  <si>
    <t>Quasar Power Technologies Inc.</t>
  </si>
  <si>
    <t>mps@hascoinc.net</t>
  </si>
  <si>
    <t>55193</t>
  </si>
  <si>
    <t>ROSTRA VERNATHERM, LLC DBA BILBE</t>
  </si>
  <si>
    <t>info@vernatherm.com</t>
  </si>
  <si>
    <t>RULAND MFG CO INC Website</t>
  </si>
  <si>
    <t>sales@ruland.com&gt;</t>
  </si>
  <si>
    <t>Smiths Interconnect Microwave</t>
  </si>
  <si>
    <t>kristin@microlambda.com</t>
  </si>
  <si>
    <t>us.quotes@us.spiraxsarco.com</t>
  </si>
  <si>
    <t>3YUF7</t>
  </si>
  <si>
    <t>Superbright</t>
  </si>
  <si>
    <t>tim-w@superbrightleds.com</t>
  </si>
  <si>
    <t>82389</t>
  </si>
  <si>
    <t>SWITCHCRAFT INC.</t>
  </si>
  <si>
    <t>quotes@digikey.com</t>
  </si>
  <si>
    <t>No Cables</t>
  </si>
  <si>
    <t>gquinlan@philagear.com</t>
  </si>
  <si>
    <t>4ZYN8</t>
  </si>
  <si>
    <t>0LUC0</t>
  </si>
  <si>
    <t>VETRONIX RESEARCH CORPORATION</t>
  </si>
  <si>
    <t>kruffino@vetronixresearch.com</t>
  </si>
  <si>
    <t>4C7P7</t>
  </si>
  <si>
    <t>VSD, LLC</t>
  </si>
  <si>
    <t>7Z043</t>
  </si>
  <si>
    <t>VTE INC. DBA STELLA-MARIS</t>
  </si>
  <si>
    <t>samantha.gorney@vteworld.com</t>
  </si>
  <si>
    <t>vbanks@zistos.com</t>
  </si>
  <si>
    <t>KOOLTRONICS</t>
  </si>
  <si>
    <t>awalkowski@kooltronic.com</t>
  </si>
  <si>
    <t>1QZR2</t>
  </si>
  <si>
    <t>Olympus Controls Corp. DBA Olympus</t>
  </si>
  <si>
    <t>
mmazzocco@olympus-controls.com
mmazzocco@olympus-controls.com</t>
  </si>
  <si>
    <t>MACGREGOR USA INC. DBA 0H7R3</t>
  </si>
  <si>
    <t>elaine.dufrene@macgregor.com</t>
  </si>
  <si>
    <t>VERMILLION INCORPORATED 2</t>
  </si>
  <si>
    <t>Oilgear Company, The DBA Oilgear</t>
  </si>
  <si>
    <t>NORGREN C A CO  P</t>
  </si>
  <si>
    <t>Magnatrol Valve Corporation</t>
  </si>
  <si>
    <t>SEATS INCORPORATED</t>
  </si>
  <si>
    <t>74924</t>
  </si>
  <si>
    <t>Indeeco LLC DBA Indeeco</t>
  </si>
  <si>
    <t>dgeren@indeeco.com</t>
  </si>
  <si>
    <t>1T943</t>
  </si>
  <si>
    <t>ACME PRODUCTS ENGINEERING INC</t>
  </si>
  <si>
    <t>TIM PRICE INC. DBA CONTACT</t>
  </si>
  <si>
    <t>Measurement Systems, Inc.</t>
  </si>
  <si>
    <t>cathy.eufemia@ultra-msi.com</t>
  </si>
  <si>
    <t>51900</t>
  </si>
  <si>
    <t>XYLem  Website</t>
  </si>
  <si>
    <t>ht.navymail@xyleminc.com  </t>
  </si>
  <si>
    <t>0C4B7</t>
  </si>
  <si>
    <t>FCX SYSTEMS, INC</t>
  </si>
  <si>
    <t>warren.youger@fcxinc.com</t>
  </si>
  <si>
    <t>HIGH PRESSURE EQUIPMENT COMPAN</t>
  </si>
  <si>
    <t>sales@highpressure.com</t>
  </si>
  <si>
    <t>1JEF4</t>
  </si>
  <si>
    <t>STEDHAM ELECTRONICS CORP</t>
  </si>
  <si>
    <t>sales@stedham.com</t>
  </si>
  <si>
    <t>31PX6</t>
  </si>
  <si>
    <t>Gulf Coast Power Control, Inc.</t>
  </si>
  <si>
    <t>05593</t>
  </si>
  <si>
    <t>Icore International, Inc. DBA</t>
  </si>
  <si>
    <t>sales@maurymw.com</t>
  </si>
  <si>
    <t>44D61</t>
  </si>
  <si>
    <t>SILVERTRONIC, INC</t>
  </si>
  <si>
    <t>0HM39</t>
  </si>
  <si>
    <t>ARC Technologies, Inc.</t>
  </si>
  <si>
    <t>bmoore@arc-tech.com</t>
  </si>
  <si>
    <t>TENSOLITE COMPANY DBA CARLISLE</t>
  </si>
  <si>
    <t>erica.gordillo@carlisleit.com</t>
  </si>
  <si>
    <t>3EGT0</t>
  </si>
  <si>
    <t>CONSILIUM MARINE US INC</t>
  </si>
  <si>
    <t>spares@consiliummarineus.com</t>
  </si>
  <si>
    <t>N2559</t>
  </si>
  <si>
    <t>KONGSBERG MARITIME AS</t>
  </si>
  <si>
    <t>HYDRAFLOW 24984</t>
  </si>
  <si>
    <t>Indeeco LLC DBA Indeeco 74924</t>
  </si>
  <si>
    <t>DGeren@indeeco.com</t>
  </si>
  <si>
    <t>0BUN9</t>
  </si>
  <si>
    <t>M. E. INDUSTRIES, INC. 0BUN9</t>
  </si>
  <si>
    <t>1Y3P4</t>
  </si>
  <si>
    <t>GDT INC. DBA GREYSTONE DATA</t>
  </si>
  <si>
    <t>MAGNETROL INTERNATIONAL,</t>
  </si>
  <si>
    <t>WM W NUGENT CO INC</t>
  </si>
  <si>
    <t>e.lensegrav@wwnugent.com
e.lensegrav@wwnugent.com</t>
  </si>
  <si>
    <t>Midstate</t>
  </si>
  <si>
    <t>quote@midstate-sales.com</t>
  </si>
  <si>
    <t>493C5</t>
  </si>
  <si>
    <t>AMERITROL INC</t>
  </si>
  <si>
    <t>sales@ameritrol.com</t>
  </si>
  <si>
    <t>SIERRA MONITOR CORPORATION</t>
  </si>
  <si>
    <t>lcalderon@sierramonitor.com</t>
  </si>
  <si>
    <t>OHIO SEMITRONICS, INC</t>
  </si>
  <si>
    <t>6Z3C0</t>
  </si>
  <si>
    <t>STOLBERGER INCORPORATED</t>
  </si>
  <si>
    <t>tquadros@wardwell.com</t>
  </si>
  <si>
    <t>sales@wardwell.com</t>
  </si>
  <si>
    <t>M. E. INDUSTRIES, INC.</t>
  </si>
  <si>
    <t>003G7</t>
  </si>
  <si>
    <t>BORGWARNER AIR/FLUID SYSTEMS 003G7</t>
  </si>
  <si>
    <t>xentronic</t>
  </si>
  <si>
    <t>davem@xenotronix.com</t>
  </si>
  <si>
    <t>World Magnetics</t>
  </si>
  <si>
    <t>017T6</t>
  </si>
  <si>
    <t>ELASTOMERIC SPECIALTIES, INC. DBA</t>
  </si>
  <si>
    <t>cheryl@elastomeric.com</t>
  </si>
  <si>
    <t>AERCO INTERNATIONAL, INC.</t>
  </si>
  <si>
    <t>ajs@edifax.com</t>
  </si>
  <si>
    <t>ARMEL ELECTRONICS INC 91663</t>
  </si>
  <si>
    <t>COMMUNICATION COIL, INC. DBA P</t>
  </si>
  <si>
    <t>0M4E9</t>
  </si>
  <si>
    <t>Controlled Systems Sales Company</t>
  </si>
  <si>
    <t>LBC AQUISITIONS LLC DBA LEE BRASS</t>
  </si>
  <si>
    <t>EDWIN B. STIMPSON COMPANY, INC.</t>
  </si>
  <si>
    <t>4UL52</t>
  </si>
  <si>
    <t>WAHLCO INC DBA</t>
  </si>
  <si>
    <t>3GET4</t>
  </si>
  <si>
    <t>ANDREA SYSTEMS LLC</t>
  </si>
  <si>
    <t>0E4X9</t>
  </si>
  <si>
    <t>W. W. HART CORPORATION DBA ARNEL</t>
  </si>
  <si>
    <t>02MG1</t>
  </si>
  <si>
    <t>SYNCHRONIZED TECHNOLOGIES, INC.</t>
  </si>
  <si>
    <t>AMBAC INTERNATIONAL CORPORATION</t>
  </si>
  <si>
    <t>4U931</t>
  </si>
  <si>
    <t>Vibration Mountings Controls,</t>
  </si>
  <si>
    <t>Raymond Corporation, The</t>
  </si>
  <si>
    <t>0WV59</t>
  </si>
  <si>
    <t>DRUM-MATES, INC</t>
  </si>
  <si>
    <t>Avon Engineered Fabrications, Inc.</t>
  </si>
  <si>
    <t>1B9P8</t>
  </si>
  <si>
    <t>Freedom Power Systems Inc. / Cage</t>
  </si>
  <si>
    <t>0NY44</t>
  </si>
  <si>
    <t>TECNICO CORPORATION DBA TECNICO</t>
  </si>
  <si>
    <t>Cosmodyne, LLC</t>
  </si>
  <si>
    <t>Elma Electronics</t>
  </si>
  <si>
    <t>david.caserza@elma.com</t>
  </si>
  <si>
    <t>marilyn.rodney@elma.com</t>
  </si>
  <si>
    <t>AERCO INTL</t>
  </si>
  <si>
    <t>mcroce@wattswater.com</t>
  </si>
  <si>
    <t>01673</t>
  </si>
  <si>
    <t>SPS Technologies, LLC DBA Airdrome 0</t>
  </si>
  <si>
    <t>0S4A5</t>
  </si>
  <si>
    <t>Jeamar Winches Corporation</t>
  </si>
  <si>
    <t>56NS8</t>
  </si>
  <si>
    <t>VIDPRO CORP</t>
  </si>
  <si>
    <t>7WD8</t>
  </si>
  <si>
    <t>EVAC NORTH AMERICA INC. 4</t>
  </si>
  <si>
    <t>ACTERNA LLC DBA JDSU</t>
  </si>
  <si>
    <t>Thomas Products, Ltd.</t>
  </si>
  <si>
    <t>Mettler-toledo, LLC DBA</t>
  </si>
  <si>
    <t>LEBUS INTERNATIONAL, INC. DBA LEBUS</t>
  </si>
  <si>
    <t>MIRADA RESEARCH MANUFACTURING, 08407</t>
  </si>
  <si>
    <t>American Metal Bearing Company</t>
  </si>
  <si>
    <t>ginal@ambco.net</t>
  </si>
  <si>
    <t>1VL38</t>
  </si>
  <si>
    <t>TOTAL TEMPERATURE INSTRUMENTATION</t>
  </si>
  <si>
    <t>sales@instrumart.com,</t>
  </si>
  <si>
    <t>jcgrzywna@instrumart.com</t>
  </si>
  <si>
    <t>4S615</t>
  </si>
  <si>
    <t>ACE WIRE SPRING FORM CO, INC</t>
  </si>
  <si>
    <t>TECH-ETCH, INC.</t>
  </si>
  <si>
    <t>jrogers@tech-etch.com</t>
  </si>
  <si>
    <t>06UZ8</t>
  </si>
  <si>
    <t>Pauli Systems, Inc.</t>
  </si>
  <si>
    <t>maria.garibay@paulisystems.com</t>
  </si>
  <si>
    <t>customerservice@paulisystems.com</t>
  </si>
  <si>
    <t>GATES CORP</t>
  </si>
  <si>
    <t>KMPARTS.COM INC</t>
  </si>
  <si>
    <t>twolff@kmparts.com</t>
  </si>
  <si>
    <t>FREDERICK COWAN COMPANY, INC.</t>
  </si>
  <si>
    <t>Garlock Sealing Technologies Llc</t>
  </si>
  <si>
    <t>AVON ENGINEERED FABRICATIONS, INC.</t>
  </si>
  <si>
    <t>sales@avon-aef.com</t>
  </si>
  <si>
    <t>dewan.watts@avon-rubber.com</t>
  </si>
  <si>
    <t>KPUF03</t>
  </si>
  <si>
    <t>KNEE-PRO INDUSTRIES, INC 1V8S5 P/N</t>
  </si>
  <si>
    <t>15755</t>
  </si>
  <si>
    <t>SURE POWER, INC. DBA Martek Power</t>
  </si>
  <si>
    <t>N4842</t>
  </si>
  <si>
    <t>KVH INDUSTRIES NORWAY AS</t>
  </si>
  <si>
    <t>04845</t>
  </si>
  <si>
    <t>AUTOMATIC SWITCH COMPANY</t>
  </si>
  <si>
    <t>IDEAL PRECISION METER CO</t>
  </si>
  <si>
    <t>09332</t>
  </si>
  <si>
    <t>AEROFAST, INC.</t>
  </si>
  <si>
    <t>0W482</t>
  </si>
  <si>
    <t>Universal switching</t>
  </si>
  <si>
    <t>jwoolridge@uswi.com</t>
  </si>
  <si>
    <t>AI-TEK INSTRUMENTS, LLC 1XP56</t>
  </si>
  <si>
    <t>snagy@vaporpower.com</t>
  </si>
  <si>
    <t>TECHNOLOGY DYNAMICS, INC. DBA Nova</t>
  </si>
  <si>
    <t>L5658</t>
  </si>
  <si>
    <t>MDS POWER INC</t>
  </si>
  <si>
    <t>5MPW3</t>
  </si>
  <si>
    <t>Rohe International Incorporated</t>
  </si>
  <si>
    <t>0JPG9</t>
  </si>
  <si>
    <t>PREMIER COPPER DIVISION OF W O</t>
  </si>
  <si>
    <t>58860</t>
  </si>
  <si>
    <t>Universal Air Filter Company</t>
  </si>
  <si>
    <t>1VJW8</t>
  </si>
  <si>
    <t>BARCODE DISCOUNT</t>
  </si>
  <si>
    <t>Universal Metal Spinning Company,</t>
  </si>
  <si>
    <t>1HZU4</t>
  </si>
  <si>
    <t>MOBILE CYLINDERS INC</t>
  </si>
  <si>
    <t>MORRISON BROTHERS COMPANY</t>
  </si>
  <si>
    <t>CNH Industrial America LLC</t>
  </si>
  <si>
    <t>1GKY2</t>
  </si>
  <si>
    <t>Advanced Micro Instruments, Inc.</t>
  </si>
  <si>
    <t>VERMILLION INCORPORATED</t>
  </si>
  <si>
    <t>019L2</t>
  </si>
  <si>
    <t>FITZ AEROSPACE, LLC DBA ESNA</t>
  </si>
  <si>
    <t>Telegenix Inc DBA Telegenix</t>
  </si>
  <si>
    <t>04879</t>
  </si>
  <si>
    <t>ARNOLD MAGNETICS CORPORATION 04879</t>
  </si>
  <si>
    <t>01518</t>
  </si>
  <si>
    <t>ALNOR INSTRUMENT COMPANY DBA</t>
  </si>
  <si>
    <t>Jonathan Engineered Solutions</t>
  </si>
  <si>
    <t>TRIUMPH GEAR SYSTEMS, INC. DBA</t>
  </si>
  <si>
    <t>7Z769</t>
  </si>
  <si>
    <t>GOULD BASS COMPANY, INC.</t>
  </si>
  <si>
    <t>1YBJ4</t>
  </si>
  <si>
    <t>MOYER ASSOCIATES INC</t>
  </si>
  <si>
    <t>1F242</t>
  </si>
  <si>
    <t>A. E. Petsche Company, Inc.</t>
  </si>
  <si>
    <t>1A699</t>
  </si>
  <si>
    <t>LEE SPRING COMPANY LLC</t>
  </si>
  <si>
    <t>1B3L6</t>
  </si>
  <si>
    <t>Roxtec Inc. DBA</t>
  </si>
  <si>
    <t>318U8</t>
  </si>
  <si>
    <t>NORTHROP GRUMMAN SPACE MISSION</t>
  </si>
  <si>
    <t>6LYM4</t>
  </si>
  <si>
    <t>STERLING EDGE, INC.</t>
  </si>
  <si>
    <t>0AYB6</t>
  </si>
  <si>
    <t>Weems Industries, Inc. DBA Legacy</t>
  </si>
  <si>
    <t>SWITCHING POWER INC.</t>
  </si>
  <si>
    <t>PRECISION AIRCRAFT MACHINING</t>
  </si>
  <si>
    <t>jgrainger@filtrationgroup.com</t>
  </si>
  <si>
    <t>0TST7</t>
  </si>
  <si>
    <t>W. F. HARRIS LIGHTING, INC.</t>
  </si>
  <si>
    <t>4TGX1</t>
  </si>
  <si>
    <t>VALKYRIE ENTERPRISES, LLC</t>
  </si>
  <si>
    <t>Martindale Electric Company (Inc)</t>
  </si>
  <si>
    <t>4BVB1</t>
  </si>
  <si>
    <t>G.A.L. GAGE, CO.</t>
  </si>
  <si>
    <t>MONTREAL BRONZE LTD</t>
  </si>
  <si>
    <t>Jewel Instrument</t>
  </si>
  <si>
    <t>jgoday@jewellinstruments.com</t>
  </si>
  <si>
    <t>GREENE RUBBER COMPANY, INC. DBA</t>
  </si>
  <si>
    <t>H K METALCRAFT MANUFACTURING</t>
  </si>
  <si>
    <t>0YKH9</t>
  </si>
  <si>
    <t>RUBBER HOSE &amp; GASKET COMPANY, INC</t>
  </si>
  <si>
    <t>Haydon Kerk Motion Solutions, Inc.</t>
  </si>
  <si>
    <t>Magnetrol International,</t>
  </si>
  <si>
    <t>4HYG2</t>
  </si>
  <si>
    <t>Engineered Packaging Dynamics LLC</t>
  </si>
  <si>
    <t>Spokane Industries, Inc. DBA</t>
  </si>
  <si>
    <t>1DKC6</t>
  </si>
  <si>
    <t>MULTI TECHNOLOGY SALES INC DBA</t>
  </si>
  <si>
    <t>1TBR6</t>
  </si>
  <si>
    <t>Chemring Sensors And Electronic</t>
  </si>
  <si>
    <t>BLUSA</t>
  </si>
  <si>
    <t>Bright Lights USA, Inc. DBA</t>
  </si>
  <si>
    <t>3UZE1</t>
  </si>
  <si>
    <t>NOTT COMPANY DBA</t>
  </si>
  <si>
    <t>PARA-GEAR EQUIPMENT CO</t>
  </si>
  <si>
    <t>TE CONNECTIVITY CORPORATION DBA</t>
  </si>
  <si>
    <t>7CPA1</t>
  </si>
  <si>
    <t>SKT2, LLC DBA Kagwerks</t>
  </si>
  <si>
    <t>Cortron</t>
  </si>
  <si>
    <t>lfriedrichs@cortroninc.com</t>
  </si>
  <si>
    <t>SEASTROM MANUFACTURING CO., INC. 86928</t>
  </si>
  <si>
    <t>GOODWAY TECHNOLOGIES CORPORATION</t>
  </si>
  <si>
    <t>3DJE8</t>
  </si>
  <si>
    <t>Suncoast Microwave, Inc. DBA</t>
  </si>
  <si>
    <t>CALIFORNIA GASKET AND RUBBER</t>
  </si>
  <si>
    <t>acastro@calgasket.com</t>
  </si>
  <si>
    <t>01NQ7 P</t>
  </si>
  <si>
    <t>Shimadzu Scientific Instruments,</t>
  </si>
  <si>
    <t>W D Manufacturing, Inc. DBA</t>
  </si>
  <si>
    <t>Stratotech LLC</t>
  </si>
  <si>
    <t>SNAPVENT CO</t>
  </si>
  <si>
    <t>0VL49</t>
  </si>
  <si>
    <t>La Mar Lighting Co., Inc.</t>
  </si>
  <si>
    <t>PREMIER COPPER DIVISION OF W  O</t>
  </si>
  <si>
    <t>Oetiker, Inc</t>
  </si>
  <si>
    <t>1Q9N3</t>
  </si>
  <si>
    <t>INDUSTRIAL COMPONENTS TECH DBA I R</t>
  </si>
  <si>
    <t>0HB17</t>
  </si>
  <si>
    <t>Precision Control Incorporated</t>
  </si>
  <si>
    <t>LARK-RELIANCE CORPORATION DBA</t>
  </si>
  <si>
    <t>0ECV7</t>
  </si>
  <si>
    <t>Exair Corporation</t>
  </si>
  <si>
    <t>1PKV5</t>
  </si>
  <si>
    <t>VIDEO DISPLAY CORPORATION DBA VDC</t>
  </si>
  <si>
    <t>6S1M4</t>
  </si>
  <si>
    <t>CAVOTEC INET US INC. DBA</t>
  </si>
  <si>
    <t>Triangle Rubber Co. Inc.</t>
  </si>
  <si>
    <t>Service Brass And Aluminum Foundry</t>
  </si>
  <si>
    <t>0LWF1</t>
  </si>
  <si>
    <t>NETWORK TECHNOLOGIES, INC.</t>
  </si>
  <si>
    <t>K W D Manufacturing, Inc. DBA</t>
  </si>
  <si>
    <t>0SPX0</t>
  </si>
  <si>
    <t>Admartec, Inc.</t>
  </si>
  <si>
    <t>0MJF9</t>
  </si>
  <si>
    <t>Mercury Systems - Trusted Mission</t>
  </si>
  <si>
    <t>321H5</t>
  </si>
  <si>
    <t>PARKWAY PRODUCTS, INC.</t>
  </si>
  <si>
    <t>CLEVELAND SERVICE CENTER</t>
  </si>
  <si>
    <t>1HT24</t>
  </si>
  <si>
    <t>ADVANCED PNEUMATICS COMPANY, INC.</t>
  </si>
  <si>
    <t>SPIROLOX, INC.</t>
  </si>
  <si>
    <t>1Z292</t>
  </si>
  <si>
    <t>ELECTROMET CORPORATION</t>
  </si>
  <si>
    <t>1RC07</t>
  </si>
  <si>
    <t>Brg Precision Products, Inc.</t>
  </si>
  <si>
    <t>G-O-Metric Incorporated</t>
  </si>
  <si>
    <t>KEARFLEX ENGINEERING COMPANY</t>
  </si>
  <si>
    <t>6T654</t>
  </si>
  <si>
    <t>OHN W HOCK COMPANY DBA HOCK, JOHN 6T654</t>
  </si>
  <si>
    <t>0PZF7</t>
  </si>
  <si>
    <t>POLYMER TECHNOLOGIES, INC.</t>
  </si>
  <si>
    <t>Armel</t>
  </si>
  <si>
    <t>Hi Rel Connectors, Inc. DBA Hirel 34222</t>
  </si>
  <si>
    <t>Sig Sauer Inc. 1EF82</t>
  </si>
  <si>
    <t>TE CONNECTIVITY CORPORATION DBA TE 00779</t>
  </si>
  <si>
    <t>. 50541</t>
  </si>
  <si>
    <t>SMITHS INTERCONNECT AMERICAS, INC</t>
  </si>
  <si>
    <t>kim.rice@smithsinterconnect.com</t>
  </si>
  <si>
    <t>06WH3</t>
  </si>
  <si>
    <t>B/E Aerospace, Inc. DBA</t>
  </si>
  <si>
    <t>09BX8</t>
  </si>
  <si>
    <t>Livorsi Marine, Inc.</t>
  </si>
  <si>
    <t>RAY R G CORP DBA</t>
  </si>
  <si>
    <t>3V8T0</t>
  </si>
  <si>
    <t>Slate River Corporation, The</t>
  </si>
  <si>
    <t>ENERTECH TECHNICAL SERVICES</t>
  </si>
  <si>
    <t>R3741</t>
  </si>
  <si>
    <t>INVISIO COMMUNICATIONS AS R3741</t>
  </si>
  <si>
    <t>COOPER CAMERON CORP COOPER CAMERON</t>
  </si>
  <si>
    <t>DOW-ELCO INC DBA</t>
  </si>
  <si>
    <t>2X312</t>
  </si>
  <si>
    <t>NUTEK AEROSPACE CORP</t>
  </si>
  <si>
    <t>0PYY3</t>
  </si>
  <si>
    <t>J. W. Marine Equipment, Inc.</t>
  </si>
  <si>
    <t>09055</t>
  </si>
  <si>
    <t>BAL SEAL ENGINEERING, INC.</t>
  </si>
  <si>
    <t>02009</t>
  </si>
  <si>
    <t>RDF CORPORATION</t>
  </si>
  <si>
    <t>Red Valve Company, Inc. DBA R K L</t>
  </si>
  <si>
    <t>1VQY7</t>
  </si>
  <si>
    <t>S.P.E.P. ACQUISITION CORP. DBA</t>
  </si>
  <si>
    <t>4PUW1</t>
  </si>
  <si>
    <t>VECTOR CONTROLS, INC.</t>
  </si>
  <si>
    <t>SOUNDCOAT COMPANY, INC, THE</t>
  </si>
  <si>
    <t>U. S. Postal Service</t>
  </si>
  <si>
    <t>Social Security Administration</t>
  </si>
  <si>
    <t>Direct Operations Center</t>
  </si>
  <si>
    <t>Wilkes-Barre, PA 18769-0001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</si>
</sst>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0"/>
    <numFmt numFmtId="165" formatCode="_(&quot;$&quot;* #,##0.000_);_(&quot;$&quot;* \(#,##0.000\);_(&quot;$&quot;* &quot;-&quot;???_);_(@_)"/>
    <numFmt numFmtId="166" formatCode="0000"/>
  </numFmts>
  <fonts count="6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Verdana"/>
      <family val="2"/>
    </font>
    <font>
      <sz val="13"/>
      <color rgb="FF800000"/>
      <name val="Calibri"/>
      <family val="2"/>
      <scheme val="minor"/>
    </font>
    <font>
      <u/>
      <sz val="11"/>
      <color theme="10"/>
      <name val="Calibri"/>
      <family val="2"/>
    </font>
    <font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rgb="FF000000"/>
      <name val="Verdana"/>
      <family val="2"/>
    </font>
    <font>
      <sz val="7"/>
      <color rgb="FF000033"/>
      <name val="Verdana"/>
      <family val="2"/>
    </font>
    <font>
      <b/>
      <sz val="16.5"/>
      <color rgb="FF333333"/>
      <name val="Inherit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2"/>
      <color theme="10"/>
      <name val="Calibri"/>
      <family val="2"/>
    </font>
    <font>
      <b/>
      <sz val="11"/>
      <color rgb="FF000033"/>
      <name val="Verdana"/>
      <family val="2"/>
    </font>
    <font>
      <b/>
      <sz val="7"/>
      <color rgb="FF000000"/>
      <name val="Verdana"/>
      <family val="2"/>
    </font>
    <font>
      <sz val="10"/>
      <color rgb="FF000033"/>
      <name val="Verdana"/>
      <family val="2"/>
    </font>
    <font>
      <sz val="11"/>
      <color rgb="FF00B0F0"/>
      <name val="Calibri"/>
      <family val="2"/>
      <scheme val="minor"/>
    </font>
    <font>
      <b/>
      <sz val="10"/>
      <color rgb="FF000033"/>
      <name val="Verdana"/>
      <family val="2"/>
    </font>
    <font>
      <sz val="11"/>
      <color rgb="FF000033"/>
      <name val="Verdana"/>
      <family val="2"/>
    </font>
    <font>
      <sz val="11"/>
      <color rgb="FF00B050"/>
      <name val="Calibri"/>
      <family val="2"/>
      <scheme val="minor"/>
    </font>
    <font>
      <sz val="12"/>
      <color rgb="FF000000"/>
      <name val="Arial"/>
      <family val="2"/>
    </font>
    <font>
      <vertAlign val="subscript"/>
      <sz val="12"/>
      <color rgb="FF000000"/>
      <name val="Calibri"/>
      <family val="2"/>
    </font>
    <font>
      <vertAlign val="subscript"/>
      <sz val="13"/>
      <color theme="1"/>
      <name val="Segoe UI"/>
      <family val="2"/>
    </font>
    <font>
      <vertAlign val="subscript"/>
      <sz val="13"/>
      <color rgb="FFF4F4F4"/>
      <name val="Segoe UI"/>
      <family val="2"/>
    </font>
    <font>
      <sz val="11"/>
      <color rgb="FF000000"/>
      <name val="Arial"/>
      <family val="2"/>
    </font>
    <font>
      <sz val="12"/>
      <color rgb="FF000033"/>
      <name val="Verdana"/>
      <family val="2"/>
    </font>
    <font>
      <b/>
      <sz val="13"/>
      <color rgb="FF000000"/>
      <name val="Arial"/>
      <family val="2"/>
    </font>
    <font>
      <sz val="11"/>
      <color rgb="FF333333"/>
      <name val="Arial"/>
      <family val="2"/>
    </font>
    <font>
      <u/>
      <sz val="8"/>
      <color rgb="FF3300CC"/>
      <name val="Arial"/>
      <family val="2"/>
    </font>
    <font>
      <sz val="9"/>
      <color rgb="FF212121"/>
      <name val="Segoe UI"/>
      <family val="2"/>
    </font>
    <font>
      <b/>
      <sz val="7"/>
      <color rgb="FF000000"/>
      <name val="Tahoma"/>
      <family val="2"/>
    </font>
    <font>
      <sz val="7"/>
      <color rgb="FF000000"/>
      <name val="Tahoma"/>
      <family val="2"/>
    </font>
    <font>
      <b/>
      <sz val="12"/>
      <color rgb="FFFFFFFF"/>
      <name val="Verdana"/>
      <family val="2"/>
    </font>
    <font>
      <b/>
      <sz val="9"/>
      <color rgb="FF000000"/>
      <name val="Verdana"/>
      <family val="2"/>
    </font>
    <font>
      <sz val="11"/>
      <color theme="9"/>
      <name val="Calibri"/>
      <family val="2"/>
      <scheme val="minor"/>
    </font>
    <font>
      <sz val="10"/>
      <color theme="1"/>
      <name val="Arial"/>
      <family val="2"/>
    </font>
    <font>
      <sz val="11"/>
      <color rgb="FF212121"/>
      <name val="Calibri"/>
      <family val="2"/>
      <scheme val="minor"/>
    </font>
    <font>
      <sz val="8"/>
      <color rgb="FF000033"/>
      <name val="Verdana"/>
      <family val="2"/>
    </font>
    <font>
      <sz val="14"/>
      <color theme="1"/>
      <name val="Calibri"/>
      <family val="2"/>
      <scheme val="minor"/>
    </font>
    <font>
      <sz val="9"/>
      <color rgb="FF0078D7"/>
      <name val="&amp;quot"/>
    </font>
    <font>
      <sz val="11"/>
      <color rgb="FF212121"/>
      <name val="Segoe UI"/>
      <family val="2"/>
    </font>
    <font>
      <sz val="10"/>
      <color theme="1"/>
      <name val="Calibri"/>
      <family val="2"/>
      <scheme val="minor"/>
    </font>
    <font>
      <b/>
      <u/>
      <sz val="9"/>
      <color rgb="FF3300CC"/>
      <name val="Verdana"/>
      <family val="2"/>
    </font>
    <font>
      <b/>
      <sz val="9"/>
      <color rgb="FF00A400"/>
      <name val="Verdana"/>
      <family val="2"/>
    </font>
    <font>
      <sz val="10"/>
      <color rgb="FF0078D7"/>
      <name val="&amp;quot"/>
    </font>
    <font>
      <sz val="10"/>
      <color rgb="FF212121"/>
      <name val="Calibri"/>
      <family val="2"/>
      <scheme val="minor"/>
    </font>
    <font>
      <sz val="7"/>
      <color rgb="FF0078D7"/>
      <name val="&amp;quot"/>
    </font>
    <font>
      <b/>
      <sz val="7"/>
      <color rgb="FF363636"/>
      <name val="&amp;quot"/>
    </font>
    <font>
      <sz val="9"/>
      <color rgb="FF0078D7"/>
      <name val="Segoe UI"/>
      <family val="2"/>
    </font>
    <font>
      <sz val="10"/>
      <color rgb="FF000000"/>
      <name val="Verdana"/>
      <family val="2"/>
    </font>
    <font>
      <sz val="9"/>
      <color rgb="FF666666"/>
      <name val="&amp;quot"/>
    </font>
    <font>
      <sz val="11"/>
      <color rgb="FF000000"/>
      <name val="Times New Roman"/>
      <family val="1"/>
    </font>
    <font>
      <sz val="11"/>
      <color rgb="FF0070C0"/>
      <name val="Calibri"/>
      <family val="2"/>
      <scheme val="minor"/>
    </font>
    <font>
      <b/>
      <sz val="16"/>
      <color rgb="FF000000"/>
      <name val="Arial"/>
      <family val="2"/>
    </font>
    <font>
      <b/>
      <sz val="12"/>
      <color rgb="FF212121"/>
      <name val="Segoe UI"/>
      <family val="2"/>
    </font>
    <font>
      <sz val="12"/>
      <color rgb="FF212121"/>
      <name val="Segoe UI"/>
      <family val="2"/>
    </font>
    <font>
      <sz val="11"/>
      <color rgb="FF000033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0F0F0"/>
        <bgColor indexed="64"/>
      </patternFill>
    </fill>
    <fill>
      <patternFill patternType="solid">
        <fgColor rgb="FFFEFFD7"/>
        <bgColor indexed="64"/>
      </patternFill>
    </fill>
  </fills>
  <borders count="19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A9A9A9"/>
      </left>
      <right/>
      <top style="medium">
        <color rgb="FFA9A9A9"/>
      </top>
      <bottom style="medium">
        <color rgb="FFA9A9A9"/>
      </bottom>
      <diagonal/>
    </border>
    <border>
      <left/>
      <right style="medium">
        <color rgb="FFA9A9A9"/>
      </right>
      <top style="medium">
        <color rgb="FFA9A9A9"/>
      </top>
      <bottom style="medium">
        <color rgb="FFA9A9A9"/>
      </bottom>
      <diagonal/>
    </border>
    <border>
      <left style="medium">
        <color rgb="FF3C4B78"/>
      </left>
      <right style="medium">
        <color rgb="FF3C4B78"/>
      </right>
      <top style="medium">
        <color rgb="FF3C4B78"/>
      </top>
      <bottom style="medium">
        <color rgb="FF3C4B78"/>
      </bottom>
      <diagonal/>
    </border>
  </borders>
  <cellStyleXfs count="4">
    <xf numFmtId="0" fontId="0" fillId="0" borderId="0"/>
    <xf numFmtId="44" fontId="1" fillId="0" borderId="0"/>
    <xf numFmtId="0" fontId="6" fillId="0" borderId="0">
      <alignment vertical="top"/>
      <protection locked="0"/>
    </xf>
    <xf numFmtId="0" fontId="1" fillId="0" borderId="0"/>
  </cellStyleXfs>
  <cellXfs count="223">
    <xf numFmtId="0" fontId="0" fillId="0" borderId="0" xfId="0"/>
    <xf numFmtId="44" fontId="0" fillId="0" borderId="0" xfId="1" applyFont="1"/>
    <xf numFmtId="0" fontId="2" fillId="0" borderId="0" xfId="0" applyFont="1"/>
    <xf numFmtId="0" fontId="4" fillId="0" borderId="0" xfId="0" applyFont="1"/>
    <xf numFmtId="0" fontId="0" fillId="2" borderId="0" xfId="0" applyFill="1"/>
    <xf numFmtId="44" fontId="0" fillId="2" borderId="0" xfId="1" applyFont="1" applyFill="1"/>
    <xf numFmtId="14" fontId="0" fillId="0" borderId="0" xfId="0" applyNumberFormat="1"/>
    <xf numFmtId="0" fontId="3" fillId="0" borderId="0" xfId="0" applyFont="1"/>
    <xf numFmtId="0" fontId="5" fillId="0" borderId="0" xfId="0" applyFont="1"/>
    <xf numFmtId="8" fontId="0" fillId="0" borderId="0" xfId="0" applyNumberFormat="1"/>
    <xf numFmtId="0" fontId="6" fillId="0" borderId="0" xfId="2" applyAlignment="1" applyProtection="1"/>
    <xf numFmtId="44" fontId="0" fillId="0" borderId="0" xfId="0" applyNumberFormat="1"/>
    <xf numFmtId="49" fontId="3" fillId="0" borderId="0" xfId="0" applyNumberFormat="1" applyFont="1"/>
    <xf numFmtId="49" fontId="0" fillId="0" borderId="0" xfId="0" applyNumberFormat="1"/>
    <xf numFmtId="164" fontId="0" fillId="0" borderId="0" xfId="0" applyNumberFormat="1"/>
    <xf numFmtId="0" fontId="0" fillId="0" borderId="0" xfId="0" quotePrefix="1"/>
    <xf numFmtId="0" fontId="2" fillId="0" borderId="0" xfId="0" quotePrefix="1" applyFont="1"/>
    <xf numFmtId="49" fontId="0" fillId="0" borderId="0" xfId="0" quotePrefix="1" applyNumberFormat="1"/>
    <xf numFmtId="0" fontId="8" fillId="0" borderId="0" xfId="0" applyFont="1"/>
    <xf numFmtId="0" fontId="9" fillId="0" borderId="0" xfId="0" quotePrefix="1" applyFont="1"/>
    <xf numFmtId="49" fontId="6" fillId="3" borderId="1" xfId="2" applyNumberFormat="1" applyFill="1" applyBorder="1" applyAlignment="1" applyProtection="1">
      <alignment vertical="top" wrapText="1"/>
    </xf>
    <xf numFmtId="49" fontId="7" fillId="0" borderId="0" xfId="0" quotePrefix="1" applyNumberFormat="1" applyFont="1"/>
    <xf numFmtId="49" fontId="11" fillId="0" borderId="0" xfId="0" applyNumberFormat="1" applyFont="1"/>
    <xf numFmtId="0" fontId="12" fillId="0" borderId="0" xfId="0" applyFont="1"/>
    <xf numFmtId="10" fontId="0" fillId="0" borderId="0" xfId="3" applyNumberFormat="1" applyFont="1"/>
    <xf numFmtId="0" fontId="0" fillId="4" borderId="0" xfId="0" applyFill="1"/>
    <xf numFmtId="44" fontId="0" fillId="2" borderId="0" xfId="0" applyNumberFormat="1" applyFill="1"/>
    <xf numFmtId="0" fontId="3" fillId="0" borderId="0" xfId="0" applyFont="1" applyAlignment="1">
      <alignment wrapText="1"/>
    </xf>
    <xf numFmtId="0" fontId="0" fillId="6" borderId="0" xfId="0" applyFill="1"/>
    <xf numFmtId="0" fontId="13" fillId="0" borderId="0" xfId="0" applyFont="1"/>
    <xf numFmtId="0" fontId="12" fillId="4" borderId="0" xfId="0" applyFont="1" applyFill="1"/>
    <xf numFmtId="14" fontId="12" fillId="0" borderId="0" xfId="0" applyNumberFormat="1" applyFont="1"/>
    <xf numFmtId="44" fontId="12" fillId="0" borderId="0" xfId="1" applyFont="1"/>
    <xf numFmtId="8" fontId="12" fillId="0" borderId="0" xfId="0" applyNumberFormat="1" applyFont="1"/>
    <xf numFmtId="44" fontId="12" fillId="2" borderId="0" xfId="1" applyFont="1" applyFill="1"/>
    <xf numFmtId="44" fontId="12" fillId="0" borderId="0" xfId="0" applyNumberFormat="1" applyFont="1"/>
    <xf numFmtId="44" fontId="12" fillId="2" borderId="0" xfId="0" applyNumberFormat="1" applyFont="1" applyFill="1"/>
    <xf numFmtId="0" fontId="12" fillId="5" borderId="0" xfId="0" applyFont="1" applyFill="1"/>
    <xf numFmtId="0" fontId="12" fillId="6" borderId="0" xfId="0" applyFont="1" applyFill="1"/>
    <xf numFmtId="0" fontId="14" fillId="0" borderId="0" xfId="0" applyFont="1"/>
    <xf numFmtId="44" fontId="14" fillId="0" borderId="0" xfId="1" applyFont="1"/>
    <xf numFmtId="44" fontId="14" fillId="0" borderId="0" xfId="0" applyNumberFormat="1" applyFont="1"/>
    <xf numFmtId="0" fontId="15" fillId="0" borderId="0" xfId="0" applyFont="1"/>
    <xf numFmtId="0" fontId="14" fillId="0" borderId="2" xfId="0" applyFont="1" applyBorder="1"/>
    <xf numFmtId="44" fontId="14" fillId="0" borderId="3" xfId="1" applyFont="1" applyBorder="1"/>
    <xf numFmtId="14" fontId="14" fillId="0" borderId="8" xfId="0" applyNumberFormat="1" applyFont="1" applyBorder="1"/>
    <xf numFmtId="0" fontId="14" fillId="0" borderId="4" xfId="0" applyFont="1" applyBorder="1"/>
    <xf numFmtId="0" fontId="14" fillId="0" borderId="5" xfId="0" applyFont="1" applyBorder="1"/>
    <xf numFmtId="14" fontId="14" fillId="0" borderId="0" xfId="0" applyNumberFormat="1" applyFont="1"/>
    <xf numFmtId="44" fontId="14" fillId="0" borderId="5" xfId="1" applyFont="1" applyBorder="1"/>
    <xf numFmtId="0" fontId="14" fillId="0" borderId="6" xfId="0" applyFont="1" applyBorder="1"/>
    <xf numFmtId="14" fontId="14" fillId="0" borderId="9" xfId="0" applyNumberFormat="1" applyFont="1" applyBorder="1"/>
    <xf numFmtId="44" fontId="14" fillId="0" borderId="7" xfId="1" applyFont="1" applyBorder="1"/>
    <xf numFmtId="0" fontId="14" fillId="0" borderId="7" xfId="0" applyFont="1" applyBorder="1"/>
    <xf numFmtId="0" fontId="14" fillId="0" borderId="10" xfId="0" applyFont="1" applyBorder="1"/>
    <xf numFmtId="44" fontId="14" fillId="0" borderId="11" xfId="1" applyFont="1" applyBorder="1"/>
    <xf numFmtId="0" fontId="15" fillId="0" borderId="2" xfId="0" applyFont="1" applyBorder="1"/>
    <xf numFmtId="0" fontId="15" fillId="0" borderId="8" xfId="0" applyFont="1" applyBorder="1"/>
    <xf numFmtId="0" fontId="15" fillId="0" borderId="3" xfId="0" applyFont="1" applyBorder="1"/>
    <xf numFmtId="44" fontId="14" fillId="0" borderId="6" xfId="1" applyFont="1" applyBorder="1"/>
    <xf numFmtId="44" fontId="14" fillId="0" borderId="9" xfId="1" applyFont="1" applyBorder="1"/>
    <xf numFmtId="44" fontId="0" fillId="4" borderId="0" xfId="1" applyFont="1" applyFill="1"/>
    <xf numFmtId="44" fontId="0" fillId="4" borderId="0" xfId="0" applyNumberFormat="1" applyFill="1"/>
    <xf numFmtId="8" fontId="0" fillId="4" borderId="0" xfId="0" applyNumberFormat="1" applyFill="1"/>
    <xf numFmtId="8" fontId="0" fillId="2" borderId="0" xfId="0" applyNumberFormat="1" applyFill="1"/>
    <xf numFmtId="8" fontId="0" fillId="2" borderId="0" xfId="1" applyNumberFormat="1" applyFont="1" applyFill="1"/>
    <xf numFmtId="0" fontId="8" fillId="2" borderId="0" xfId="0" applyFont="1" applyFill="1"/>
    <xf numFmtId="0" fontId="16" fillId="0" borderId="0" xfId="0" applyFont="1"/>
    <xf numFmtId="49" fontId="8" fillId="0" borderId="0" xfId="0" applyNumberFormat="1" applyFont="1"/>
    <xf numFmtId="49" fontId="8" fillId="2" borderId="0" xfId="0" applyNumberFormat="1" applyFont="1" applyFill="1"/>
    <xf numFmtId="4" fontId="0" fillId="0" borderId="0" xfId="0" applyNumberFormat="1"/>
    <xf numFmtId="49" fontId="8" fillId="7" borderId="0" xfId="0" applyNumberFormat="1" applyFont="1" applyFill="1"/>
    <xf numFmtId="0" fontId="0" fillId="8" borderId="0" xfId="0" applyFill="1"/>
    <xf numFmtId="0" fontId="0" fillId="7" borderId="0" xfId="0" applyFill="1"/>
    <xf numFmtId="0" fontId="7" fillId="7" borderId="0" xfId="0" applyFont="1" applyFill="1"/>
    <xf numFmtId="0" fontId="7" fillId="0" borderId="0" xfId="0" applyFont="1"/>
    <xf numFmtId="0" fontId="10" fillId="0" borderId="0" xfId="0" applyFont="1"/>
    <xf numFmtId="0" fontId="18" fillId="0" borderId="0" xfId="0" applyFont="1"/>
    <xf numFmtId="8" fontId="0" fillId="5" borderId="0" xfId="0" applyNumberFormat="1" applyFill="1"/>
    <xf numFmtId="0" fontId="19" fillId="0" borderId="0" xfId="0" applyFont="1"/>
    <xf numFmtId="0" fontId="20" fillId="0" borderId="0" xfId="0" applyFont="1"/>
    <xf numFmtId="0" fontId="17" fillId="2" borderId="0" xfId="0" applyFont="1" applyFill="1"/>
    <xf numFmtId="0" fontId="7" fillId="2" borderId="0" xfId="0" applyFont="1" applyFill="1"/>
    <xf numFmtId="0" fontId="21" fillId="0" borderId="0" xfId="0" applyFont="1"/>
    <xf numFmtId="44" fontId="0" fillId="9" borderId="0" xfId="1" applyFont="1" applyFill="1"/>
    <xf numFmtId="0" fontId="22" fillId="0" borderId="0" xfId="2" applyFont="1" applyAlignment="1" applyProtection="1"/>
    <xf numFmtId="0" fontId="22" fillId="0" borderId="0" xfId="2" applyFont="1" applyAlignment="1" applyProtection="1">
      <alignment wrapText="1"/>
    </xf>
    <xf numFmtId="0" fontId="23" fillId="0" borderId="0" xfId="0" applyFont="1"/>
    <xf numFmtId="0" fontId="24" fillId="0" borderId="0" xfId="0" applyFont="1"/>
    <xf numFmtId="0" fontId="25" fillId="0" borderId="0" xfId="0" applyFont="1"/>
    <xf numFmtId="0" fontId="26" fillId="0" borderId="0" xfId="0" applyFont="1"/>
    <xf numFmtId="0" fontId="8" fillId="0" borderId="0" xfId="0" quotePrefix="1" applyFont="1"/>
    <xf numFmtId="0" fontId="7" fillId="4" borderId="0" xfId="0" applyFont="1" applyFill="1"/>
    <xf numFmtId="0" fontId="21" fillId="8" borderId="0" xfId="0" applyFont="1" applyFill="1"/>
    <xf numFmtId="14" fontId="8" fillId="2" borderId="0" xfId="0" applyNumberFormat="1" applyFont="1" applyFill="1"/>
    <xf numFmtId="0" fontId="6" fillId="2" borderId="0" xfId="2" applyFill="1" applyAlignment="1" applyProtection="1"/>
    <xf numFmtId="0" fontId="27" fillId="2" borderId="0" xfId="0" applyFont="1" applyFill="1"/>
    <xf numFmtId="164" fontId="0" fillId="7" borderId="0" xfId="0" applyNumberFormat="1" applyFill="1"/>
    <xf numFmtId="44" fontId="0" fillId="7" borderId="0" xfId="1" applyFont="1" applyFill="1"/>
    <xf numFmtId="0" fontId="0" fillId="10" borderId="0" xfId="0" applyFill="1"/>
    <xf numFmtId="0" fontId="21" fillId="4" borderId="0" xfId="0" applyFont="1" applyFill="1"/>
    <xf numFmtId="0" fontId="25" fillId="3" borderId="1" xfId="0" applyFont="1" applyFill="1" applyBorder="1" applyAlignment="1">
      <alignment wrapText="1"/>
    </xf>
    <xf numFmtId="0" fontId="28" fillId="0" borderId="0" xfId="0" applyFont="1"/>
    <xf numFmtId="0" fontId="19" fillId="2" borderId="0" xfId="0" applyFont="1" applyFill="1"/>
    <xf numFmtId="0" fontId="25" fillId="7" borderId="0" xfId="0" applyFont="1" applyFill="1"/>
    <xf numFmtId="0" fontId="25" fillId="2" borderId="0" xfId="0" applyFont="1" applyFill="1"/>
    <xf numFmtId="0" fontId="29" fillId="0" borderId="0" xfId="0" applyFont="1"/>
    <xf numFmtId="44" fontId="29" fillId="0" borderId="0" xfId="1" applyFont="1"/>
    <xf numFmtId="44" fontId="29" fillId="0" borderId="0" xfId="0" applyNumberFormat="1" applyFont="1"/>
    <xf numFmtId="44" fontId="21" fillId="0" borderId="0" xfId="1" applyFont="1"/>
    <xf numFmtId="44" fontId="0" fillId="10" borderId="0" xfId="0" applyNumberFormat="1" applyFill="1"/>
    <xf numFmtId="44" fontId="0" fillId="10" borderId="0" xfId="1" applyFont="1" applyFill="1"/>
    <xf numFmtId="44" fontId="29" fillId="10" borderId="0" xfId="1" applyFont="1" applyFill="1"/>
    <xf numFmtId="8" fontId="0" fillId="10" borderId="0" xfId="0" applyNumberFormat="1" applyFill="1"/>
    <xf numFmtId="44" fontId="0" fillId="8" borderId="0" xfId="0" applyNumberFormat="1" applyFill="1"/>
    <xf numFmtId="44" fontId="29" fillId="10" borderId="0" xfId="0" applyNumberFormat="1" applyFont="1" applyFill="1"/>
    <xf numFmtId="0" fontId="0" fillId="8" borderId="14" xfId="0" applyFill="1" applyBorder="1"/>
    <xf numFmtId="0" fontId="0" fillId="0" borderId="12" xfId="0" applyBorder="1"/>
    <xf numFmtId="0" fontId="3" fillId="0" borderId="12" xfId="0" applyFont="1" applyBorder="1"/>
    <xf numFmtId="14" fontId="0" fillId="0" borderId="12" xfId="0" applyNumberFormat="1" applyBorder="1"/>
    <xf numFmtId="0" fontId="31" fillId="0" borderId="0" xfId="0" applyFont="1"/>
    <xf numFmtId="0" fontId="7" fillId="8" borderId="0" xfId="0" applyFont="1" applyFill="1"/>
    <xf numFmtId="4" fontId="0" fillId="4" borderId="0" xfId="0" applyNumberFormat="1" applyFill="1"/>
    <xf numFmtId="0" fontId="0" fillId="4" borderId="13" xfId="0" applyFill="1" applyBorder="1"/>
    <xf numFmtId="0" fontId="0" fillId="4" borderId="14" xfId="0" applyFill="1" applyBorder="1"/>
    <xf numFmtId="0" fontId="9" fillId="0" borderId="0" xfId="0" applyFont="1"/>
    <xf numFmtId="14" fontId="7" fillId="0" borderId="0" xfId="0" applyNumberFormat="1" applyFont="1"/>
    <xf numFmtId="0" fontId="0" fillId="9" borderId="0" xfId="0" applyFill="1"/>
    <xf numFmtId="0" fontId="3" fillId="0" borderId="14" xfId="0" applyFont="1" applyBorder="1"/>
    <xf numFmtId="10" fontId="0" fillId="2" borderId="0" xfId="3" applyNumberFormat="1" applyFont="1" applyFill="1"/>
    <xf numFmtId="0" fontId="6" fillId="0" borderId="0" xfId="2" quotePrefix="1" applyAlignment="1" applyProtection="1"/>
    <xf numFmtId="0" fontId="0" fillId="0" borderId="0" xfId="0" applyAlignment="1">
      <alignment wrapText="1"/>
    </xf>
    <xf numFmtId="0" fontId="0" fillId="11" borderId="0" xfId="0" applyFill="1"/>
    <xf numFmtId="0" fontId="0" fillId="4" borderId="15" xfId="0" applyFill="1" applyBorder="1"/>
    <xf numFmtId="13" fontId="0" fillId="0" borderId="0" xfId="1" applyNumberFormat="1" applyFont="1"/>
    <xf numFmtId="0" fontId="32" fillId="0" borderId="0" xfId="0" applyFont="1"/>
    <xf numFmtId="16" fontId="0" fillId="0" borderId="0" xfId="0" applyNumberFormat="1"/>
    <xf numFmtId="0" fontId="33" fillId="0" borderId="0" xfId="0" applyFont="1"/>
    <xf numFmtId="0" fontId="34" fillId="0" borderId="0" xfId="0" applyFont="1"/>
    <xf numFmtId="0" fontId="7" fillId="8" borderId="12" xfId="0" applyFont="1" applyFill="1" applyBorder="1"/>
    <xf numFmtId="0" fontId="0" fillId="8" borderId="12" xfId="0" applyFill="1" applyBorder="1"/>
    <xf numFmtId="0" fontId="17" fillId="0" borderId="0" xfId="0" applyFont="1"/>
    <xf numFmtId="0" fontId="7" fillId="12" borderId="0" xfId="0" applyFont="1" applyFill="1"/>
    <xf numFmtId="8" fontId="0" fillId="9" borderId="0" xfId="0" applyNumberFormat="1" applyFill="1"/>
    <xf numFmtId="0" fontId="35" fillId="0" borderId="0" xfId="0" applyFont="1"/>
    <xf numFmtId="10" fontId="0" fillId="4" borderId="0" xfId="3" applyNumberFormat="1" applyFont="1" applyFill="1"/>
    <xf numFmtId="0" fontId="21" fillId="2" borderId="0" xfId="0" applyFont="1" applyFill="1"/>
    <xf numFmtId="0" fontId="36" fillId="0" borderId="0" xfId="0" applyFont="1"/>
    <xf numFmtId="44" fontId="7" fillId="0" borderId="0" xfId="1" applyFont="1"/>
    <xf numFmtId="4" fontId="7" fillId="0" borderId="0" xfId="0" applyNumberFormat="1" applyFont="1"/>
    <xf numFmtId="0" fontId="9" fillId="0" borderId="0" xfId="0" applyFont="1" applyAlignment="1">
      <alignment wrapText="1"/>
    </xf>
    <xf numFmtId="4" fontId="37" fillId="0" borderId="0" xfId="0" applyNumberFormat="1" applyFont="1"/>
    <xf numFmtId="4" fontId="37" fillId="13" borderId="16" xfId="0" applyNumberFormat="1" applyFont="1" applyFill="1" applyBorder="1" applyAlignment="1">
      <alignment horizontal="right" wrapText="1" indent="1"/>
    </xf>
    <xf numFmtId="0" fontId="37" fillId="13" borderId="17" xfId="0" applyFont="1" applyFill="1" applyBorder="1" applyAlignment="1">
      <alignment horizontal="right" wrapText="1" indent="1"/>
    </xf>
    <xf numFmtId="44" fontId="7" fillId="0" borderId="0" xfId="0" applyNumberFormat="1" applyFont="1"/>
    <xf numFmtId="0" fontId="38" fillId="0" borderId="0" xfId="0" applyFont="1"/>
    <xf numFmtId="16" fontId="0" fillId="4" borderId="0" xfId="0" applyNumberFormat="1" applyFill="1"/>
    <xf numFmtId="0" fontId="0" fillId="14" borderId="0" xfId="0" applyFill="1"/>
    <xf numFmtId="0" fontId="39" fillId="0" borderId="0" xfId="0" applyFont="1"/>
    <xf numFmtId="164" fontId="0" fillId="0" borderId="0" xfId="1" applyNumberFormat="1" applyFont="1"/>
    <xf numFmtId="16" fontId="7" fillId="0" borderId="0" xfId="0" applyNumberFormat="1" applyFont="1"/>
    <xf numFmtId="0" fontId="30" fillId="0" borderId="0" xfId="0" quotePrefix="1" applyFont="1"/>
    <xf numFmtId="0" fontId="40" fillId="0" borderId="0" xfId="0" applyFont="1" applyAlignment="1">
      <alignment horizontal="left" wrapText="1"/>
    </xf>
    <xf numFmtId="0" fontId="41" fillId="0" borderId="0" xfId="0" applyFont="1" applyAlignment="1">
      <alignment horizontal="left" wrapText="1"/>
    </xf>
    <xf numFmtId="8" fontId="0" fillId="0" borderId="0" xfId="1" applyNumberFormat="1" applyFont="1"/>
    <xf numFmtId="0" fontId="42" fillId="0" borderId="0" xfId="0" applyFont="1"/>
    <xf numFmtId="0" fontId="43" fillId="0" borderId="0" xfId="0" applyFont="1"/>
    <xf numFmtId="0" fontId="37" fillId="0" borderId="0" xfId="0" applyFont="1" applyAlignment="1">
      <alignment horizontal="left" indent="1"/>
    </xf>
    <xf numFmtId="0" fontId="37" fillId="0" borderId="0" xfId="0" applyFont="1"/>
    <xf numFmtId="44" fontId="44" fillId="0" borderId="0" xfId="0" applyNumberFormat="1" applyFont="1"/>
    <xf numFmtId="44" fontId="45" fillId="0" borderId="0" xfId="1" applyFont="1"/>
    <xf numFmtId="44" fontId="46" fillId="0" borderId="0" xfId="1" applyFont="1"/>
    <xf numFmtId="14" fontId="0" fillId="7" borderId="0" xfId="0" applyNumberFormat="1" applyFill="1"/>
    <xf numFmtId="0" fontId="0" fillId="0" borderId="0" xfId="0" applyAlignment="1">
      <alignment vertical="top"/>
    </xf>
    <xf numFmtId="4" fontId="0" fillId="0" borderId="0" xfId="0" applyNumberFormat="1" applyAlignment="1">
      <alignment horizontal="right" vertical="top"/>
    </xf>
    <xf numFmtId="0" fontId="0" fillId="2" borderId="0" xfId="0" applyFill="1" applyAlignment="1">
      <alignment vertical="top"/>
    </xf>
    <xf numFmtId="0" fontId="0" fillId="4" borderId="0" xfId="0" applyFill="1" applyAlignment="1">
      <alignment vertical="top"/>
    </xf>
    <xf numFmtId="44" fontId="0" fillId="9" borderId="0" xfId="0" applyNumberFormat="1" applyFill="1"/>
    <xf numFmtId="0" fontId="0" fillId="0" borderId="0" xfId="0" applyAlignment="1">
      <alignment vertical="center" wrapText="1"/>
    </xf>
    <xf numFmtId="49" fontId="48" fillId="0" borderId="0" xfId="0" applyNumberFormat="1" applyFont="1"/>
    <xf numFmtId="8" fontId="7" fillId="0" borderId="0" xfId="0" applyNumberFormat="1" applyFont="1"/>
    <xf numFmtId="44" fontId="45" fillId="15" borderId="0" xfId="1" applyFont="1" applyFill="1" applyAlignment="1">
      <alignment horizontal="right" vertical="center" wrapText="1"/>
    </xf>
    <xf numFmtId="0" fontId="6" fillId="0" borderId="0" xfId="2" applyAlignment="1" applyProtection="1">
      <alignment wrapText="1"/>
    </xf>
    <xf numFmtId="0" fontId="49" fillId="0" borderId="0" xfId="0" applyFont="1" applyAlignment="1">
      <alignment horizontal="left" wrapText="1"/>
    </xf>
    <xf numFmtId="0" fontId="50" fillId="0" borderId="0" xfId="0" applyFont="1"/>
    <xf numFmtId="0" fontId="51" fillId="2" borderId="0" xfId="0" applyFont="1" applyFill="1"/>
    <xf numFmtId="0" fontId="52" fillId="16" borderId="18" xfId="0" applyFont="1" applyFill="1" applyBorder="1" applyAlignment="1">
      <alignment horizontal="left" vertical="center" wrapText="1"/>
    </xf>
    <xf numFmtId="0" fontId="53" fillId="16" borderId="18" xfId="0" applyFont="1" applyFill="1" applyBorder="1" applyAlignment="1">
      <alignment horizontal="left" vertical="center" wrapText="1"/>
    </xf>
    <xf numFmtId="0" fontId="51" fillId="0" borderId="0" xfId="0" applyFont="1"/>
    <xf numFmtId="49" fontId="6" fillId="0" borderId="0" xfId="2" applyNumberFormat="1" applyAlignment="1" applyProtection="1"/>
    <xf numFmtId="0" fontId="54" fillId="2" borderId="0" xfId="0" applyFont="1" applyFill="1"/>
    <xf numFmtId="0" fontId="55" fillId="0" borderId="0" xfId="0" applyFont="1"/>
    <xf numFmtId="0" fontId="54" fillId="0" borderId="0" xfId="0" applyFont="1"/>
    <xf numFmtId="0" fontId="51" fillId="0" borderId="0" xfId="0" applyFont="1" applyAlignment="1">
      <alignment wrapText="1"/>
    </xf>
    <xf numFmtId="0" fontId="56" fillId="0" borderId="0" xfId="0" applyFont="1"/>
    <xf numFmtId="0" fontId="0" fillId="2" borderId="0" xfId="0" applyFill="1" applyAlignment="1">
      <alignment wrapText="1"/>
    </xf>
    <xf numFmtId="0" fontId="6" fillId="0" borderId="0" xfId="2" applyAlignment="1" applyProtection="1">
      <alignment horizontal="left" wrapText="1"/>
    </xf>
    <xf numFmtId="0" fontId="58" fillId="0" borderId="0" xfId="0" applyFont="1"/>
    <xf numFmtId="0" fontId="59" fillId="17" borderId="18" xfId="0" applyFont="1" applyFill="1" applyBorder="1" applyAlignment="1">
      <alignment horizontal="center" wrapText="1"/>
    </xf>
    <xf numFmtId="14" fontId="0" fillId="2" borderId="0" xfId="0" applyNumberFormat="1" applyFill="1"/>
    <xf numFmtId="0" fontId="0" fillId="0" borderId="0" xfId="1" applyNumberFormat="1" applyFont="1"/>
    <xf numFmtId="0" fontId="60" fillId="0" borderId="0" xfId="0" applyFont="1" applyAlignment="1">
      <alignment horizontal="left" vertical="center" wrapText="1"/>
    </xf>
    <xf numFmtId="0" fontId="8" fillId="4" borderId="0" xfId="0" applyFont="1" applyFill="1"/>
    <xf numFmtId="0" fontId="61" fillId="2" borderId="0" xfId="0" applyFont="1" applyFill="1"/>
    <xf numFmtId="49" fontId="8" fillId="0" borderId="0" xfId="0" quotePrefix="1" applyNumberFormat="1" applyFont="1"/>
    <xf numFmtId="0" fontId="57" fillId="2" borderId="0" xfId="0" applyFont="1" applyFill="1" applyAlignment="1">
      <alignment horizontal="left" wrapText="1"/>
    </xf>
    <xf numFmtId="14" fontId="46" fillId="0" borderId="0" xfId="1" applyNumberFormat="1" applyFont="1"/>
    <xf numFmtId="49" fontId="17" fillId="0" borderId="0" xfId="0" applyNumberFormat="1" applyFont="1"/>
    <xf numFmtId="0" fontId="62" fillId="0" borderId="0" xfId="0" applyFont="1"/>
    <xf numFmtId="0" fontId="62" fillId="10" borderId="0" xfId="0" applyFont="1" applyFill="1"/>
    <xf numFmtId="17" fontId="20" fillId="0" borderId="0" xfId="0" applyNumberFormat="1" applyFont="1"/>
    <xf numFmtId="14" fontId="0" fillId="0" borderId="0" xfId="1" applyNumberFormat="1" applyFont="1"/>
    <xf numFmtId="17" fontId="3" fillId="0" borderId="0" xfId="0" applyNumberFormat="1" applyFont="1"/>
    <xf numFmtId="165" fontId="0" fillId="0" borderId="0" xfId="0" applyNumberFormat="1"/>
    <xf numFmtId="0" fontId="47" fillId="0" borderId="0" xfId="0" applyFont="1"/>
    <xf numFmtId="0" fontId="63" fillId="0" borderId="0" xfId="0" applyFont="1"/>
    <xf numFmtId="0" fontId="64" fillId="0" borderId="0" xfId="0" applyFont="1"/>
    <xf numFmtId="0" fontId="65" fillId="0" borderId="0" xfId="0" applyFont="1"/>
    <xf numFmtId="44" fontId="3" fillId="0" borderId="0" xfId="1" applyFont="1"/>
    <xf numFmtId="166" fontId="0" fillId="0" borderId="0" xfId="0" applyNumberFormat="1"/>
    <xf numFmtId="166" fontId="3" fillId="0" borderId="0" xfId="0" applyNumberFormat="1" applyFont="1"/>
    <xf numFmtId="166" fontId="7" fillId="0" borderId="0" xfId="0" applyNumberFormat="1" applyFont="1"/>
    <xf numFmtId="0" fontId="66" fillId="0" borderId="0" xfId="0" applyFont="1"/>
  </cellXfs>
  <cellStyles count="4">
    <cellStyle name="Currency" xfId="1" builtinId="4"/>
    <cellStyle name="Hyperlink" xfId="2" builtinId="8"/>
    <cellStyle name="Normal" xfId="0" builtinId="0"/>
    <cellStyle name="Percent" xfId="3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neco.navy.mil/secure/register/login.aspx?soln=SPMYM217Q0260" TargetMode="External"/></Relationships>
</file>

<file path=xl/worksheets/_rels/sheet17.xml.rels><?xml version="1.0" encoding="UTF-8" standalone="yes"?>
<Relationships xmlns="http://schemas.openxmlformats.org/package/2006/relationships"><Relationship Id="rId13" Type="http://schemas.openxmlformats.org/officeDocument/2006/relationships/hyperlink" Target="mailto:srobinson@connectronicscorp.com" TargetMode="External"/><Relationship Id="rId18" Type="http://schemas.openxmlformats.org/officeDocument/2006/relationships/hyperlink" Target="mailto:mikep@peerlessusa.com" TargetMode="External"/><Relationship Id="rId26" Type="http://schemas.openxmlformats.org/officeDocument/2006/relationships/hyperlink" Target="mailto:davepatrick@generaldevices.com" TargetMode="External"/><Relationship Id="rId39" Type="http://schemas.openxmlformats.org/officeDocument/2006/relationships/hyperlink" Target="mailto:kdrewelow@miradaresearch.com" TargetMode="External"/><Relationship Id="rId21" Type="http://schemas.openxmlformats.org/officeDocument/2006/relationships/hyperlink" Target="mailto:bsheffield@entwistleco.com" TargetMode="External"/><Relationship Id="rId34" Type="http://schemas.openxmlformats.org/officeDocument/2006/relationships/hyperlink" Target="mailto:ksmith@brandel-stephens.com" TargetMode="External"/><Relationship Id="rId42" Type="http://schemas.openxmlformats.org/officeDocument/2006/relationships/hyperlink" Target="mailto:partscpp@konecranes.com" TargetMode="External"/><Relationship Id="rId47" Type="http://schemas.openxmlformats.org/officeDocument/2006/relationships/hyperlink" Target="mailto:sales@cttinc.com" TargetMode="External"/><Relationship Id="rId50" Type="http://schemas.openxmlformats.org/officeDocument/2006/relationships/hyperlink" Target="mailto:tina.lopez@newport.com" TargetMode="External"/><Relationship Id="rId55" Type="http://schemas.openxmlformats.org/officeDocument/2006/relationships/hyperlink" Target="mailto:brenze@pgcontrols.com" TargetMode="External"/><Relationship Id="rId63" Type="http://schemas.openxmlformats.org/officeDocument/2006/relationships/hyperlink" Target="mailto:kristin@microlambda.com" TargetMode="External"/><Relationship Id="rId68" Type="http://schemas.openxmlformats.org/officeDocument/2006/relationships/hyperlink" Target="mailto:cnotaro@wems.com" TargetMode="External"/><Relationship Id="rId76" Type="http://schemas.openxmlformats.org/officeDocument/2006/relationships/hyperlink" Target="mailto:ht.navymail@xyleminc.com" TargetMode="External"/><Relationship Id="rId84" Type="http://schemas.openxmlformats.org/officeDocument/2006/relationships/hyperlink" Target="mailto:davem@xenotronix.com" TargetMode="External"/><Relationship Id="rId89" Type="http://schemas.openxmlformats.org/officeDocument/2006/relationships/hyperlink" Target="mailto:ginal@ambco.net" TargetMode="External"/><Relationship Id="rId7" Type="http://schemas.openxmlformats.org/officeDocument/2006/relationships/hyperlink" Target="mailto:ksoares@atrenne-cs.com" TargetMode="External"/><Relationship Id="rId71" Type="http://schemas.openxmlformats.org/officeDocument/2006/relationships/hyperlink" Target="mailto:vbanks@zistos.com" TargetMode="External"/><Relationship Id="rId92" Type="http://schemas.openxmlformats.org/officeDocument/2006/relationships/hyperlink" Target="mailto:sales@avon-aef.com" TargetMode="External"/><Relationship Id="rId2" Type="http://schemas.openxmlformats.org/officeDocument/2006/relationships/hyperlink" Target="mailto:bserenson@airexrubber.com" TargetMode="External"/><Relationship Id="rId16" Type="http://schemas.openxmlformats.org/officeDocument/2006/relationships/hyperlink" Target="mailto:paulk@datadelay.com" TargetMode="External"/><Relationship Id="rId29" Type="http://schemas.openxmlformats.org/officeDocument/2006/relationships/hyperlink" Target="mailto:sales@gouldvalve.com" TargetMode="External"/><Relationship Id="rId11" Type="http://schemas.openxmlformats.org/officeDocument/2006/relationships/hyperlink" Target="mailto:kmorse@applebeechurch.com" TargetMode="External"/><Relationship Id="rId24" Type="http://schemas.openxmlformats.org/officeDocument/2006/relationships/hyperlink" Target="mailto:kmartin@tencarva.com" TargetMode="External"/><Relationship Id="rId32" Type="http://schemas.openxmlformats.org/officeDocument/2006/relationships/hyperlink" Target="mailto:kbriersmith@hydroair.net" TargetMode="External"/><Relationship Id="rId37" Type="http://schemas.openxmlformats.org/officeDocument/2006/relationships/hyperlink" Target="mailto:tbishop@marway.com" TargetMode="External"/><Relationship Id="rId40" Type="http://schemas.openxmlformats.org/officeDocument/2006/relationships/hyperlink" Target="mailto:elainerobles@moldeddevices.com" TargetMode="External"/><Relationship Id="rId45" Type="http://schemas.openxmlformats.org/officeDocument/2006/relationships/hyperlink" Target="mailto:sales@spartonre.com" TargetMode="External"/><Relationship Id="rId53" Type="http://schemas.openxmlformats.org/officeDocument/2006/relationships/hyperlink" Target="mailto:darlapotter@fluidflow.com" TargetMode="External"/><Relationship Id="rId58" Type="http://schemas.openxmlformats.org/officeDocument/2006/relationships/hyperlink" Target="mailto:mps@hascoinc.net" TargetMode="External"/><Relationship Id="rId66" Type="http://schemas.openxmlformats.org/officeDocument/2006/relationships/hyperlink" Target="mailto:tim.smith@timesmicro.com" TargetMode="External"/><Relationship Id="rId74" Type="http://schemas.openxmlformats.org/officeDocument/2006/relationships/hyperlink" Target="mailto:sales@cole-switches.com" TargetMode="External"/><Relationship Id="rId79" Type="http://schemas.openxmlformats.org/officeDocument/2006/relationships/hyperlink" Target="mailto:bmoore@arc-tech.com" TargetMode="External"/><Relationship Id="rId87" Type="http://schemas.openxmlformats.org/officeDocument/2006/relationships/hyperlink" Target="mailto:ajs@edifax.com" TargetMode="External"/><Relationship Id="rId5" Type="http://schemas.openxmlformats.org/officeDocument/2006/relationships/hyperlink" Target="mailto:info@armelelectronics.com" TargetMode="External"/><Relationship Id="rId61" Type="http://schemas.openxmlformats.org/officeDocument/2006/relationships/hyperlink" Target="mailto:sales@ruland.com%3E" TargetMode="External"/><Relationship Id="rId82" Type="http://schemas.openxmlformats.org/officeDocument/2006/relationships/hyperlink" Target="mailto:lcalderon@sierramonitor.com" TargetMode="External"/><Relationship Id="rId90" Type="http://schemas.openxmlformats.org/officeDocument/2006/relationships/hyperlink" Target="mailto:sales@instrumart.com," TargetMode="External"/><Relationship Id="rId19" Type="http://schemas.openxmlformats.org/officeDocument/2006/relationships/hyperlink" Target="mailto:ccpressureusa@ge.com" TargetMode="External"/><Relationship Id="rId14" Type="http://schemas.openxmlformats.org/officeDocument/2006/relationships/hyperlink" Target="mailto:sales@cole-switches.com" TargetMode="External"/><Relationship Id="rId22" Type="http://schemas.openxmlformats.org/officeDocument/2006/relationships/hyperlink" Target="mailto:rgeisz@essexind.com" TargetMode="External"/><Relationship Id="rId27" Type="http://schemas.openxmlformats.org/officeDocument/2006/relationships/hyperlink" Target="mailto:gregs@general-rubber.com" TargetMode="External"/><Relationship Id="rId30" Type="http://schemas.openxmlformats.org/officeDocument/2006/relationships/hyperlink" Target="mailto:sales@hantech.com" TargetMode="External"/><Relationship Id="rId35" Type="http://schemas.openxmlformats.org/officeDocument/2006/relationships/hyperlink" Target="mailto:terie.briones@kulite.com" TargetMode="External"/><Relationship Id="rId43" Type="http://schemas.openxmlformats.org/officeDocument/2006/relationships/hyperlink" Target="mailto:partsairtusa@munters.com" TargetMode="External"/><Relationship Id="rId48" Type="http://schemas.openxmlformats.org/officeDocument/2006/relationships/hyperlink" Target="mailto:parts@KTSDI.com" TargetMode="External"/><Relationship Id="rId56" Type="http://schemas.openxmlformats.org/officeDocument/2006/relationships/hyperlink" Target="mailto:sales@preeceinc.com" TargetMode="External"/><Relationship Id="rId64" Type="http://schemas.openxmlformats.org/officeDocument/2006/relationships/hyperlink" Target="mailto:us.quotes@us.spiraxsarco.com" TargetMode="External"/><Relationship Id="rId69" Type="http://schemas.openxmlformats.org/officeDocument/2006/relationships/hyperlink" Target="mailto:deanna.howell@wesconcontrols.com" TargetMode="External"/><Relationship Id="rId77" Type="http://schemas.openxmlformats.org/officeDocument/2006/relationships/hyperlink" Target="mailto:sales@highpressure.com" TargetMode="External"/><Relationship Id="rId8" Type="http://schemas.openxmlformats.org/officeDocument/2006/relationships/hyperlink" Target="mailto:crystal.bryant@pccairframe.com" TargetMode="External"/><Relationship Id="rId51" Type="http://schemas.openxmlformats.org/officeDocument/2006/relationships/hyperlink" Target="mailto:calvin.duplechin@doverautomation.com" TargetMode="External"/><Relationship Id="rId72" Type="http://schemas.openxmlformats.org/officeDocument/2006/relationships/hyperlink" Target="mailto:elaine.dufrene@macgregor.com" TargetMode="External"/><Relationship Id="rId80" Type="http://schemas.openxmlformats.org/officeDocument/2006/relationships/hyperlink" Target="mailto:DGeren@indeeco.com" TargetMode="External"/><Relationship Id="rId85" Type="http://schemas.openxmlformats.org/officeDocument/2006/relationships/hyperlink" Target="mailto:sgalla@worldmagnetics.com" TargetMode="External"/><Relationship Id="rId93" Type="http://schemas.openxmlformats.org/officeDocument/2006/relationships/hyperlink" Target="mailto:dewan.watts@avon-rubber.com" TargetMode="External"/><Relationship Id="rId3" Type="http://schemas.openxmlformats.org/officeDocument/2006/relationships/hyperlink" Target="mailto:erin@newerasalesteam.com" TargetMode="External"/><Relationship Id="rId12" Type="http://schemas.openxmlformats.org/officeDocument/2006/relationships/hyperlink" Target="mailto:Kendra.Mitchell@colfaxfluidhandling.com" TargetMode="External"/><Relationship Id="rId17" Type="http://schemas.openxmlformats.org/officeDocument/2006/relationships/hyperlink" Target="mailto:Nicole.Acevedo@dsi-hums.com" TargetMode="External"/><Relationship Id="rId25" Type="http://schemas.openxmlformats.org/officeDocument/2006/relationships/hyperlink" Target="mailto:customerservice@gai-tronics.com" TargetMode="External"/><Relationship Id="rId33" Type="http://schemas.openxmlformats.org/officeDocument/2006/relationships/hyperlink" Target="mailto:lcerulli@brandel-stephens.com" TargetMode="External"/><Relationship Id="rId38" Type="http://schemas.openxmlformats.org/officeDocument/2006/relationships/hyperlink" Target="mailto:rachelg@millerleaman.com" TargetMode="External"/><Relationship Id="rId46" Type="http://schemas.openxmlformats.org/officeDocument/2006/relationships/hyperlink" Target="mailto:gabrielac@westmarine.com" TargetMode="External"/><Relationship Id="rId59" Type="http://schemas.openxmlformats.org/officeDocument/2006/relationships/hyperlink" Target="mailto:Nancy@kerneng.com" TargetMode="External"/><Relationship Id="rId67" Type="http://schemas.openxmlformats.org/officeDocument/2006/relationships/hyperlink" Target="mailto:gquinlan@philagear.com" TargetMode="External"/><Relationship Id="rId20" Type="http://schemas.openxmlformats.org/officeDocument/2006/relationships/hyperlink" Target="mailto:sbutler@eastwestindustries.com" TargetMode="External"/><Relationship Id="rId41" Type="http://schemas.openxmlformats.org/officeDocument/2006/relationships/hyperlink" Target="mailto:angelinaherrera@moldeddevices.com" TargetMode="External"/><Relationship Id="rId54" Type="http://schemas.openxmlformats.org/officeDocument/2006/relationships/hyperlink" Target="mailto:kjonas@phxlogistics.com" TargetMode="External"/><Relationship Id="rId62" Type="http://schemas.openxmlformats.org/officeDocument/2006/relationships/hyperlink" Target="mailto:la@minicircuits.com" TargetMode="External"/><Relationship Id="rId70" Type="http://schemas.openxmlformats.org/officeDocument/2006/relationships/hyperlink" Target="mailto:sgalla@worldmagnetics.com" TargetMode="External"/><Relationship Id="rId75" Type="http://schemas.openxmlformats.org/officeDocument/2006/relationships/hyperlink" Target="mailto:cathy.eufemia@ultra-msi.com" TargetMode="External"/><Relationship Id="rId83" Type="http://schemas.openxmlformats.org/officeDocument/2006/relationships/hyperlink" Target="mailto:sales@wardwell.com" TargetMode="External"/><Relationship Id="rId88" Type="http://schemas.openxmlformats.org/officeDocument/2006/relationships/hyperlink" Target="mailto:mcroce@wattswater.com" TargetMode="External"/><Relationship Id="rId91" Type="http://schemas.openxmlformats.org/officeDocument/2006/relationships/hyperlink" Target="mailto:twolff@kmparts.com" TargetMode="External"/><Relationship Id="rId1" Type="http://schemas.openxmlformats.org/officeDocument/2006/relationships/hyperlink" Target="mailto:arojas@aerofit.com" TargetMode="External"/><Relationship Id="rId6" Type="http://schemas.openxmlformats.org/officeDocument/2006/relationships/hyperlink" Target="mailto:ksoares@atrenne-cs.com" TargetMode="External"/><Relationship Id="rId15" Type="http://schemas.openxmlformats.org/officeDocument/2006/relationships/hyperlink" Target="mailto:crystal@ametek.com" TargetMode="External"/><Relationship Id="rId23" Type="http://schemas.openxmlformats.org/officeDocument/2006/relationships/hyperlink" Target="mailto:bradley@flowlinevalves.com" TargetMode="External"/><Relationship Id="rId28" Type="http://schemas.openxmlformats.org/officeDocument/2006/relationships/hyperlink" Target="mailto:icarrillo@glenair.com" TargetMode="External"/><Relationship Id="rId36" Type="http://schemas.openxmlformats.org/officeDocument/2006/relationships/hyperlink" Target="mailto:bsparadeo@leddynamics.com" TargetMode="External"/><Relationship Id="rId49" Type="http://schemas.openxmlformats.org/officeDocument/2006/relationships/hyperlink" Target="mailto:rolf.geerdink@mafo.nl" TargetMode="External"/><Relationship Id="rId57" Type="http://schemas.openxmlformats.org/officeDocument/2006/relationships/hyperlink" Target="mailto:sales@procureinc.us" TargetMode="External"/><Relationship Id="rId10" Type="http://schemas.openxmlformats.org/officeDocument/2006/relationships/hyperlink" Target="mailto:DBardsley2@cameron.slb.com" TargetMode="External"/><Relationship Id="rId31" Type="http://schemas.openxmlformats.org/officeDocument/2006/relationships/hyperlink" Target="mailto:us.hiab.parts@hiab.com" TargetMode="External"/><Relationship Id="rId44" Type="http://schemas.openxmlformats.org/officeDocument/2006/relationships/hyperlink" Target="mailto:quote@ni.com" TargetMode="External"/><Relationship Id="rId52" Type="http://schemas.openxmlformats.org/officeDocument/2006/relationships/hyperlink" Target="mailto:sales@pasternack.com" TargetMode="External"/><Relationship Id="rId60" Type="http://schemas.openxmlformats.org/officeDocument/2006/relationships/hyperlink" Target="mailto:Service.RSA@RSA.Rohde-Schwarz.com" TargetMode="External"/><Relationship Id="rId65" Type="http://schemas.openxmlformats.org/officeDocument/2006/relationships/hyperlink" Target="mailto:tim-w@superbrightleds.com" TargetMode="External"/><Relationship Id="rId73" Type="http://schemas.openxmlformats.org/officeDocument/2006/relationships/hyperlink" Target="mailto:dgeren@indeeco.com" TargetMode="External"/><Relationship Id="rId78" Type="http://schemas.openxmlformats.org/officeDocument/2006/relationships/hyperlink" Target="mailto:sales@maurymw.com" TargetMode="External"/><Relationship Id="rId81" Type="http://schemas.openxmlformats.org/officeDocument/2006/relationships/hyperlink" Target="mailto:darlapotter@fluidflow.com" TargetMode="External"/><Relationship Id="rId86" Type="http://schemas.openxmlformats.org/officeDocument/2006/relationships/hyperlink" Target="mailto:cheryl@elastomeric.com" TargetMode="External"/><Relationship Id="rId94" Type="http://schemas.openxmlformats.org/officeDocument/2006/relationships/hyperlink" Target="mailto:jgrainger@filtrationgroup.com" TargetMode="External"/><Relationship Id="rId4" Type="http://schemas.openxmlformats.org/officeDocument/2006/relationships/hyperlink" Target="mailto:tatsuya.koyama@amadamiyachi.com" TargetMode="External"/><Relationship Id="rId9" Type="http://schemas.openxmlformats.org/officeDocument/2006/relationships/hyperlink" Target="mailto:nlandis@amphenol-antennas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ali.kalwar@westsiminc.com" TargetMode="External"/><Relationship Id="rId2" Type="http://schemas.openxmlformats.org/officeDocument/2006/relationships/hyperlink" Target="mailto:disa.global.servicedesk.mbx.eb-ticket-requests@mail.mil" TargetMode="External"/><Relationship Id="rId1" Type="http://schemas.openxmlformats.org/officeDocument/2006/relationships/hyperlink" Target="mailto:ali.kalwar@westsiminc.com" TargetMode="External"/><Relationship Id="rId6" Type="http://schemas.openxmlformats.org/officeDocument/2006/relationships/hyperlink" Target="mailto:ali.kalwar@westsiminc.com" TargetMode="External"/><Relationship Id="rId5" Type="http://schemas.openxmlformats.org/officeDocument/2006/relationships/hyperlink" Target="mailto:ali.kalwar@westsiminc.com" TargetMode="External"/><Relationship Id="rId4" Type="http://schemas.openxmlformats.org/officeDocument/2006/relationships/hyperlink" Target="tel:8004633339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wawf.eb.mil/wawf/xhtml/auth/web/folder/DocumentFolder.xhtml" TargetMode="External"/><Relationship Id="rId1" Type="http://schemas.openxmlformats.org/officeDocument/2006/relationships/hyperlink" Target="https://wawf.eb.mil/wawf/xhtml/auth/web/folder/DocumentFolder.xhtml" TargetMode="External"/></Relationships>
</file>

<file path=xl/worksheets/_rels/sheet8.xml.rels><?xml version="1.0" encoding="UTF-8" standalone="yes"?>
<Relationships xmlns="http://schemas.openxmlformats.org/package/2006/relationships"><Relationship Id="rId13" Type="http://schemas.openxmlformats.org/officeDocument/2006/relationships/hyperlink" Target="mailto:nannette@metrexvalve.com" TargetMode="External"/><Relationship Id="rId18" Type="http://schemas.openxmlformats.org/officeDocument/2006/relationships/hyperlink" Target="mailto:vlangosh@digitran-es.com" TargetMode="External"/><Relationship Id="rId26" Type="http://schemas.openxmlformats.org/officeDocument/2006/relationships/hyperlink" Target="mailto:Bonnie.West@us.tdk-lambda.com" TargetMode="External"/><Relationship Id="rId39" Type="http://schemas.openxmlformats.org/officeDocument/2006/relationships/hyperlink" Target="mailto:hdaffin@biscoind.com" TargetMode="External"/><Relationship Id="rId21" Type="http://schemas.openxmlformats.org/officeDocument/2006/relationships/hyperlink" Target="mailto:bserenson@airexrubber.com" TargetMode="External"/><Relationship Id="rId34" Type="http://schemas.openxmlformats.org/officeDocument/2006/relationships/hyperlink" Target="mailto:sales@procureinc.us" TargetMode="External"/><Relationship Id="rId42" Type="http://schemas.openxmlformats.org/officeDocument/2006/relationships/hyperlink" Target="mailto:sgalla@worldmagnetics.com" TargetMode="External"/><Relationship Id="rId47" Type="http://schemas.openxmlformats.org/officeDocument/2006/relationships/hyperlink" Target="mailto:rachelg@millerleaman.com" TargetMode="External"/><Relationship Id="rId50" Type="http://schemas.openxmlformats.org/officeDocument/2006/relationships/hyperlink" Target="mailto:elainerobles@moldeddevices.com" TargetMode="External"/><Relationship Id="rId55" Type="http://schemas.openxmlformats.org/officeDocument/2006/relationships/hyperlink" Target="mailto:Mbrown@nmc-wollard.com" TargetMode="External"/><Relationship Id="rId63" Type="http://schemas.openxmlformats.org/officeDocument/2006/relationships/hyperlink" Target="mailto:terie.briones@kulite.com" TargetMode="External"/><Relationship Id="rId7" Type="http://schemas.openxmlformats.org/officeDocument/2006/relationships/hyperlink" Target="mailto:darlapotter@fluidflow.com" TargetMode="External"/><Relationship Id="rId2" Type="http://schemas.openxmlformats.org/officeDocument/2006/relationships/hyperlink" Target="mailto:mikep@peerlessusa.com" TargetMode="External"/><Relationship Id="rId16" Type="http://schemas.openxmlformats.org/officeDocument/2006/relationships/hyperlink" Target="mailto:cskipper@us.pepperl-fuchs.com" TargetMode="External"/><Relationship Id="rId29" Type="http://schemas.openxmlformats.org/officeDocument/2006/relationships/hyperlink" Target="mailto:ksoares@atrenne-cs.com" TargetMode="External"/><Relationship Id="rId1" Type="http://schemas.openxmlformats.org/officeDocument/2006/relationships/hyperlink" Target="mailto:mikep@peerlessusa.com" TargetMode="External"/><Relationship Id="rId6" Type="http://schemas.openxmlformats.org/officeDocument/2006/relationships/hyperlink" Target="mailto:la@minicircuits.com" TargetMode="External"/><Relationship Id="rId11" Type="http://schemas.openxmlformats.org/officeDocument/2006/relationships/hyperlink" Target="mailto:sales@pasternack.com" TargetMode="External"/><Relationship Id="rId24" Type="http://schemas.openxmlformats.org/officeDocument/2006/relationships/hyperlink" Target="mailto:srobinson@connectronicscorp.com" TargetMode="External"/><Relationship Id="rId32" Type="http://schemas.openxmlformats.org/officeDocument/2006/relationships/hyperlink" Target="mailto:Sales@TechnaNDT.com" TargetMode="External"/><Relationship Id="rId37" Type="http://schemas.openxmlformats.org/officeDocument/2006/relationships/hyperlink" Target="mailto:cskipper@us.pepperl-fuchs.com" TargetMode="External"/><Relationship Id="rId40" Type="http://schemas.openxmlformats.org/officeDocument/2006/relationships/hyperlink" Target="mailto:calvin.duplechin@doverautomation.com" TargetMode="External"/><Relationship Id="rId45" Type="http://schemas.openxmlformats.org/officeDocument/2006/relationships/hyperlink" Target="mailto:gabrielac@westmarine.com" TargetMode="External"/><Relationship Id="rId53" Type="http://schemas.openxmlformats.org/officeDocument/2006/relationships/hyperlink" Target="mailto:US.QUOTES@US.SPIRAXSARCO.COM" TargetMode="External"/><Relationship Id="rId58" Type="http://schemas.openxmlformats.org/officeDocument/2006/relationships/hyperlink" Target="mailto:sales@preeceinc.com" TargetMode="External"/><Relationship Id="rId66" Type="http://schemas.openxmlformats.org/officeDocument/2006/relationships/hyperlink" Target="mailto:Service.RSA@RSA.Rohde-Schwarz.com" TargetMode="External"/><Relationship Id="rId5" Type="http://schemas.openxmlformats.org/officeDocument/2006/relationships/hyperlink" Target="https://www.dibbs.bsm.dla.mil/RFQ/RFQNsn.aspx?value=5325014622867&amp;category=nsn&amp;Scope=all" TargetMode="External"/><Relationship Id="rId15" Type="http://schemas.openxmlformats.org/officeDocument/2006/relationships/hyperlink" Target="mailto:malcolm.bounds@sci.com" TargetMode="External"/><Relationship Id="rId23" Type="http://schemas.openxmlformats.org/officeDocument/2006/relationships/hyperlink" Target="mailto:taylor.jones@astrodynetdi.com" TargetMode="External"/><Relationship Id="rId28" Type="http://schemas.openxmlformats.org/officeDocument/2006/relationships/hyperlink" Target="mailto:ccpressureusa@ge.com" TargetMode="External"/><Relationship Id="rId36" Type="http://schemas.openxmlformats.org/officeDocument/2006/relationships/hyperlink" Target="mailto:cnotaro@wems.com" TargetMode="External"/><Relationship Id="rId49" Type="http://schemas.openxmlformats.org/officeDocument/2006/relationships/hyperlink" Target="mailto:Service.RSA@RSA.Rohde-Schwarz.com" TargetMode="External"/><Relationship Id="rId57" Type="http://schemas.openxmlformats.org/officeDocument/2006/relationships/hyperlink" Target="mailto:info@inmarsystems.com" TargetMode="External"/><Relationship Id="rId61" Type="http://schemas.openxmlformats.org/officeDocument/2006/relationships/hyperlink" Target="mailto:kmartin@tencarva.com" TargetMode="External"/><Relationship Id="rId10" Type="http://schemas.openxmlformats.org/officeDocument/2006/relationships/hyperlink" Target="mailto:jennifer.ann1.ludwig@jcifederal.com" TargetMode="External"/><Relationship Id="rId19" Type="http://schemas.openxmlformats.org/officeDocument/2006/relationships/hyperlink" Target="mailto:quote@ni.com" TargetMode="External"/><Relationship Id="rId31" Type="http://schemas.openxmlformats.org/officeDocument/2006/relationships/hyperlink" Target="mailto:heather@spartech-south.com" TargetMode="External"/><Relationship Id="rId44" Type="http://schemas.openxmlformats.org/officeDocument/2006/relationships/hyperlink" Target="mailto:parts@KTSDI.com" TargetMode="External"/><Relationship Id="rId52" Type="http://schemas.openxmlformats.org/officeDocument/2006/relationships/hyperlink" Target="mailto:bsparadeo@leddynamics.com" TargetMode="External"/><Relationship Id="rId60" Type="http://schemas.openxmlformats.org/officeDocument/2006/relationships/hyperlink" Target="mailto:arojas@aerofit.com" TargetMode="External"/><Relationship Id="rId65" Type="http://schemas.openxmlformats.org/officeDocument/2006/relationships/hyperlink" Target="mailto:tim.smith@timesmicro.com" TargetMode="External"/><Relationship Id="rId4" Type="http://schemas.openxmlformats.org/officeDocument/2006/relationships/hyperlink" Target="mailto:erin@newerasalesteam.com" TargetMode="External"/><Relationship Id="rId9" Type="http://schemas.openxmlformats.org/officeDocument/2006/relationships/hyperlink" Target="mailto:Anna.Nichols@slmti.com" TargetMode="External"/><Relationship Id="rId14" Type="http://schemas.openxmlformats.org/officeDocument/2006/relationships/hyperlink" Target="mailto:nannette@metrexvalve.com" TargetMode="External"/><Relationship Id="rId22" Type="http://schemas.openxmlformats.org/officeDocument/2006/relationships/hyperlink" Target="mailto:partsairtusa@munters.com" TargetMode="External"/><Relationship Id="rId27" Type="http://schemas.openxmlformats.org/officeDocument/2006/relationships/hyperlink" Target="mailto:Kendra.Mitchell@colfaxfluidhandling.com" TargetMode="External"/><Relationship Id="rId30" Type="http://schemas.openxmlformats.org/officeDocument/2006/relationships/hyperlink" Target="mailto:rgeisz@essexind.com" TargetMode="External"/><Relationship Id="rId35" Type="http://schemas.openxmlformats.org/officeDocument/2006/relationships/hyperlink" Target="mailto:brenze@pgcontrols.com" TargetMode="External"/><Relationship Id="rId43" Type="http://schemas.openxmlformats.org/officeDocument/2006/relationships/hyperlink" Target="mailto:Nicole.Acevedo@dsi-hums.com" TargetMode="External"/><Relationship Id="rId48" Type="http://schemas.openxmlformats.org/officeDocument/2006/relationships/hyperlink" Target="mailto:Cyndee@inmarsystems.com" TargetMode="External"/><Relationship Id="rId56" Type="http://schemas.openxmlformats.org/officeDocument/2006/relationships/hyperlink" Target="mailto:mcalvo@acumentrics.com" TargetMode="External"/><Relationship Id="rId64" Type="http://schemas.openxmlformats.org/officeDocument/2006/relationships/hyperlink" Target="mailto:info@armelelectronics.com" TargetMode="External"/><Relationship Id="rId8" Type="http://schemas.openxmlformats.org/officeDocument/2006/relationships/hyperlink" Target="mailto:sbutler@eastwestindustries.com" TargetMode="External"/><Relationship Id="rId51" Type="http://schemas.openxmlformats.org/officeDocument/2006/relationships/hyperlink" Target="mailto:DBardsley2@cameron.slb.com" TargetMode="External"/><Relationship Id="rId3" Type="http://schemas.openxmlformats.org/officeDocument/2006/relationships/hyperlink" Target="mailto:paulk@datadelay.com" TargetMode="External"/><Relationship Id="rId12" Type="http://schemas.openxmlformats.org/officeDocument/2006/relationships/hyperlink" Target="mailto:liz@flamecorp.com" TargetMode="External"/><Relationship Id="rId17" Type="http://schemas.openxmlformats.org/officeDocument/2006/relationships/hyperlink" Target="mailto:bsheffield@entwistleco.com" TargetMode="External"/><Relationship Id="rId25" Type="http://schemas.openxmlformats.org/officeDocument/2006/relationships/hyperlink" Target="mailto:dorothy.sablan@newport.com" TargetMode="External"/><Relationship Id="rId33" Type="http://schemas.openxmlformats.org/officeDocument/2006/relationships/hyperlink" Target="mailto:kbriersmith@hydroair.net" TargetMode="External"/><Relationship Id="rId38" Type="http://schemas.openxmlformats.org/officeDocument/2006/relationships/hyperlink" Target="mailto:Nancy@kerneng.com" TargetMode="External"/><Relationship Id="rId46" Type="http://schemas.openxmlformats.org/officeDocument/2006/relationships/hyperlink" Target="mailto:nlandis@amphenol-antennas.com" TargetMode="External"/><Relationship Id="rId59" Type="http://schemas.openxmlformats.org/officeDocument/2006/relationships/hyperlink" Target="mailto:lcerulli@brandel-stephens.com" TargetMode="External"/><Relationship Id="rId67" Type="http://schemas.openxmlformats.org/officeDocument/2006/relationships/hyperlink" Target="mailto:cnotaro@wems.com" TargetMode="External"/><Relationship Id="rId20" Type="http://schemas.openxmlformats.org/officeDocument/2006/relationships/hyperlink" Target="mailto:crystal@ametek.com" TargetMode="External"/><Relationship Id="rId41" Type="http://schemas.openxmlformats.org/officeDocument/2006/relationships/hyperlink" Target="mailto:cindyt@westone.com" TargetMode="External"/><Relationship Id="rId54" Type="http://schemas.openxmlformats.org/officeDocument/2006/relationships/hyperlink" Target="mailto:lcerulli@brandel-stephens.com" TargetMode="External"/><Relationship Id="rId62" Type="http://schemas.openxmlformats.org/officeDocument/2006/relationships/hyperlink" Target="mailto:deanna.howell@wesconcontrols.com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mailto:Anna.Nichols@slmti.com" TargetMode="External"/><Relationship Id="rId3" Type="http://schemas.openxmlformats.org/officeDocument/2006/relationships/hyperlink" Target="mailto:paulk@datadelay.com" TargetMode="External"/><Relationship Id="rId7" Type="http://schemas.openxmlformats.org/officeDocument/2006/relationships/hyperlink" Target="mailto:sbutler@eastwestindustries.com" TargetMode="External"/><Relationship Id="rId2" Type="http://schemas.openxmlformats.org/officeDocument/2006/relationships/hyperlink" Target="mailto:mikep@peerlessusa.com" TargetMode="External"/><Relationship Id="rId1" Type="http://schemas.openxmlformats.org/officeDocument/2006/relationships/hyperlink" Target="mailto:mikep@peerlessusa.com" TargetMode="External"/><Relationship Id="rId6" Type="http://schemas.openxmlformats.org/officeDocument/2006/relationships/hyperlink" Target="mailto:darlapotter@fluidflow.com" TargetMode="External"/><Relationship Id="rId5" Type="http://schemas.openxmlformats.org/officeDocument/2006/relationships/hyperlink" Target="mailto:la@minicircuits.com" TargetMode="External"/><Relationship Id="rId10" Type="http://schemas.openxmlformats.org/officeDocument/2006/relationships/hyperlink" Target="mailto:sales@pasternack.com" TargetMode="External"/><Relationship Id="rId4" Type="http://schemas.openxmlformats.org/officeDocument/2006/relationships/hyperlink" Target="mailto:erin@newerasalesteam.com" TargetMode="External"/><Relationship Id="rId9" Type="http://schemas.openxmlformats.org/officeDocument/2006/relationships/hyperlink" Target="mailto:jennifer.ann1.ludwig@jcifedera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2"/>
  <sheetViews>
    <sheetView workbookViewId="0"/>
  </sheetViews>
  <sheetFormatPr defaultRowHeight="15"/>
  <cols>
    <col min="2" max="2" width="14.7109375" bestFit="1" customWidth="1"/>
    <col min="3" max="3" width="22.7109375" customWidth="1"/>
    <col min="4" max="4" width="18.7109375" customWidth="1"/>
    <col min="5" max="5" width="16.28515625" customWidth="1"/>
    <col min="6" max="6" width="13.7109375" customWidth="1"/>
    <col min="7" max="7" width="17.28515625" customWidth="1"/>
    <col min="8" max="8" width="14" customWidth="1"/>
    <col min="9" max="9" width="13.140625" customWidth="1"/>
    <col min="10" max="10" width="12.5703125" customWidth="1"/>
  </cols>
  <sheetData>
    <row r="1" spans="1:14">
      <c r="B1" s="7" t="s">
        <v>0</v>
      </c>
    </row>
    <row r="2" spans="1:14">
      <c r="B2" s="98">
        <v>2000000</v>
      </c>
      <c r="C2" s="73">
        <v>3.2000000000000001E-2</v>
      </c>
      <c r="D2" s="97">
        <f>+B2*C2</f>
        <v>64000</v>
      </c>
      <c r="E2" s="98">
        <f>+B2+D2</f>
        <v>2064000</v>
      </c>
      <c r="F2" s="73">
        <v>1</v>
      </c>
      <c r="G2" s="98">
        <f>+E2*F2</f>
        <v>2064000</v>
      </c>
      <c r="H2" s="98">
        <f>+B2*F2</f>
        <v>2000000</v>
      </c>
      <c r="I2" s="98">
        <f>+G2-H2</f>
        <v>64000</v>
      </c>
    </row>
    <row r="3" spans="1:14">
      <c r="C3">
        <v>4428</v>
      </c>
      <c r="D3">
        <v>0.18</v>
      </c>
      <c r="E3">
        <f>+C3*D3</f>
        <v>797.04</v>
      </c>
      <c r="F3">
        <f>+C3+E3</f>
        <v>5225.04</v>
      </c>
      <c r="G3">
        <v>2</v>
      </c>
      <c r="H3">
        <f>+F3*G3</f>
        <v>10450.08</v>
      </c>
      <c r="I3">
        <f>+C3*G3</f>
        <v>8856</v>
      </c>
      <c r="J3">
        <f>+H3-I3</f>
        <v>1594.08</v>
      </c>
    </row>
    <row r="4" spans="1:14">
      <c r="F4">
        <v>4617</v>
      </c>
      <c r="K4">
        <v>167.11</v>
      </c>
      <c r="L4">
        <v>72</v>
      </c>
      <c r="M4">
        <f>+K4*L4</f>
        <v>12031.920000000002</v>
      </c>
    </row>
    <row r="5" spans="1:14">
      <c r="B5">
        <v>13</v>
      </c>
      <c r="D5" s="1">
        <v>21549132</v>
      </c>
      <c r="E5" s="1">
        <v>20827461</v>
      </c>
      <c r="F5" s="1">
        <f>D5-E5</f>
        <v>721671</v>
      </c>
      <c r="G5" s="24">
        <f>(D5/E5)-1</f>
        <v>3.4649974857713151E-2</v>
      </c>
      <c r="M5">
        <v>18780</v>
      </c>
    </row>
    <row r="6" spans="1:14">
      <c r="B6">
        <v>15</v>
      </c>
      <c r="D6" s="1">
        <v>18819490</v>
      </c>
      <c r="E6" s="1">
        <v>18116278</v>
      </c>
      <c r="F6" s="1">
        <f>D6-E6</f>
        <v>703212</v>
      </c>
      <c r="G6" s="24">
        <f>(D6/E6)-1</f>
        <v>3.8816582523187204E-2</v>
      </c>
      <c r="M6">
        <f>SUM(M4:M5)</f>
        <v>30811.920000000002</v>
      </c>
    </row>
    <row r="7" spans="1:14">
      <c r="A7">
        <v>4481.3500000000004</v>
      </c>
      <c r="B7">
        <v>14</v>
      </c>
      <c r="D7" s="1">
        <v>17683712</v>
      </c>
      <c r="E7" s="1">
        <v>17006805</v>
      </c>
      <c r="F7" s="1">
        <f>D7-E7</f>
        <v>676907</v>
      </c>
      <c r="G7" s="24">
        <f>(D7/E7)-1</f>
        <v>3.9802126266515137E-2</v>
      </c>
      <c r="K7">
        <v>2293.12</v>
      </c>
      <c r="M7">
        <v>40372</v>
      </c>
      <c r="N7">
        <v>3</v>
      </c>
    </row>
    <row r="8" spans="1:14">
      <c r="K8">
        <v>45</v>
      </c>
      <c r="M8">
        <f>+M7-M6</f>
        <v>9560.0799999999981</v>
      </c>
      <c r="N8">
        <f>+M7/N7</f>
        <v>13457.333333333334</v>
      </c>
    </row>
    <row r="9" spans="1:14">
      <c r="G9">
        <v>4002</v>
      </c>
      <c r="K9">
        <f>SUM(K7:K8)</f>
        <v>2338.12</v>
      </c>
    </row>
    <row r="10" spans="1:14">
      <c r="G10">
        <f>SUM(G6:G9)</f>
        <v>4002.0786187087897</v>
      </c>
    </row>
    <row r="11" spans="1:14">
      <c r="B11" s="4">
        <v>2007</v>
      </c>
      <c r="C11" s="5">
        <v>7681247</v>
      </c>
      <c r="D11" s="4">
        <v>0.02</v>
      </c>
      <c r="E11" s="4">
        <f>+C11*D11</f>
        <v>153624.94</v>
      </c>
      <c r="F11" s="4">
        <f>+C11+E11</f>
        <v>7834871.9400000004</v>
      </c>
      <c r="G11" s="4">
        <v>1</v>
      </c>
      <c r="H11" s="4">
        <f>+F11*G11</f>
        <v>7834871.9400000004</v>
      </c>
      <c r="I11" s="4">
        <f>+C11*G11</f>
        <v>7681247</v>
      </c>
      <c r="J11" s="5">
        <f>+H11-I11</f>
        <v>153624.94000000041</v>
      </c>
      <c r="K11" s="4"/>
      <c r="L11">
        <v>39014</v>
      </c>
    </row>
    <row r="12" spans="1:14">
      <c r="B12" s="4">
        <v>2008</v>
      </c>
      <c r="C12" s="5">
        <v>10926526</v>
      </c>
      <c r="D12" s="4">
        <v>5.2999999999999999E-2</v>
      </c>
      <c r="E12" s="4">
        <f>+C12*D12</f>
        <v>579105.87800000003</v>
      </c>
      <c r="F12" s="4">
        <f>+C12+E12</f>
        <v>11505631.878</v>
      </c>
      <c r="G12" s="4">
        <v>1</v>
      </c>
      <c r="H12" s="4">
        <f>+F12*G12</f>
        <v>11505631.878</v>
      </c>
      <c r="I12" s="4">
        <f>+C12*G12</f>
        <v>10926526</v>
      </c>
      <c r="J12" s="5">
        <f>+H12-I12</f>
        <v>579105.87800000049</v>
      </c>
      <c r="K12" s="4"/>
      <c r="L12">
        <v>16051</v>
      </c>
    </row>
    <row r="13" spans="1:14">
      <c r="B13" s="4"/>
      <c r="C13" s="5"/>
      <c r="D13" s="4"/>
      <c r="E13" s="4"/>
      <c r="F13" s="4"/>
      <c r="G13" s="4"/>
      <c r="H13" s="4"/>
      <c r="I13" s="4"/>
      <c r="J13" s="5"/>
      <c r="K13" s="4"/>
      <c r="L13">
        <v>6200</v>
      </c>
    </row>
    <row r="14" spans="1:14">
      <c r="B14" s="4">
        <v>2009</v>
      </c>
      <c r="C14" s="5">
        <v>12558811</v>
      </c>
      <c r="D14" s="4">
        <v>5.6000000000000001E-2</v>
      </c>
      <c r="E14" s="4">
        <f>+C14*D14</f>
        <v>703293.41599999997</v>
      </c>
      <c r="F14" s="4">
        <f>+C14+E14</f>
        <v>13262104.415999999</v>
      </c>
      <c r="G14" s="4">
        <v>1</v>
      </c>
      <c r="H14" s="4">
        <f>+F14*G14</f>
        <v>13262104.415999999</v>
      </c>
      <c r="I14" s="4">
        <f>+C14*G14</f>
        <v>12558811</v>
      </c>
      <c r="J14" s="5">
        <f>+H14-I14</f>
        <v>703293.41599999927</v>
      </c>
      <c r="K14" s="4"/>
      <c r="L14">
        <v>7987</v>
      </c>
    </row>
    <row r="15" spans="1:14">
      <c r="B15" s="4"/>
      <c r="C15" s="5"/>
      <c r="D15" s="4"/>
      <c r="E15" s="4"/>
      <c r="F15" s="4"/>
      <c r="G15" s="4"/>
      <c r="H15" s="4"/>
      <c r="I15" s="4"/>
      <c r="J15" s="5"/>
      <c r="K15" s="4"/>
      <c r="L15">
        <v>1756</v>
      </c>
    </row>
    <row r="16" spans="1:14">
      <c r="B16" s="4">
        <v>2011</v>
      </c>
      <c r="C16" s="5">
        <v>13699908</v>
      </c>
      <c r="D16" s="4">
        <v>5.1999999999999998E-2</v>
      </c>
      <c r="E16" s="4">
        <f>+C16*D16</f>
        <v>712395.21600000001</v>
      </c>
      <c r="F16" s="4">
        <f>+C16+E16</f>
        <v>14412303.216</v>
      </c>
      <c r="G16" s="4">
        <v>1</v>
      </c>
      <c r="H16" s="4">
        <f>+F16*G16</f>
        <v>14412303.216</v>
      </c>
      <c r="I16" s="4">
        <f>+C16*G16</f>
        <v>13699908</v>
      </c>
      <c r="J16" s="5">
        <f>+H16-I16</f>
        <v>712395.21600000001</v>
      </c>
      <c r="K16" s="4"/>
      <c r="L16">
        <v>106</v>
      </c>
    </row>
    <row r="17" spans="2:12">
      <c r="B17" s="4"/>
      <c r="C17" s="5"/>
      <c r="D17" s="4"/>
      <c r="E17" s="4"/>
      <c r="F17" s="4"/>
      <c r="G17" s="4"/>
      <c r="H17" s="4"/>
      <c r="I17" s="4"/>
      <c r="J17" s="5"/>
      <c r="K17" s="4"/>
      <c r="L17">
        <f>SUM(L11:L16)</f>
        <v>71114</v>
      </c>
    </row>
    <row r="18" spans="2:12">
      <c r="B18" s="4">
        <v>2012</v>
      </c>
      <c r="C18" s="5">
        <v>12958581</v>
      </c>
      <c r="D18" s="4">
        <v>4.3999999999999997E-2</v>
      </c>
      <c r="E18" s="4">
        <f>+C18*D18</f>
        <v>570177.56400000001</v>
      </c>
      <c r="F18" s="4">
        <f>+C18+E18</f>
        <v>13528758.563999999</v>
      </c>
      <c r="G18" s="4">
        <v>1</v>
      </c>
      <c r="H18" s="4">
        <f>+F18*G18</f>
        <v>13528758.563999999</v>
      </c>
      <c r="I18" s="4">
        <f>+C18*G18</f>
        <v>12958581</v>
      </c>
      <c r="J18" s="5">
        <f>+H18-I18</f>
        <v>570177.56399999931</v>
      </c>
      <c r="K18" s="4"/>
    </row>
    <row r="19" spans="2:12">
      <c r="B19" s="4"/>
      <c r="C19" s="5"/>
      <c r="D19" s="4"/>
      <c r="E19" s="4"/>
      <c r="F19" s="4"/>
      <c r="G19" s="4"/>
      <c r="H19" s="4"/>
      <c r="I19" s="4"/>
      <c r="J19" s="5"/>
      <c r="K19" s="4"/>
    </row>
    <row r="20" spans="2:12">
      <c r="B20" s="4">
        <v>2013</v>
      </c>
      <c r="C20" s="5">
        <v>21549132</v>
      </c>
      <c r="D20" s="4">
        <v>3.3399999999999999E-2</v>
      </c>
      <c r="E20" s="4">
        <f>+C20*D20</f>
        <v>719741.00879999995</v>
      </c>
      <c r="F20" s="4">
        <f>+C20+E20</f>
        <v>22268873.0088</v>
      </c>
      <c r="G20" s="4">
        <v>1</v>
      </c>
      <c r="H20" s="4">
        <f>+F20*G20</f>
        <v>22268873.0088</v>
      </c>
      <c r="I20" s="4">
        <f>+C20*G20</f>
        <v>21549132</v>
      </c>
      <c r="J20" s="5">
        <f>+H20-I20</f>
        <v>719741.00879999995</v>
      </c>
      <c r="K20" s="4"/>
    </row>
    <row r="21" spans="2:12">
      <c r="B21" s="4"/>
      <c r="C21" s="4"/>
      <c r="D21" s="4"/>
      <c r="E21" s="4"/>
      <c r="F21" s="4"/>
      <c r="G21" s="4"/>
      <c r="H21" s="4"/>
      <c r="I21" s="4"/>
      <c r="J21" s="4"/>
      <c r="K21" s="4"/>
    </row>
    <row r="22" spans="2:12">
      <c r="B22">
        <v>2014</v>
      </c>
      <c r="C22" s="1">
        <v>17683712</v>
      </c>
      <c r="D22">
        <v>3.8199999999999998E-2</v>
      </c>
      <c r="E22" s="5">
        <f>+C22*D22</f>
        <v>675517.79839999997</v>
      </c>
    </row>
    <row r="23" spans="2:12">
      <c r="B23" s="4">
        <v>2015</v>
      </c>
      <c r="C23" s="5">
        <v>3000000</v>
      </c>
      <c r="D23">
        <v>2.4E-2</v>
      </c>
      <c r="E23" s="5">
        <f>+C23*D23</f>
        <v>72000</v>
      </c>
    </row>
    <row r="24" spans="2:12">
      <c r="C24">
        <f>+C23/12</f>
        <v>250000</v>
      </c>
      <c r="D24">
        <v>20</v>
      </c>
      <c r="E24">
        <v>200</v>
      </c>
      <c r="F24">
        <f>+D24*E24</f>
        <v>4000</v>
      </c>
    </row>
    <row r="25" spans="2:12">
      <c r="C25">
        <f>+C24/21</f>
        <v>11904.761904761905</v>
      </c>
    </row>
    <row r="26" spans="2:12">
      <c r="B26">
        <v>2013</v>
      </c>
      <c r="C26">
        <v>21549.132000000001</v>
      </c>
    </row>
    <row r="27" spans="2:12">
      <c r="D27">
        <v>1515</v>
      </c>
      <c r="E27">
        <v>10</v>
      </c>
      <c r="F27">
        <f>+D27*E27</f>
        <v>15150</v>
      </c>
      <c r="G27">
        <v>5</v>
      </c>
      <c r="H27">
        <f>+F27/G27</f>
        <v>3030</v>
      </c>
      <c r="I27">
        <v>10</v>
      </c>
      <c r="J27">
        <v>1515</v>
      </c>
      <c r="K27">
        <v>6</v>
      </c>
      <c r="L27">
        <f>+I27*J27*K27</f>
        <v>90900</v>
      </c>
    </row>
    <row r="29" spans="2:12">
      <c r="D29">
        <v>4861</v>
      </c>
      <c r="E29">
        <v>54</v>
      </c>
      <c r="F29">
        <f>+D29/E29</f>
        <v>90.018518518518519</v>
      </c>
    </row>
    <row r="31" spans="2:12" ht="17.25" customHeight="1">
      <c r="C31" s="8">
        <v>5930013182809</v>
      </c>
    </row>
    <row r="32" spans="2:12" ht="17.25" customHeight="1">
      <c r="C32" s="2" t="s">
        <v>1</v>
      </c>
    </row>
    <row r="34" spans="4:11">
      <c r="D34">
        <v>210</v>
      </c>
      <c r="E34">
        <v>30</v>
      </c>
      <c r="F34">
        <f>+D34/E34</f>
        <v>7</v>
      </c>
      <c r="I34">
        <v>8.4</v>
      </c>
      <c r="J34">
        <v>22</v>
      </c>
      <c r="K34">
        <f>+I34*J34</f>
        <v>184.8</v>
      </c>
    </row>
    <row r="37" spans="4:11">
      <c r="D37">
        <v>1791</v>
      </c>
      <c r="E37">
        <v>10</v>
      </c>
      <c r="F37">
        <f>+D37*E37</f>
        <v>17910</v>
      </c>
    </row>
    <row r="38" spans="4:11">
      <c r="D38">
        <v>1021</v>
      </c>
      <c r="E38">
        <v>22</v>
      </c>
      <c r="F38">
        <f>+D38*E38</f>
        <v>22462</v>
      </c>
      <c r="I38">
        <v>178.2</v>
      </c>
      <c r="J38">
        <v>71</v>
      </c>
      <c r="K38">
        <f>+I38*J38</f>
        <v>12652.199999999999</v>
      </c>
    </row>
    <row r="39" spans="4:11">
      <c r="F39">
        <f>SUM(F37:F38)</f>
        <v>40372</v>
      </c>
    </row>
    <row r="41" spans="4:11">
      <c r="D41">
        <v>1878</v>
      </c>
      <c r="E41">
        <v>10</v>
      </c>
      <c r="F41">
        <f>+D41*E41</f>
        <v>18780</v>
      </c>
    </row>
    <row r="42" spans="4:11">
      <c r="D42">
        <v>1089</v>
      </c>
      <c r="E42">
        <v>22</v>
      </c>
      <c r="F42">
        <f>+D42*E42</f>
        <v>23958</v>
      </c>
      <c r="I42">
        <v>54</v>
      </c>
      <c r="J42">
        <v>21</v>
      </c>
      <c r="K42">
        <f>+I42*J42</f>
        <v>1134</v>
      </c>
    </row>
    <row r="43" spans="4:11">
      <c r="F43">
        <f>SUM(F41:F42)</f>
        <v>42738</v>
      </c>
      <c r="G43">
        <f>+F43-F39</f>
        <v>2366</v>
      </c>
    </row>
    <row r="46" spans="4:11">
      <c r="D46">
        <v>1132</v>
      </c>
      <c r="E46">
        <v>10</v>
      </c>
      <c r="F46">
        <f>D46*E46</f>
        <v>11320</v>
      </c>
      <c r="G46">
        <v>7</v>
      </c>
      <c r="H46">
        <f>F46/7</f>
        <v>1617.1428571428571</v>
      </c>
    </row>
    <row r="49" spans="2:12">
      <c r="E49">
        <v>760</v>
      </c>
      <c r="F49">
        <v>5000</v>
      </c>
      <c r="G49" s="1">
        <f>+E49*F49</f>
        <v>3800000</v>
      </c>
    </row>
    <row r="54" spans="2:12">
      <c r="B54">
        <v>178.2</v>
      </c>
      <c r="C54">
        <v>6</v>
      </c>
      <c r="D54">
        <f>+B54*C54</f>
        <v>1069.1999999999998</v>
      </c>
      <c r="E54">
        <v>2148.77</v>
      </c>
      <c r="F54">
        <v>4</v>
      </c>
      <c r="G54">
        <f>+E54*F54</f>
        <v>8595.08</v>
      </c>
    </row>
    <row r="55" spans="2:12">
      <c r="B55">
        <v>178.2</v>
      </c>
      <c r="C55">
        <v>65</v>
      </c>
      <c r="D55">
        <f>+B55*C55</f>
        <v>11583</v>
      </c>
      <c r="G55" s="9">
        <v>8595.08</v>
      </c>
    </row>
    <row r="56" spans="2:12">
      <c r="D56">
        <f>SUM(D54:D55)</f>
        <v>12652.2</v>
      </c>
    </row>
    <row r="58" spans="2:12">
      <c r="C58">
        <v>5</v>
      </c>
      <c r="D58">
        <v>40</v>
      </c>
      <c r="E58">
        <f>+C58*D58</f>
        <v>200</v>
      </c>
      <c r="F58">
        <f>+E58/60</f>
        <v>3.3333333333333335</v>
      </c>
    </row>
    <row r="61" spans="2:12">
      <c r="D61">
        <v>472</v>
      </c>
      <c r="J61">
        <v>200</v>
      </c>
      <c r="K61">
        <v>30</v>
      </c>
      <c r="L61">
        <f>+J61/K61</f>
        <v>6.666666666666667</v>
      </c>
    </row>
    <row r="62" spans="2:12">
      <c r="D62">
        <v>634</v>
      </c>
    </row>
    <row r="63" spans="2:12">
      <c r="D63">
        <v>442.7</v>
      </c>
    </row>
    <row r="64" spans="2:12">
      <c r="D64">
        <v>424</v>
      </c>
    </row>
    <row r="65" spans="3:7">
      <c r="D65">
        <f>SUM(D61:D64)</f>
        <v>1972.7</v>
      </c>
    </row>
    <row r="69" spans="3:7">
      <c r="D69" s="3" t="s">
        <v>2</v>
      </c>
    </row>
    <row r="70" spans="3:7">
      <c r="D70" s="3" t="s">
        <v>3</v>
      </c>
    </row>
    <row r="74" spans="3:7">
      <c r="C74" t="s">
        <v>4</v>
      </c>
    </row>
    <row r="75" spans="3:7">
      <c r="C75" s="10" t="s">
        <v>5</v>
      </c>
    </row>
    <row r="80" spans="3:7">
      <c r="D80">
        <v>11</v>
      </c>
      <c r="E80">
        <v>14</v>
      </c>
      <c r="F80">
        <v>7</v>
      </c>
      <c r="G80">
        <f>+D80*E80*F80</f>
        <v>1078</v>
      </c>
    </row>
    <row r="82" spans="1:6">
      <c r="D82">
        <v>33287</v>
      </c>
      <c r="E82">
        <v>8</v>
      </c>
      <c r="F82">
        <f>+D82/E82</f>
        <v>4160.875</v>
      </c>
    </row>
    <row r="85" spans="1:6">
      <c r="A85">
        <v>1597.5</v>
      </c>
      <c r="B85">
        <v>3</v>
      </c>
      <c r="C85">
        <f>+A85/B85</f>
        <v>532.5</v>
      </c>
    </row>
    <row r="86" spans="1:6">
      <c r="A86">
        <v>500</v>
      </c>
      <c r="B86">
        <v>6.5000000000000002E-2</v>
      </c>
      <c r="C86">
        <f>+A86*B86</f>
        <v>32.5</v>
      </c>
    </row>
    <row r="92" spans="1:6">
      <c r="B92">
        <v>2013</v>
      </c>
      <c r="C92">
        <v>21549132</v>
      </c>
      <c r="D92">
        <v>20827461</v>
      </c>
    </row>
  </sheetData>
  <hyperlinks>
    <hyperlink ref="C75" r:id="rId1" display="https://www.neco.navy.mil/secure/register/login.aspx?soln=SPMYM217Q0260" xr:uid="{00000000-0004-0000-0000-000000000000}"/>
  </hyperlinks>
  <pageMargins left="0.7" right="0.7" top="0.75" bottom="0.75" header="0.3" footer="0.3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3:I50"/>
  <sheetViews>
    <sheetView workbookViewId="0"/>
  </sheetViews>
  <sheetFormatPr defaultRowHeight="15"/>
  <cols>
    <col min="2" max="2" width="10.7109375" customWidth="1"/>
    <col min="3" max="3" width="11" customWidth="1"/>
    <col min="4" max="4" width="11.5703125" customWidth="1"/>
    <col min="5" max="5" width="10.42578125" customWidth="1"/>
    <col min="6" max="6" width="10.85546875" customWidth="1"/>
    <col min="7" max="8" width="10.42578125" customWidth="1"/>
    <col min="9" max="9" width="9.5703125" customWidth="1"/>
  </cols>
  <sheetData>
    <row r="3" spans="1:9">
      <c r="B3" t="s">
        <v>5209</v>
      </c>
    </row>
    <row r="5" spans="1:9">
      <c r="B5" t="s">
        <v>5210</v>
      </c>
      <c r="C5" t="s">
        <v>5211</v>
      </c>
      <c r="D5" t="s">
        <v>5212</v>
      </c>
      <c r="E5" t="s">
        <v>5213</v>
      </c>
      <c r="F5" t="s">
        <v>5214</v>
      </c>
      <c r="G5" t="s">
        <v>5215</v>
      </c>
      <c r="H5" t="s">
        <v>5216</v>
      </c>
      <c r="I5" t="s">
        <v>4521</v>
      </c>
    </row>
    <row r="6" spans="1:9">
      <c r="B6" s="6">
        <v>42826</v>
      </c>
      <c r="C6" s="6">
        <v>42827</v>
      </c>
      <c r="D6" s="6">
        <v>42828</v>
      </c>
      <c r="E6" s="6">
        <v>42829</v>
      </c>
      <c r="F6" s="6">
        <v>42830</v>
      </c>
      <c r="G6" s="6">
        <v>42831</v>
      </c>
      <c r="H6" s="6">
        <v>42832</v>
      </c>
    </row>
    <row r="7" spans="1:9">
      <c r="C7">
        <v>1</v>
      </c>
      <c r="D7">
        <v>4</v>
      </c>
      <c r="E7">
        <v>4</v>
      </c>
      <c r="F7">
        <v>12</v>
      </c>
      <c r="G7">
        <v>12</v>
      </c>
      <c r="H7">
        <v>12</v>
      </c>
      <c r="I7">
        <f>SUM(C7:H7)</f>
        <v>45</v>
      </c>
    </row>
    <row r="9" spans="1:9">
      <c r="B9" s="6">
        <v>42833</v>
      </c>
      <c r="C9" s="6">
        <v>42834</v>
      </c>
      <c r="D9" s="6">
        <v>42835</v>
      </c>
      <c r="E9" s="6">
        <v>42836</v>
      </c>
      <c r="F9" s="6">
        <v>42837</v>
      </c>
      <c r="G9" s="6">
        <v>42838</v>
      </c>
      <c r="H9" s="6">
        <v>42839</v>
      </c>
    </row>
    <row r="10" spans="1:9">
      <c r="C10">
        <v>2</v>
      </c>
      <c r="D10">
        <v>10</v>
      </c>
      <c r="E10">
        <v>7</v>
      </c>
      <c r="F10">
        <v>11</v>
      </c>
      <c r="G10">
        <v>10</v>
      </c>
      <c r="H10">
        <v>3</v>
      </c>
      <c r="I10">
        <f>SUM(C10:H10)</f>
        <v>43</v>
      </c>
    </row>
    <row r="12" spans="1:9">
      <c r="B12" s="6">
        <v>42840</v>
      </c>
      <c r="C12" s="6">
        <v>42841</v>
      </c>
      <c r="D12" s="6">
        <v>42835</v>
      </c>
      <c r="E12" s="6">
        <v>42836</v>
      </c>
      <c r="F12" s="6">
        <v>42837</v>
      </c>
      <c r="G12" s="6">
        <v>42838</v>
      </c>
      <c r="H12" s="6">
        <v>42839</v>
      </c>
    </row>
    <row r="13" spans="1:9">
      <c r="B13">
        <v>7</v>
      </c>
      <c r="C13">
        <v>3</v>
      </c>
      <c r="I13">
        <f>SUM(B13:H13)</f>
        <v>10</v>
      </c>
    </row>
    <row r="14" spans="1:9">
      <c r="B14" s="118" t="s">
        <v>5217</v>
      </c>
      <c r="C14" s="118"/>
      <c r="D14" s="118"/>
      <c r="E14" s="117"/>
      <c r="F14" s="117"/>
    </row>
    <row r="15" spans="1:9">
      <c r="A15" s="117"/>
      <c r="G15" s="117"/>
      <c r="H15" s="117"/>
      <c r="I15" s="117"/>
    </row>
    <row r="16" spans="1:9">
      <c r="A16" s="117" t="s">
        <v>5218</v>
      </c>
      <c r="B16" s="117" t="s">
        <v>5210</v>
      </c>
      <c r="C16" s="117" t="s">
        <v>5211</v>
      </c>
      <c r="D16" s="117" t="s">
        <v>5212</v>
      </c>
      <c r="E16" s="117" t="s">
        <v>5213</v>
      </c>
      <c r="F16" s="117" t="s">
        <v>5214</v>
      </c>
      <c r="G16" s="117" t="s">
        <v>5215</v>
      </c>
      <c r="H16" s="117" t="s">
        <v>5216</v>
      </c>
      <c r="I16" s="117" t="s">
        <v>4521</v>
      </c>
    </row>
    <row r="17" spans="1:9">
      <c r="A17" s="117" t="s">
        <v>5219</v>
      </c>
      <c r="B17" s="119">
        <v>42980</v>
      </c>
      <c r="C17" s="119">
        <v>42981</v>
      </c>
      <c r="D17" s="119">
        <v>42982</v>
      </c>
      <c r="E17" s="119">
        <v>42983</v>
      </c>
      <c r="F17" s="119">
        <v>42984</v>
      </c>
      <c r="G17" s="119">
        <v>42985</v>
      </c>
      <c r="H17" s="119">
        <v>42986</v>
      </c>
      <c r="I17" s="117"/>
    </row>
    <row r="18" spans="1:9">
      <c r="A18" s="117" t="s">
        <v>5220</v>
      </c>
      <c r="B18" s="117">
        <v>2</v>
      </c>
      <c r="C18" s="117">
        <v>1</v>
      </c>
      <c r="D18" s="117"/>
      <c r="E18" s="117">
        <v>8</v>
      </c>
      <c r="F18" s="117">
        <v>1</v>
      </c>
      <c r="G18" s="117">
        <v>1</v>
      </c>
      <c r="H18" s="117"/>
      <c r="I18" s="117">
        <f>SUM(C18:H18)</f>
        <v>11</v>
      </c>
    </row>
    <row r="19" spans="1:9">
      <c r="A19" s="117"/>
      <c r="B19" s="117"/>
      <c r="C19" s="117"/>
      <c r="D19" s="117"/>
      <c r="E19" s="117"/>
      <c r="F19" s="117"/>
      <c r="G19" s="117"/>
      <c r="H19" s="117"/>
      <c r="I19" s="117"/>
    </row>
    <row r="20" spans="1:9">
      <c r="A20" s="117" t="s">
        <v>5218</v>
      </c>
      <c r="B20" s="117" t="s">
        <v>5210</v>
      </c>
      <c r="C20" s="117" t="s">
        <v>5211</v>
      </c>
      <c r="D20" s="117" t="s">
        <v>5212</v>
      </c>
      <c r="E20" s="117" t="s">
        <v>5213</v>
      </c>
      <c r="F20" s="117" t="s">
        <v>5214</v>
      </c>
      <c r="G20" s="117" t="s">
        <v>5215</v>
      </c>
      <c r="H20" s="117" t="s">
        <v>5216</v>
      </c>
      <c r="I20" s="117" t="s">
        <v>4521</v>
      </c>
    </row>
    <row r="21" spans="1:9">
      <c r="A21" s="117" t="s">
        <v>5219</v>
      </c>
      <c r="B21" s="119">
        <v>42987</v>
      </c>
      <c r="C21" s="119">
        <v>42988</v>
      </c>
      <c r="D21" s="119">
        <v>42989</v>
      </c>
      <c r="E21" s="119">
        <v>42990</v>
      </c>
      <c r="F21" s="119">
        <v>42991</v>
      </c>
      <c r="G21" s="119">
        <v>42992</v>
      </c>
      <c r="H21" s="119">
        <v>42993</v>
      </c>
      <c r="I21" s="117"/>
    </row>
    <row r="22" spans="1:9">
      <c r="A22" s="117" t="s">
        <v>5220</v>
      </c>
      <c r="B22" s="117"/>
      <c r="C22" s="117">
        <v>1</v>
      </c>
      <c r="D22" s="117">
        <v>1</v>
      </c>
      <c r="E22" s="117"/>
      <c r="F22" s="117">
        <v>3</v>
      </c>
      <c r="G22" s="117">
        <v>2</v>
      </c>
      <c r="H22" s="117">
        <v>1</v>
      </c>
      <c r="I22" s="117">
        <f>SUM(C22:H22)</f>
        <v>8</v>
      </c>
    </row>
    <row r="23" spans="1:9">
      <c r="A23" s="117"/>
      <c r="B23" s="117"/>
      <c r="C23" s="117"/>
      <c r="D23" s="117"/>
      <c r="E23" s="117"/>
      <c r="F23" s="117"/>
      <c r="G23" s="117"/>
      <c r="H23" s="117"/>
      <c r="I23" s="117"/>
    </row>
    <row r="24" spans="1:9">
      <c r="A24" s="117" t="s">
        <v>5218</v>
      </c>
      <c r="B24" s="117" t="s">
        <v>5210</v>
      </c>
      <c r="C24" s="117" t="s">
        <v>5211</v>
      </c>
      <c r="D24" s="117" t="s">
        <v>5212</v>
      </c>
      <c r="E24" s="117" t="s">
        <v>5213</v>
      </c>
      <c r="F24" s="117" t="s">
        <v>5214</v>
      </c>
      <c r="G24" s="117" t="s">
        <v>5215</v>
      </c>
      <c r="H24" s="117" t="s">
        <v>5216</v>
      </c>
      <c r="I24" s="117"/>
    </row>
    <row r="25" spans="1:9">
      <c r="A25" s="117" t="s">
        <v>5219</v>
      </c>
      <c r="B25" s="119">
        <v>42994</v>
      </c>
      <c r="C25" s="119">
        <v>42995</v>
      </c>
      <c r="D25" s="119">
        <v>42996</v>
      </c>
      <c r="E25" s="119">
        <v>42997</v>
      </c>
      <c r="F25" s="119">
        <v>42998</v>
      </c>
      <c r="G25" s="119">
        <v>42999</v>
      </c>
      <c r="H25" s="119">
        <v>43000</v>
      </c>
      <c r="I25" s="117"/>
    </row>
    <row r="26" spans="1:9">
      <c r="A26" s="117" t="s">
        <v>5220</v>
      </c>
      <c r="B26" s="117"/>
      <c r="C26" s="117"/>
      <c r="D26" s="117">
        <v>1</v>
      </c>
      <c r="E26" s="117">
        <v>2</v>
      </c>
      <c r="F26" s="117">
        <v>2</v>
      </c>
      <c r="G26" s="117">
        <v>4</v>
      </c>
      <c r="H26" s="117">
        <v>2</v>
      </c>
      <c r="I26" s="117">
        <f>SUM(C26:H26)</f>
        <v>11</v>
      </c>
    </row>
    <row r="27" spans="1:9">
      <c r="A27" s="117"/>
      <c r="B27" s="117"/>
      <c r="C27" s="117"/>
      <c r="D27" s="117"/>
      <c r="E27" s="117"/>
      <c r="F27" s="117"/>
      <c r="G27" s="117"/>
      <c r="H27" s="117"/>
      <c r="I27" s="117"/>
    </row>
    <row r="28" spans="1:9">
      <c r="A28" s="117" t="s">
        <v>5218</v>
      </c>
      <c r="B28" s="117" t="s">
        <v>5210</v>
      </c>
      <c r="C28" s="117" t="s">
        <v>5211</v>
      </c>
      <c r="D28" s="117" t="s">
        <v>5212</v>
      </c>
      <c r="E28" s="117" t="s">
        <v>5213</v>
      </c>
      <c r="F28" s="117" t="s">
        <v>5214</v>
      </c>
      <c r="G28" s="117" t="s">
        <v>5215</v>
      </c>
      <c r="H28" s="117" t="s">
        <v>5216</v>
      </c>
      <c r="I28" s="117"/>
    </row>
    <row r="29" spans="1:9">
      <c r="A29" s="117" t="s">
        <v>5219</v>
      </c>
      <c r="B29" s="119">
        <v>43001</v>
      </c>
      <c r="C29" s="119">
        <v>43002</v>
      </c>
      <c r="D29" s="119">
        <v>43003</v>
      </c>
      <c r="E29" s="119">
        <v>43004</v>
      </c>
      <c r="F29" s="119">
        <v>43005</v>
      </c>
      <c r="G29" s="119">
        <v>43006</v>
      </c>
      <c r="H29" s="119">
        <v>43007</v>
      </c>
      <c r="I29" s="117"/>
    </row>
    <row r="30" spans="1:9">
      <c r="A30" s="117" t="s">
        <v>5220</v>
      </c>
      <c r="B30" s="117"/>
      <c r="C30" s="117"/>
      <c r="D30" s="117">
        <v>1</v>
      </c>
      <c r="E30" s="117">
        <v>1</v>
      </c>
      <c r="F30" s="117">
        <v>2</v>
      </c>
      <c r="G30" s="117">
        <v>1</v>
      </c>
      <c r="H30" s="117"/>
      <c r="I30" s="117">
        <f>SUM(C30:H30)</f>
        <v>5</v>
      </c>
    </row>
    <row r="31" spans="1:9">
      <c r="I31">
        <f>SUM(I18:I30)</f>
        <v>35</v>
      </c>
    </row>
    <row r="33" spans="1:9">
      <c r="B33" s="118" t="s">
        <v>5217</v>
      </c>
      <c r="C33" s="118"/>
      <c r="D33" s="118"/>
      <c r="E33" s="117"/>
      <c r="F33" s="117"/>
    </row>
    <row r="34" spans="1:9">
      <c r="A34" s="117"/>
      <c r="G34" s="117"/>
      <c r="H34" s="117"/>
      <c r="I34" s="117"/>
    </row>
    <row r="35" spans="1:9">
      <c r="A35" s="117" t="s">
        <v>5218</v>
      </c>
      <c r="B35" s="117" t="s">
        <v>5210</v>
      </c>
      <c r="C35" s="117" t="s">
        <v>5211</v>
      </c>
      <c r="D35" s="117" t="s">
        <v>5212</v>
      </c>
      <c r="E35" s="117" t="s">
        <v>5213</v>
      </c>
      <c r="F35" s="117" t="s">
        <v>5214</v>
      </c>
      <c r="G35" s="117" t="s">
        <v>5215</v>
      </c>
      <c r="H35" s="117" t="s">
        <v>5216</v>
      </c>
      <c r="I35" s="117" t="s">
        <v>4521</v>
      </c>
    </row>
    <row r="36" spans="1:9">
      <c r="A36" s="117" t="s">
        <v>5219</v>
      </c>
      <c r="B36" s="119">
        <v>43008</v>
      </c>
      <c r="C36" s="119">
        <v>43009</v>
      </c>
      <c r="D36" s="119">
        <v>43010</v>
      </c>
      <c r="E36" s="119">
        <v>43011</v>
      </c>
      <c r="F36" s="119">
        <v>43012</v>
      </c>
      <c r="G36" s="119">
        <v>43013</v>
      </c>
      <c r="H36" s="119">
        <v>43014</v>
      </c>
      <c r="I36" s="117"/>
    </row>
    <row r="37" spans="1:9">
      <c r="A37" s="117" t="s">
        <v>5220</v>
      </c>
      <c r="B37" s="117"/>
      <c r="C37" s="117"/>
      <c r="D37" s="117">
        <v>1</v>
      </c>
      <c r="E37" s="117">
        <v>7</v>
      </c>
      <c r="F37" s="117">
        <v>3</v>
      </c>
      <c r="G37" s="117">
        <v>3</v>
      </c>
      <c r="H37" s="117">
        <v>7</v>
      </c>
      <c r="I37" s="117">
        <f>SUM(C37:H37)</f>
        <v>21</v>
      </c>
    </row>
    <row r="38" spans="1:9">
      <c r="A38" s="117"/>
      <c r="B38" s="117"/>
      <c r="C38" s="117"/>
      <c r="D38" s="117"/>
      <c r="E38" s="117"/>
      <c r="F38" s="117"/>
      <c r="G38" s="117"/>
      <c r="H38" s="117"/>
      <c r="I38" s="117"/>
    </row>
    <row r="39" spans="1:9">
      <c r="A39" s="117" t="s">
        <v>5218</v>
      </c>
      <c r="B39" s="117" t="s">
        <v>5210</v>
      </c>
      <c r="C39" s="117" t="s">
        <v>5211</v>
      </c>
      <c r="D39" s="117" t="s">
        <v>5212</v>
      </c>
      <c r="E39" s="117" t="s">
        <v>5213</v>
      </c>
      <c r="F39" s="117" t="s">
        <v>5214</v>
      </c>
      <c r="G39" s="117" t="s">
        <v>5215</v>
      </c>
      <c r="H39" s="117" t="s">
        <v>5216</v>
      </c>
      <c r="I39" s="117"/>
    </row>
    <row r="40" spans="1:9">
      <c r="A40" s="117" t="s">
        <v>5219</v>
      </c>
      <c r="B40" s="119">
        <v>43015</v>
      </c>
      <c r="C40" s="119">
        <v>43016</v>
      </c>
      <c r="D40" s="119">
        <v>43017</v>
      </c>
      <c r="E40" s="119">
        <v>43018</v>
      </c>
      <c r="F40" s="119">
        <v>43019</v>
      </c>
      <c r="G40" s="119">
        <v>43020</v>
      </c>
      <c r="H40" s="119">
        <v>43021</v>
      </c>
      <c r="I40" s="117"/>
    </row>
    <row r="41" spans="1:9">
      <c r="A41" s="117" t="s">
        <v>5220</v>
      </c>
      <c r="B41" s="117"/>
      <c r="C41" s="117"/>
      <c r="D41" s="117">
        <v>4</v>
      </c>
      <c r="E41" s="117">
        <v>3</v>
      </c>
      <c r="F41" s="117">
        <v>1</v>
      </c>
      <c r="G41" s="117"/>
      <c r="H41" s="117"/>
      <c r="I41" s="117">
        <f>SUM(C41:H41)</f>
        <v>8</v>
      </c>
    </row>
    <row r="42" spans="1:9">
      <c r="A42" s="117"/>
      <c r="B42" s="117"/>
      <c r="C42" s="117"/>
      <c r="D42" s="117"/>
      <c r="E42" s="117"/>
      <c r="F42" s="117"/>
      <c r="G42" s="117"/>
      <c r="H42" s="117"/>
      <c r="I42" s="117"/>
    </row>
    <row r="43" spans="1:9">
      <c r="A43" s="117" t="s">
        <v>5218</v>
      </c>
      <c r="B43" s="117" t="s">
        <v>5210</v>
      </c>
      <c r="C43" s="117" t="s">
        <v>5211</v>
      </c>
      <c r="D43" s="117" t="s">
        <v>5212</v>
      </c>
      <c r="E43" s="117" t="s">
        <v>5213</v>
      </c>
      <c r="F43" s="117" t="s">
        <v>5214</v>
      </c>
      <c r="G43" s="117" t="s">
        <v>5215</v>
      </c>
      <c r="H43" s="117" t="s">
        <v>5216</v>
      </c>
      <c r="I43" s="117"/>
    </row>
    <row r="44" spans="1:9">
      <c r="A44" s="117" t="s">
        <v>5219</v>
      </c>
      <c r="B44" s="119">
        <v>43022</v>
      </c>
      <c r="C44" s="119">
        <v>43023</v>
      </c>
      <c r="D44" s="119">
        <v>43024</v>
      </c>
      <c r="E44" s="119">
        <v>43025</v>
      </c>
      <c r="F44" s="119">
        <v>43026</v>
      </c>
      <c r="G44" s="119">
        <v>43027</v>
      </c>
      <c r="H44" s="119">
        <v>43028</v>
      </c>
      <c r="I44" s="117"/>
    </row>
    <row r="45" spans="1:9">
      <c r="A45" s="117" t="s">
        <v>5220</v>
      </c>
      <c r="B45" s="117"/>
      <c r="C45" s="117"/>
      <c r="D45" s="117"/>
      <c r="E45" s="117">
        <v>2</v>
      </c>
      <c r="F45" s="117">
        <v>3</v>
      </c>
      <c r="G45" s="117">
        <v>3</v>
      </c>
      <c r="H45" s="117">
        <v>1</v>
      </c>
      <c r="I45" s="117">
        <f>SUM(C45:H45)</f>
        <v>9</v>
      </c>
    </row>
    <row r="46" spans="1:9">
      <c r="A46" s="117"/>
      <c r="B46" s="117"/>
      <c r="C46" s="117"/>
      <c r="D46" s="117"/>
      <c r="E46" s="117"/>
      <c r="F46" s="117"/>
      <c r="G46" s="117"/>
      <c r="H46" s="117"/>
      <c r="I46" s="117"/>
    </row>
    <row r="47" spans="1:9">
      <c r="A47" s="117" t="s">
        <v>5218</v>
      </c>
      <c r="B47" s="117" t="s">
        <v>5210</v>
      </c>
      <c r="C47" s="117" t="s">
        <v>5211</v>
      </c>
      <c r="D47" s="117" t="s">
        <v>5212</v>
      </c>
      <c r="E47" s="117" t="s">
        <v>5213</v>
      </c>
      <c r="F47" s="117" t="s">
        <v>5214</v>
      </c>
      <c r="G47" s="117" t="s">
        <v>5215</v>
      </c>
      <c r="H47" s="117" t="s">
        <v>5216</v>
      </c>
      <c r="I47" s="117"/>
    </row>
    <row r="48" spans="1:9">
      <c r="A48" s="117" t="s">
        <v>5219</v>
      </c>
      <c r="B48" s="119">
        <v>43001</v>
      </c>
      <c r="C48" s="119">
        <v>43002</v>
      </c>
      <c r="D48" s="119">
        <v>43003</v>
      </c>
      <c r="E48" s="119">
        <v>43004</v>
      </c>
      <c r="F48" s="119">
        <v>43005</v>
      </c>
      <c r="G48" s="119">
        <v>43006</v>
      </c>
      <c r="H48" s="119">
        <v>43007</v>
      </c>
      <c r="I48" s="117"/>
    </row>
    <row r="49" spans="1:9">
      <c r="A49" s="117" t="s">
        <v>5220</v>
      </c>
      <c r="B49" s="117"/>
      <c r="C49" s="117"/>
      <c r="D49" s="117">
        <v>1</v>
      </c>
      <c r="E49" s="117"/>
      <c r="F49" s="117"/>
      <c r="G49" s="117"/>
      <c r="H49" s="117"/>
      <c r="I49" s="117">
        <f>SUM(C49:H49)</f>
        <v>1</v>
      </c>
    </row>
    <row r="50" spans="1:9">
      <c r="A50" s="128" t="s">
        <v>5221</v>
      </c>
      <c r="I50" s="7">
        <f>SUM(I37:I49)</f>
        <v>39</v>
      </c>
    </row>
  </sheetData>
  <pageMargins left="0.7" right="0.7" top="0.75" bottom="0.75" header="0.3" footer="0.3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57"/>
  <sheetViews>
    <sheetView workbookViewId="0"/>
  </sheetViews>
  <sheetFormatPr defaultRowHeight="15"/>
  <cols>
    <col min="1" max="1" width="19.28515625" customWidth="1"/>
    <col min="2" max="2" width="11.85546875" customWidth="1"/>
    <col min="3" max="3" width="11.7109375" customWidth="1"/>
    <col min="4" max="4" width="9.28515625" customWidth="1"/>
    <col min="5" max="5" width="15.140625" customWidth="1"/>
    <col min="6" max="6" width="13.7109375" customWidth="1"/>
    <col min="7" max="7" width="11.7109375" customWidth="1"/>
    <col min="8" max="8" width="10.28515625" customWidth="1"/>
    <col min="9" max="9" width="10" customWidth="1"/>
    <col min="10" max="10" width="13.28515625" customWidth="1"/>
    <col min="11" max="11" width="11.5703125" customWidth="1"/>
  </cols>
  <sheetData>
    <row r="1" spans="1:12">
      <c r="B1" s="7" t="s">
        <v>5222</v>
      </c>
      <c r="C1" s="7"/>
      <c r="D1" s="7"/>
    </row>
    <row r="2" spans="1:12">
      <c r="B2" s="7" t="s">
        <v>5223</v>
      </c>
      <c r="C2" s="7" t="s">
        <v>5224</v>
      </c>
      <c r="D2" s="7" t="s">
        <v>5225</v>
      </c>
      <c r="E2" s="7" t="s">
        <v>5226</v>
      </c>
      <c r="F2" s="7" t="s">
        <v>5227</v>
      </c>
      <c r="G2" s="7" t="s">
        <v>5228</v>
      </c>
      <c r="H2" s="7" t="s">
        <v>4509</v>
      </c>
      <c r="I2" s="7" t="s">
        <v>5229</v>
      </c>
      <c r="J2" s="7" t="s">
        <v>5230</v>
      </c>
    </row>
    <row r="3" spans="1:12">
      <c r="A3" s="39" t="s">
        <v>5231</v>
      </c>
      <c r="B3" s="39"/>
      <c r="C3" s="40"/>
      <c r="D3" s="40"/>
      <c r="E3" s="40"/>
      <c r="F3" s="40"/>
      <c r="G3" s="40"/>
      <c r="H3" s="40"/>
      <c r="I3" s="40"/>
      <c r="J3" s="40"/>
      <c r="K3" s="39"/>
      <c r="L3" t="s">
        <v>5232</v>
      </c>
    </row>
    <row r="4" spans="1:12">
      <c r="A4" s="39" t="s">
        <v>5233</v>
      </c>
      <c r="B4" s="40"/>
      <c r="C4" s="40"/>
      <c r="D4" s="40"/>
      <c r="E4" s="40"/>
      <c r="F4" s="40"/>
      <c r="G4" s="40"/>
      <c r="H4" s="40"/>
      <c r="I4" s="40">
        <v>532.5</v>
      </c>
      <c r="J4" s="40">
        <v>532.5</v>
      </c>
      <c r="K4" s="39" t="s">
        <v>5234</v>
      </c>
      <c r="L4">
        <v>532.5</v>
      </c>
    </row>
    <row r="5" spans="1:12">
      <c r="A5" s="39" t="s">
        <v>5235</v>
      </c>
      <c r="B5" s="40"/>
      <c r="C5" s="40"/>
      <c r="D5" s="40"/>
      <c r="E5" s="40"/>
      <c r="F5" s="40"/>
      <c r="G5" s="40"/>
      <c r="H5" s="40"/>
      <c r="I5" s="40">
        <v>428.61</v>
      </c>
      <c r="J5" s="40"/>
      <c r="K5" s="39" t="s">
        <v>5236</v>
      </c>
      <c r="L5">
        <v>60</v>
      </c>
    </row>
    <row r="6" spans="1:12">
      <c r="A6" s="39" t="s">
        <v>5237</v>
      </c>
      <c r="B6" s="40">
        <v>180</v>
      </c>
      <c r="C6" s="40"/>
      <c r="D6" s="40"/>
      <c r="E6" s="40"/>
      <c r="F6" s="40"/>
      <c r="G6" s="40"/>
      <c r="H6" s="40"/>
      <c r="I6" s="40"/>
      <c r="J6" s="40">
        <v>50</v>
      </c>
      <c r="K6" s="39" t="s">
        <v>5238</v>
      </c>
      <c r="L6">
        <v>100</v>
      </c>
    </row>
    <row r="7" spans="1:12">
      <c r="A7" s="39" t="s">
        <v>5239</v>
      </c>
      <c r="B7" s="40"/>
      <c r="C7" s="40"/>
      <c r="D7" s="40"/>
      <c r="E7" s="40"/>
      <c r="F7" s="40"/>
      <c r="G7" s="40">
        <v>12</v>
      </c>
      <c r="H7" s="40"/>
      <c r="I7" s="40"/>
      <c r="J7" s="40">
        <f>40+15</f>
        <v>55</v>
      </c>
      <c r="K7" s="39" t="s">
        <v>5240</v>
      </c>
      <c r="L7">
        <v>200</v>
      </c>
    </row>
    <row r="8" spans="1:12">
      <c r="A8" s="39" t="s">
        <v>5241</v>
      </c>
      <c r="B8" s="40">
        <f>169+450</f>
        <v>619</v>
      </c>
      <c r="C8" s="40"/>
      <c r="D8" s="40">
        <v>64</v>
      </c>
      <c r="E8" s="40"/>
      <c r="F8" s="40"/>
      <c r="G8" s="40"/>
      <c r="H8" s="40"/>
      <c r="I8" s="40"/>
      <c r="J8" s="40"/>
      <c r="K8" s="39" t="s">
        <v>5242</v>
      </c>
      <c r="L8">
        <v>100</v>
      </c>
    </row>
    <row r="9" spans="1:12">
      <c r="A9" s="39" t="s">
        <v>5243</v>
      </c>
      <c r="B9" s="40"/>
      <c r="C9" s="40">
        <v>45</v>
      </c>
      <c r="D9" s="40">
        <v>90</v>
      </c>
      <c r="E9" s="40"/>
      <c r="F9" s="40"/>
      <c r="G9" s="40"/>
      <c r="H9" s="40"/>
      <c r="I9" s="40">
        <f>75+25</f>
        <v>100</v>
      </c>
      <c r="J9" s="40"/>
      <c r="K9" s="39" t="s">
        <v>5244</v>
      </c>
      <c r="L9">
        <v>200</v>
      </c>
    </row>
    <row r="10" spans="1:12">
      <c r="A10" s="39" t="s">
        <v>5245</v>
      </c>
      <c r="B10" s="40"/>
      <c r="C10" s="40"/>
      <c r="D10" s="40"/>
      <c r="E10" s="40">
        <f>190.96+120</f>
        <v>310.96000000000004</v>
      </c>
      <c r="F10" s="40"/>
      <c r="G10" s="40"/>
      <c r="H10" s="40"/>
      <c r="I10" s="40"/>
      <c r="J10" s="40"/>
      <c r="K10" s="39" t="s">
        <v>5246</v>
      </c>
      <c r="L10">
        <v>400</v>
      </c>
    </row>
    <row r="11" spans="1:12">
      <c r="A11" s="39" t="s">
        <v>5247</v>
      </c>
      <c r="B11" s="40"/>
      <c r="C11" s="40"/>
      <c r="D11" s="40"/>
      <c r="E11" s="40"/>
      <c r="F11" s="40">
        <v>13.17</v>
      </c>
      <c r="G11" s="40">
        <v>3.77</v>
      </c>
      <c r="H11" s="40">
        <f>12.71+124.29</f>
        <v>137</v>
      </c>
      <c r="I11" s="40">
        <f>10.45+29.82</f>
        <v>40.269999999999996</v>
      </c>
      <c r="J11" s="40">
        <f>45.98+13.58+152.8</f>
        <v>212.36</v>
      </c>
      <c r="K11" s="39"/>
      <c r="L11">
        <f>SUM(L4:L10)</f>
        <v>1592.5</v>
      </c>
    </row>
    <row r="12" spans="1:12">
      <c r="A12" s="39" t="s">
        <v>5248</v>
      </c>
      <c r="B12" s="40"/>
      <c r="C12" s="40"/>
      <c r="D12" s="40"/>
      <c r="E12" s="40"/>
      <c r="F12" s="40"/>
      <c r="G12" s="40"/>
      <c r="H12" s="40">
        <v>254.33</v>
      </c>
      <c r="I12" s="40"/>
      <c r="J12" s="40">
        <v>147.41999999999999</v>
      </c>
      <c r="K12" s="39"/>
    </row>
    <row r="13" spans="1:12">
      <c r="A13" s="39" t="s">
        <v>5249</v>
      </c>
      <c r="B13" s="40"/>
      <c r="C13" s="40">
        <f>591.06+130</f>
        <v>721.06</v>
      </c>
      <c r="D13" s="40">
        <v>192.76</v>
      </c>
      <c r="E13" s="40">
        <v>127.79</v>
      </c>
      <c r="F13" s="40">
        <v>225</v>
      </c>
      <c r="G13" s="40">
        <v>48.33</v>
      </c>
      <c r="H13" s="40">
        <v>70.14</v>
      </c>
      <c r="I13" s="40"/>
      <c r="J13" s="40">
        <f>457.13+106.38</f>
        <v>563.51</v>
      </c>
      <c r="K13" s="39"/>
    </row>
    <row r="14" spans="1:12">
      <c r="A14" s="39" t="s">
        <v>5250</v>
      </c>
      <c r="B14" s="40"/>
      <c r="C14" s="40"/>
      <c r="D14" s="40">
        <v>6.39</v>
      </c>
      <c r="E14" s="40">
        <v>19.16</v>
      </c>
      <c r="F14" s="40">
        <v>26.94</v>
      </c>
      <c r="G14" s="40">
        <f>6.39+260</f>
        <v>266.39</v>
      </c>
      <c r="H14" s="40">
        <f>5.93+42.92</f>
        <v>48.85</v>
      </c>
      <c r="I14" s="40">
        <f>20.21+4.67</f>
        <v>24.880000000000003</v>
      </c>
      <c r="J14" s="40">
        <v>160</v>
      </c>
      <c r="K14" s="39"/>
    </row>
    <row r="15" spans="1:12">
      <c r="A15" s="39" t="s">
        <v>5251</v>
      </c>
      <c r="B15" s="40"/>
      <c r="C15" s="40"/>
      <c r="D15" s="40"/>
      <c r="E15" s="40">
        <v>95</v>
      </c>
      <c r="F15" s="40"/>
      <c r="G15" s="40"/>
      <c r="H15" s="40">
        <v>38</v>
      </c>
      <c r="I15" s="40"/>
      <c r="J15" s="40"/>
      <c r="K15" s="39"/>
    </row>
    <row r="16" spans="1:12">
      <c r="A16" s="39" t="s">
        <v>5252</v>
      </c>
      <c r="B16" s="40">
        <v>75</v>
      </c>
      <c r="C16" s="40">
        <v>75</v>
      </c>
      <c r="D16" s="40">
        <v>75</v>
      </c>
      <c r="E16" s="40">
        <v>75</v>
      </c>
      <c r="F16" s="40">
        <v>75</v>
      </c>
      <c r="G16" s="40">
        <v>75</v>
      </c>
      <c r="H16" s="40">
        <v>75</v>
      </c>
      <c r="I16" s="40">
        <v>75</v>
      </c>
      <c r="J16" s="40">
        <v>75</v>
      </c>
      <c r="K16" s="39"/>
    </row>
    <row r="17" spans="1:11">
      <c r="A17" s="39" t="s">
        <v>5253</v>
      </c>
      <c r="B17" s="40"/>
      <c r="C17" s="40">
        <v>30</v>
      </c>
      <c r="D17" s="40">
        <v>30</v>
      </c>
      <c r="E17" s="40">
        <v>26.14</v>
      </c>
      <c r="F17" s="40">
        <v>28</v>
      </c>
      <c r="G17" s="40">
        <v>30.85</v>
      </c>
      <c r="H17" s="40">
        <v>47.38</v>
      </c>
      <c r="I17" s="40">
        <f>23.04+26.81</f>
        <v>49.849999999999994</v>
      </c>
      <c r="J17" s="40">
        <v>49.66</v>
      </c>
      <c r="K17" s="39"/>
    </row>
    <row r="18" spans="1:11">
      <c r="A18" s="39" t="s">
        <v>4792</v>
      </c>
      <c r="B18" s="40"/>
      <c r="C18" s="40"/>
      <c r="D18" s="40">
        <f>62.1+41.22</f>
        <v>103.32</v>
      </c>
      <c r="E18" s="40"/>
      <c r="F18" s="40"/>
      <c r="G18" s="40"/>
      <c r="H18" s="40">
        <v>100.1</v>
      </c>
      <c r="I18" s="40">
        <v>80</v>
      </c>
      <c r="J18" s="40"/>
      <c r="K18" s="39"/>
    </row>
    <row r="19" spans="1:11">
      <c r="A19" s="39" t="s">
        <v>5254</v>
      </c>
      <c r="B19" s="40">
        <v>75</v>
      </c>
      <c r="C19" s="40">
        <v>75</v>
      </c>
      <c r="D19" s="40">
        <v>75</v>
      </c>
      <c r="E19" s="40">
        <v>75</v>
      </c>
      <c r="F19" s="40">
        <v>75</v>
      </c>
      <c r="G19" s="40">
        <v>75</v>
      </c>
      <c r="H19" s="40">
        <v>75</v>
      </c>
      <c r="I19" s="40">
        <v>75</v>
      </c>
      <c r="J19" s="40">
        <v>75</v>
      </c>
      <c r="K19" s="39"/>
    </row>
    <row r="20" spans="1:11">
      <c r="A20" s="39" t="s">
        <v>5255</v>
      </c>
      <c r="B20" s="40"/>
      <c r="C20" s="40"/>
      <c r="D20" s="40"/>
      <c r="E20" s="40"/>
      <c r="F20" s="40">
        <v>40</v>
      </c>
      <c r="G20" s="40">
        <v>60</v>
      </c>
      <c r="H20" s="40">
        <v>60</v>
      </c>
      <c r="I20" s="40">
        <v>60</v>
      </c>
      <c r="J20" s="40"/>
      <c r="K20" s="39"/>
    </row>
    <row r="21" spans="1:11">
      <c r="A21" s="39" t="s">
        <v>5256</v>
      </c>
      <c r="B21" s="40"/>
      <c r="C21" s="40"/>
      <c r="D21" s="40"/>
      <c r="E21" s="40"/>
      <c r="F21" s="40"/>
      <c r="G21" s="40"/>
      <c r="H21" s="40"/>
      <c r="I21" s="40"/>
      <c r="J21" s="40"/>
      <c r="K21" s="39"/>
    </row>
    <row r="22" spans="1:11">
      <c r="A22" s="39" t="s">
        <v>5257</v>
      </c>
      <c r="B22" s="40"/>
      <c r="C22" s="40"/>
      <c r="D22" s="40"/>
      <c r="E22" s="40"/>
      <c r="F22" s="40"/>
      <c r="G22" s="40"/>
      <c r="H22" s="40"/>
      <c r="I22" s="40"/>
      <c r="J22" s="40"/>
      <c r="K22" s="39"/>
    </row>
    <row r="23" spans="1:11">
      <c r="A23" s="39" t="s">
        <v>4521</v>
      </c>
      <c r="B23" s="40">
        <f t="shared" ref="B23:J23" si="0">SUM(B3:B22)</f>
        <v>949</v>
      </c>
      <c r="C23" s="40">
        <f t="shared" si="0"/>
        <v>946.06</v>
      </c>
      <c r="D23" s="40">
        <f t="shared" si="0"/>
        <v>636.47</v>
      </c>
      <c r="E23" s="40">
        <f t="shared" si="0"/>
        <v>729.05000000000007</v>
      </c>
      <c r="F23" s="40">
        <f t="shared" si="0"/>
        <v>483.11</v>
      </c>
      <c r="G23" s="40">
        <f t="shared" si="0"/>
        <v>571.34</v>
      </c>
      <c r="H23" s="40">
        <f t="shared" si="0"/>
        <v>905.80000000000007</v>
      </c>
      <c r="I23" s="40">
        <f t="shared" si="0"/>
        <v>1466.1100000000001</v>
      </c>
      <c r="J23" s="40">
        <f t="shared" si="0"/>
        <v>1920.45</v>
      </c>
      <c r="K23" s="41">
        <f>SUM(B23:J23)</f>
        <v>8607.3900000000012</v>
      </c>
    </row>
    <row r="24" spans="1:11">
      <c r="A24" s="39"/>
      <c r="B24" s="39"/>
      <c r="C24" s="39"/>
      <c r="D24" s="39"/>
      <c r="E24" s="39"/>
      <c r="F24" s="39"/>
      <c r="G24" s="39"/>
      <c r="H24" s="39"/>
      <c r="I24" s="39"/>
      <c r="J24" s="39"/>
      <c r="K24" s="39"/>
    </row>
    <row r="25" spans="1:11">
      <c r="A25" s="54" t="s">
        <v>5258</v>
      </c>
      <c r="B25" s="55">
        <v>8607.39</v>
      </c>
      <c r="C25" s="39"/>
      <c r="D25" s="39"/>
      <c r="E25" s="39"/>
      <c r="F25" s="39"/>
      <c r="G25" s="39"/>
      <c r="H25" s="39"/>
      <c r="I25" s="39"/>
      <c r="J25" s="39"/>
      <c r="K25" s="39"/>
    </row>
    <row r="26" spans="1:11">
      <c r="A26" s="39"/>
      <c r="B26" s="39"/>
      <c r="C26" s="42" t="s">
        <v>5259</v>
      </c>
      <c r="D26" s="42"/>
      <c r="E26" s="39"/>
      <c r="F26" s="39"/>
      <c r="G26" s="39"/>
      <c r="H26" s="39"/>
      <c r="I26" s="39"/>
      <c r="J26" s="39"/>
      <c r="K26" s="39"/>
    </row>
    <row r="27" spans="1:11">
      <c r="A27" s="43" t="s">
        <v>5260</v>
      </c>
      <c r="B27" s="44">
        <v>32000</v>
      </c>
      <c r="C27" s="43" t="s">
        <v>5261</v>
      </c>
      <c r="D27" s="45">
        <v>42491</v>
      </c>
      <c r="E27" s="44">
        <v>721.06</v>
      </c>
      <c r="F27" s="39"/>
      <c r="G27" s="39"/>
      <c r="H27" s="39"/>
      <c r="I27" s="39"/>
      <c r="J27" s="39"/>
      <c r="K27" s="39"/>
    </row>
    <row r="28" spans="1:11">
      <c r="A28" s="46" t="s">
        <v>5262</v>
      </c>
      <c r="B28" s="47"/>
      <c r="C28" s="46" t="s">
        <v>5263</v>
      </c>
      <c r="D28" s="48">
        <v>42491</v>
      </c>
      <c r="E28" s="49">
        <v>192.76</v>
      </c>
      <c r="F28" s="39"/>
      <c r="G28" s="39"/>
      <c r="H28" s="39"/>
      <c r="I28" s="39"/>
      <c r="J28" s="39"/>
      <c r="K28" s="39"/>
    </row>
    <row r="29" spans="1:11">
      <c r="A29" s="46" t="s">
        <v>5264</v>
      </c>
      <c r="B29" s="47"/>
      <c r="C29" s="50" t="s">
        <v>5263</v>
      </c>
      <c r="D29" s="51">
        <v>42583</v>
      </c>
      <c r="E29" s="52">
        <v>225</v>
      </c>
      <c r="F29" s="39"/>
      <c r="G29" s="39"/>
      <c r="H29" s="39"/>
      <c r="I29" s="39"/>
      <c r="J29" s="39"/>
      <c r="K29" s="39"/>
    </row>
    <row r="30" spans="1:11">
      <c r="A30" s="46" t="s">
        <v>5265</v>
      </c>
      <c r="B30" s="49">
        <v>1600</v>
      </c>
      <c r="C30" s="39"/>
      <c r="D30" s="39"/>
      <c r="E30" s="39"/>
      <c r="F30" s="39"/>
      <c r="G30" s="39"/>
      <c r="H30" s="39"/>
      <c r="I30" s="39"/>
      <c r="J30" s="39"/>
      <c r="K30" s="39"/>
    </row>
    <row r="31" spans="1:11">
      <c r="A31" s="50" t="s">
        <v>5266</v>
      </c>
      <c r="B31" s="53"/>
      <c r="C31" s="39"/>
      <c r="D31" s="39"/>
      <c r="E31" s="39"/>
      <c r="F31" s="39"/>
      <c r="G31" s="39"/>
      <c r="H31" s="39"/>
      <c r="I31" s="39"/>
      <c r="J31" s="39"/>
      <c r="K31" s="39"/>
    </row>
    <row r="32" spans="1:11">
      <c r="A32" s="56" t="s">
        <v>5267</v>
      </c>
      <c r="B32" s="57" t="s">
        <v>5268</v>
      </c>
      <c r="C32" s="58" t="s">
        <v>5269</v>
      </c>
      <c r="D32" s="39"/>
      <c r="E32" s="39"/>
      <c r="F32" s="39"/>
      <c r="G32" s="39"/>
      <c r="H32" s="39"/>
      <c r="I32" s="39"/>
      <c r="J32" s="39"/>
      <c r="K32" s="39"/>
    </row>
    <row r="33" spans="1:12">
      <c r="A33" s="59">
        <v>225420.46</v>
      </c>
      <c r="B33" s="60">
        <v>219269.94</v>
      </c>
      <c r="C33" s="52">
        <f>A33-B33</f>
        <v>6150.5199999999895</v>
      </c>
      <c r="D33" s="39"/>
      <c r="E33" s="39"/>
      <c r="F33" s="39"/>
      <c r="G33" s="39"/>
      <c r="H33" s="39"/>
      <c r="I33" s="39"/>
      <c r="J33" s="39"/>
      <c r="K33" s="39"/>
    </row>
    <row r="34" spans="1:12">
      <c r="A34" s="39"/>
      <c r="B34" s="39"/>
      <c r="C34" s="39"/>
      <c r="D34" s="39"/>
      <c r="E34" s="39"/>
      <c r="F34" s="39"/>
      <c r="G34" s="39"/>
      <c r="H34" s="39"/>
      <c r="I34" s="39"/>
      <c r="J34" s="39"/>
      <c r="K34" s="39"/>
    </row>
    <row r="37" spans="1:12">
      <c r="C37" t="s">
        <v>5270</v>
      </c>
      <c r="D37">
        <v>24</v>
      </c>
      <c r="E37" s="64">
        <v>60890.890000000007</v>
      </c>
      <c r="F37" s="11">
        <v>59698.7</v>
      </c>
      <c r="G37" s="26">
        <v>1224.19</v>
      </c>
      <c r="H37" s="24">
        <f t="shared" ref="H37:H42" si="1">(E37/F37)-1</f>
        <v>1.9970116602204158E-2</v>
      </c>
    </row>
    <row r="38" spans="1:12">
      <c r="C38" t="s">
        <v>5271</v>
      </c>
      <c r="D38">
        <v>23</v>
      </c>
      <c r="E38" s="64">
        <v>133470.9</v>
      </c>
      <c r="F38" s="11">
        <v>131184.76999999999</v>
      </c>
      <c r="G38" s="26">
        <v>2286.1300000000028</v>
      </c>
      <c r="H38" s="24">
        <f t="shared" si="1"/>
        <v>1.7426794284123082E-2</v>
      </c>
    </row>
    <row r="39" spans="1:12">
      <c r="C39" t="s">
        <v>5272</v>
      </c>
      <c r="D39">
        <v>36</v>
      </c>
      <c r="E39" s="1">
        <v>126433.14</v>
      </c>
      <c r="F39" s="1">
        <v>123384.05</v>
      </c>
      <c r="G39" s="1">
        <v>3049.090000000002</v>
      </c>
      <c r="H39" s="24">
        <f t="shared" si="1"/>
        <v>2.471218929837371E-2</v>
      </c>
    </row>
    <row r="40" spans="1:12">
      <c r="C40" t="s">
        <v>4522</v>
      </c>
      <c r="D40">
        <v>42</v>
      </c>
      <c r="E40" s="1">
        <v>169565.76</v>
      </c>
      <c r="F40" s="1">
        <v>165469.07999999999</v>
      </c>
      <c r="G40" s="1">
        <v>4096.6799999999967</v>
      </c>
      <c r="H40" s="24">
        <f t="shared" si="1"/>
        <v>2.4757978952925974E-2</v>
      </c>
    </row>
    <row r="41" spans="1:12">
      <c r="C41" t="s">
        <v>5273</v>
      </c>
      <c r="D41">
        <v>36</v>
      </c>
      <c r="E41" s="1">
        <v>140324.59</v>
      </c>
      <c r="F41" s="1">
        <v>136455.67999999999</v>
      </c>
      <c r="G41" s="1">
        <v>3868.910000000003</v>
      </c>
      <c r="H41" s="24">
        <f t="shared" si="1"/>
        <v>2.8352868858225744E-2</v>
      </c>
    </row>
    <row r="42" spans="1:12">
      <c r="E42" s="11">
        <f>SUM(E39:E41)</f>
        <v>436323.49</v>
      </c>
      <c r="F42" s="11">
        <f>SUM(F39:F41)</f>
        <v>425308.81</v>
      </c>
      <c r="G42" s="11">
        <f>SUM(G39:G41)</f>
        <v>11014.680000000002</v>
      </c>
      <c r="H42" s="24">
        <f t="shared" si="1"/>
        <v>2.5898076270745474E-2</v>
      </c>
    </row>
    <row r="46" spans="1:12">
      <c r="L46" t="s">
        <v>5274</v>
      </c>
    </row>
    <row r="47" spans="1:12">
      <c r="C47" s="25" t="s">
        <v>5272</v>
      </c>
      <c r="D47" s="25">
        <v>36</v>
      </c>
      <c r="E47" s="61">
        <v>126433.14</v>
      </c>
      <c r="F47" s="61">
        <v>123384.05</v>
      </c>
      <c r="G47" s="61">
        <v>3049.090000000002</v>
      </c>
      <c r="H47" s="145">
        <f>(E47/F47)-1</f>
        <v>2.471218929837371E-2</v>
      </c>
      <c r="I47" s="61">
        <v>1700</v>
      </c>
    </row>
    <row r="48" spans="1:12">
      <c r="C48" s="25" t="s">
        <v>4522</v>
      </c>
      <c r="D48" s="25">
        <v>42</v>
      </c>
      <c r="E48" s="61">
        <v>169565.76</v>
      </c>
      <c r="F48" s="61">
        <v>165469.07999999999</v>
      </c>
      <c r="G48" s="61">
        <v>4096.6799999999967</v>
      </c>
      <c r="H48" s="145">
        <f>(E48/F48)-1</f>
        <v>2.4757978952925974E-2</v>
      </c>
      <c r="I48" s="61">
        <v>1700</v>
      </c>
    </row>
    <row r="49" spans="3:12">
      <c r="C49" s="25" t="s">
        <v>5273</v>
      </c>
      <c r="D49" s="25">
        <v>36</v>
      </c>
      <c r="E49" s="61">
        <v>140324.59</v>
      </c>
      <c r="F49" s="61">
        <v>136455.67999999999</v>
      </c>
      <c r="G49" s="61">
        <v>3868.910000000003</v>
      </c>
      <c r="H49" s="145">
        <f>(E49/F49)-1</f>
        <v>2.8352868858225744E-2</v>
      </c>
      <c r="I49" s="61">
        <v>1700</v>
      </c>
    </row>
    <row r="50" spans="3:12">
      <c r="C50" s="25"/>
      <c r="D50" s="25"/>
      <c r="E50" s="62">
        <f>SUM(E47:E49)</f>
        <v>436323.49</v>
      </c>
      <c r="F50" s="62">
        <f>SUM(F47:F49)</f>
        <v>425308.81</v>
      </c>
      <c r="G50" s="62">
        <f>SUM(G47:G49)</f>
        <v>11014.680000000002</v>
      </c>
      <c r="H50" s="145">
        <f>(E50/F50)-1</f>
        <v>2.5898076270745474E-2</v>
      </c>
      <c r="I50" s="62">
        <f>SUM(I47:I49)</f>
        <v>5100</v>
      </c>
      <c r="J50" s="11">
        <f>+G50-I50</f>
        <v>5914.6800000000021</v>
      </c>
    </row>
    <row r="51" spans="3:12">
      <c r="C51" s="25"/>
      <c r="D51" s="25"/>
      <c r="E51" s="25"/>
      <c r="F51" s="25"/>
      <c r="G51" s="25"/>
      <c r="H51" s="25"/>
      <c r="I51" s="25"/>
    </row>
    <row r="52" spans="3:12">
      <c r="E52" s="1"/>
      <c r="F52" s="11"/>
      <c r="G52" s="11"/>
    </row>
    <row r="53" spans="3:12">
      <c r="G53" s="1"/>
      <c r="J53" s="11"/>
      <c r="K53">
        <v>3600</v>
      </c>
    </row>
    <row r="54" spans="3:12">
      <c r="K54">
        <v>2500</v>
      </c>
    </row>
    <row r="55" spans="3:12">
      <c r="K55">
        <f>SUM(K53:K54)</f>
        <v>6100</v>
      </c>
      <c r="L55">
        <v>6700</v>
      </c>
    </row>
    <row r="56" spans="3:12">
      <c r="K56">
        <v>600</v>
      </c>
    </row>
    <row r="57" spans="3:12">
      <c r="K57">
        <f>SUM(K56)</f>
        <v>600</v>
      </c>
    </row>
  </sheetData>
  <printOptions headings="1"/>
  <pageMargins left="0.7" right="0.7" top="0.75" bottom="0.75" header="0.3" footer="0.3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K7"/>
  <sheetViews>
    <sheetView workbookViewId="0"/>
  </sheetViews>
  <sheetFormatPr defaultRowHeight="15"/>
  <cols>
    <col min="1" max="1" width="15.28515625" customWidth="1"/>
    <col min="4" max="4" width="10.140625" bestFit="1" customWidth="1"/>
    <col min="5" max="5" width="9" bestFit="1" customWidth="1"/>
    <col min="6" max="6" width="11.140625" bestFit="1" customWidth="1"/>
    <col min="7" max="7" width="9" bestFit="1" customWidth="1"/>
    <col min="8" max="8" width="10.140625" bestFit="1" customWidth="1"/>
    <col min="11" max="11" width="11.140625" bestFit="1" customWidth="1"/>
  </cols>
  <sheetData>
    <row r="2" spans="1:11">
      <c r="B2" s="7" t="s">
        <v>5275</v>
      </c>
      <c r="C2" s="7"/>
      <c r="D2" s="7"/>
    </row>
    <row r="4" spans="1:11">
      <c r="B4" s="7" t="s">
        <v>5223</v>
      </c>
      <c r="C4" s="7" t="s">
        <v>5224</v>
      </c>
      <c r="D4" s="7" t="s">
        <v>5225</v>
      </c>
      <c r="E4" s="7" t="s">
        <v>5226</v>
      </c>
      <c r="F4" s="7" t="s">
        <v>5227</v>
      </c>
      <c r="G4" s="7" t="s">
        <v>5228</v>
      </c>
      <c r="H4" s="7" t="s">
        <v>4509</v>
      </c>
      <c r="I4" s="7" t="s">
        <v>5229</v>
      </c>
      <c r="J4" s="7" t="s">
        <v>5230</v>
      </c>
    </row>
    <row r="5" spans="1:11">
      <c r="A5" t="s">
        <v>5276</v>
      </c>
      <c r="D5" s="1">
        <v>1000</v>
      </c>
      <c r="E5" s="1"/>
      <c r="F5" s="1">
        <v>31000</v>
      </c>
      <c r="G5" s="1"/>
      <c r="H5" s="1"/>
      <c r="I5" s="1"/>
      <c r="J5" s="1"/>
      <c r="K5" s="1">
        <f>SUM(B5:F5)</f>
        <v>32000</v>
      </c>
    </row>
    <row r="6" spans="1:11">
      <c r="A6" t="s">
        <v>5277</v>
      </c>
      <c r="D6" s="1"/>
      <c r="E6" s="1">
        <v>600</v>
      </c>
      <c r="F6" s="1"/>
      <c r="G6" s="1">
        <v>700</v>
      </c>
      <c r="H6" s="1">
        <v>3000</v>
      </c>
      <c r="I6" s="1"/>
      <c r="J6" s="1"/>
      <c r="K6" s="1">
        <f>SUM(B6:J6)</f>
        <v>4300</v>
      </c>
    </row>
    <row r="7" spans="1:11">
      <c r="K7" s="11">
        <f>K5-K6</f>
        <v>27700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H37"/>
  <sheetViews>
    <sheetView workbookViewId="0"/>
  </sheetViews>
  <sheetFormatPr defaultRowHeight="15"/>
  <cols>
    <col min="4" max="4" width="12.7109375" customWidth="1"/>
    <col min="6" max="6" width="9" customWidth="1"/>
    <col min="7" max="7" width="14.140625" customWidth="1"/>
    <col min="8" max="8" width="7.7109375" customWidth="1"/>
  </cols>
  <sheetData>
    <row r="2" spans="1:8">
      <c r="A2" s="29" t="s">
        <v>4472</v>
      </c>
      <c r="B2" s="29" t="s">
        <v>106</v>
      </c>
      <c r="C2" s="29" t="s">
        <v>107</v>
      </c>
      <c r="D2" s="29" t="s">
        <v>108</v>
      </c>
      <c r="E2" s="29" t="s">
        <v>109</v>
      </c>
      <c r="F2" s="29" t="s">
        <v>112</v>
      </c>
      <c r="G2" s="29" t="s">
        <v>113</v>
      </c>
      <c r="H2" s="29" t="s">
        <v>114</v>
      </c>
    </row>
    <row r="3" spans="1:8">
      <c r="A3" s="23" t="s">
        <v>5278</v>
      </c>
      <c r="B3" s="23">
        <v>7</v>
      </c>
      <c r="C3" s="30" t="s">
        <v>117</v>
      </c>
      <c r="D3" s="31">
        <v>42585</v>
      </c>
      <c r="E3" s="31"/>
      <c r="F3" s="32">
        <v>29253.21</v>
      </c>
      <c r="G3" s="32">
        <v>29225</v>
      </c>
      <c r="H3" s="32">
        <f t="shared" ref="H3:H11" si="0">F3-G3</f>
        <v>28.209999999999127</v>
      </c>
    </row>
    <row r="4" spans="1:8">
      <c r="A4" s="23" t="s">
        <v>5279</v>
      </c>
      <c r="B4" s="23">
        <v>19</v>
      </c>
      <c r="C4" s="30" t="s">
        <v>118</v>
      </c>
      <c r="D4" s="31">
        <v>42619</v>
      </c>
      <c r="E4" s="31"/>
      <c r="F4" s="33">
        <v>59722.89</v>
      </c>
      <c r="G4" s="34">
        <v>59299.87</v>
      </c>
      <c r="H4" s="32">
        <f t="shared" si="0"/>
        <v>423.0199999999968</v>
      </c>
    </row>
    <row r="5" spans="1:8">
      <c r="A5" s="23" t="s">
        <v>5278</v>
      </c>
      <c r="B5" s="23">
        <v>4</v>
      </c>
      <c r="C5" s="30" t="s">
        <v>117</v>
      </c>
      <c r="D5" s="31">
        <v>42646</v>
      </c>
      <c r="E5" s="31"/>
      <c r="F5" s="32">
        <v>16952</v>
      </c>
      <c r="G5" s="32">
        <v>16700</v>
      </c>
      <c r="H5" s="32">
        <f t="shared" si="0"/>
        <v>252</v>
      </c>
    </row>
    <row r="6" spans="1:8">
      <c r="A6" s="23" t="s">
        <v>5280</v>
      </c>
      <c r="B6" s="23">
        <v>25</v>
      </c>
      <c r="C6" s="30" t="s">
        <v>120</v>
      </c>
      <c r="D6" s="31">
        <v>42656</v>
      </c>
      <c r="E6" s="31"/>
      <c r="F6" s="33">
        <v>4019.25</v>
      </c>
      <c r="G6" s="32">
        <v>3950</v>
      </c>
      <c r="H6" s="32">
        <f t="shared" si="0"/>
        <v>69.25</v>
      </c>
    </row>
    <row r="7" spans="1:8">
      <c r="A7" s="23" t="s">
        <v>5281</v>
      </c>
      <c r="B7" s="23">
        <v>41</v>
      </c>
      <c r="C7" s="30" t="s">
        <v>121</v>
      </c>
      <c r="D7" s="31">
        <v>42654</v>
      </c>
      <c r="E7" s="31"/>
      <c r="F7" s="33">
        <v>15748.51</v>
      </c>
      <c r="G7" s="32">
        <v>15251.52</v>
      </c>
      <c r="H7" s="32">
        <f t="shared" si="0"/>
        <v>496.98999999999978</v>
      </c>
    </row>
    <row r="8" spans="1:8">
      <c r="A8" s="23" t="s">
        <v>5282</v>
      </c>
      <c r="B8" s="23"/>
      <c r="C8" s="30" t="s">
        <v>123</v>
      </c>
      <c r="D8" s="31">
        <v>42664</v>
      </c>
      <c r="E8" s="31"/>
      <c r="F8" s="33">
        <v>4547.3599999999997</v>
      </c>
      <c r="G8" s="32">
        <v>4479.2</v>
      </c>
      <c r="H8" s="32">
        <f t="shared" si="0"/>
        <v>68.159999999999854</v>
      </c>
    </row>
    <row r="9" spans="1:8">
      <c r="A9" s="23" t="s">
        <v>5281</v>
      </c>
      <c r="B9" s="23">
        <v>4</v>
      </c>
      <c r="C9" s="30" t="s">
        <v>124</v>
      </c>
      <c r="D9" s="31">
        <v>42684</v>
      </c>
      <c r="E9" s="31"/>
      <c r="F9" s="33">
        <v>8595.08</v>
      </c>
      <c r="G9" s="32">
        <v>8144</v>
      </c>
      <c r="H9" s="32">
        <f t="shared" si="0"/>
        <v>451.07999999999993</v>
      </c>
    </row>
    <row r="10" spans="1:8">
      <c r="A10" s="23" t="s">
        <v>5283</v>
      </c>
      <c r="B10" s="23">
        <v>100</v>
      </c>
      <c r="C10" s="30" t="s">
        <v>125</v>
      </c>
      <c r="D10" s="31">
        <v>42704</v>
      </c>
      <c r="E10" s="31"/>
      <c r="F10" s="33">
        <v>4337</v>
      </c>
      <c r="G10" s="32">
        <v>4239</v>
      </c>
      <c r="H10" s="32">
        <f t="shared" si="0"/>
        <v>98</v>
      </c>
    </row>
    <row r="11" spans="1:8">
      <c r="A11" s="23" t="s">
        <v>5284</v>
      </c>
      <c r="B11" s="23">
        <v>388</v>
      </c>
      <c r="C11" s="30" t="s">
        <v>126</v>
      </c>
      <c r="D11" s="31">
        <v>42711</v>
      </c>
      <c r="E11" s="31"/>
      <c r="F11" s="33">
        <v>5505.72</v>
      </c>
      <c r="G11" s="32">
        <v>5432</v>
      </c>
      <c r="H11" s="32">
        <f t="shared" si="0"/>
        <v>73.720000000000255</v>
      </c>
    </row>
    <row r="12" spans="1:8">
      <c r="A12" s="23" t="s">
        <v>4475</v>
      </c>
      <c r="B12" s="23">
        <v>13</v>
      </c>
      <c r="C12" s="30" t="s">
        <v>118</v>
      </c>
      <c r="D12" s="31">
        <v>42720</v>
      </c>
      <c r="E12" s="31"/>
      <c r="F12" s="33">
        <v>0</v>
      </c>
      <c r="G12" s="35">
        <v>0</v>
      </c>
      <c r="H12" s="32">
        <v>0</v>
      </c>
    </row>
    <row r="13" spans="1:8">
      <c r="A13" s="23" t="s">
        <v>5281</v>
      </c>
      <c r="B13" s="23">
        <v>100</v>
      </c>
      <c r="C13" s="30" t="s">
        <v>127</v>
      </c>
      <c r="D13" s="31">
        <v>42727</v>
      </c>
      <c r="E13" s="31" t="s">
        <v>128</v>
      </c>
      <c r="F13" s="35">
        <v>2117</v>
      </c>
      <c r="G13" s="35">
        <v>2021.8</v>
      </c>
      <c r="H13" s="32">
        <f>F13-G13</f>
        <v>95.200000000000045</v>
      </c>
    </row>
    <row r="14" spans="1:8">
      <c r="A14" s="23" t="s">
        <v>5285</v>
      </c>
      <c r="B14" s="23">
        <v>6</v>
      </c>
      <c r="C14" s="30" t="s">
        <v>129</v>
      </c>
      <c r="D14" s="31">
        <v>42734</v>
      </c>
      <c r="E14" s="23" t="s">
        <v>130</v>
      </c>
      <c r="F14" s="33">
        <v>5532.66</v>
      </c>
      <c r="G14" s="35">
        <v>5445.26</v>
      </c>
      <c r="H14" s="32">
        <f>F14-G14</f>
        <v>87.399999999999636</v>
      </c>
    </row>
    <row r="15" spans="1:8">
      <c r="A15" s="23" t="s">
        <v>5286</v>
      </c>
      <c r="B15" s="23">
        <v>26</v>
      </c>
      <c r="C15" s="30" t="s">
        <v>131</v>
      </c>
      <c r="D15" s="31">
        <v>42734</v>
      </c>
      <c r="E15" s="23" t="s">
        <v>132</v>
      </c>
      <c r="F15" s="33">
        <v>1270.6199999999999</v>
      </c>
      <c r="G15" s="35">
        <v>1225.9000000000001</v>
      </c>
      <c r="H15" s="32">
        <f>F15-G15</f>
        <v>44.7199999999998</v>
      </c>
    </row>
    <row r="16" spans="1:8">
      <c r="A16" s="29" t="s">
        <v>4480</v>
      </c>
      <c r="B16" s="23"/>
      <c r="C16" s="30"/>
      <c r="D16" s="31"/>
      <c r="E16" s="23"/>
      <c r="F16" s="36">
        <f>SUM(F3:F15)</f>
        <v>157601.29999999999</v>
      </c>
      <c r="G16" s="36">
        <f>SUM(G3:G15)</f>
        <v>155413.54999999999</v>
      </c>
      <c r="H16" s="34">
        <f>SUM(H3:H15)</f>
        <v>2187.749999999995</v>
      </c>
    </row>
    <row r="17" spans="1:8">
      <c r="A17" s="23" t="s">
        <v>5287</v>
      </c>
      <c r="B17" s="23">
        <v>2</v>
      </c>
      <c r="C17" s="37" t="s">
        <v>133</v>
      </c>
      <c r="D17" s="31">
        <v>42744</v>
      </c>
      <c r="E17" s="23" t="s">
        <v>134</v>
      </c>
      <c r="F17" s="33">
        <v>7555.12</v>
      </c>
      <c r="G17" s="35">
        <v>6329.83</v>
      </c>
      <c r="H17" s="32">
        <f t="shared" ref="H17:H36" si="1">F17-G17</f>
        <v>1225.29</v>
      </c>
    </row>
    <row r="18" spans="1:8">
      <c r="A18" s="23" t="s">
        <v>5284</v>
      </c>
      <c r="B18" s="23">
        <v>77</v>
      </c>
      <c r="C18" s="30" t="s">
        <v>135</v>
      </c>
      <c r="D18" s="31">
        <v>42760</v>
      </c>
      <c r="E18" s="23">
        <v>30</v>
      </c>
      <c r="F18" s="33">
        <v>6678.21</v>
      </c>
      <c r="G18" s="35">
        <v>6615.07</v>
      </c>
      <c r="H18" s="32">
        <f t="shared" si="1"/>
        <v>63.140000000000327</v>
      </c>
    </row>
    <row r="19" spans="1:8">
      <c r="A19" s="23" t="s">
        <v>5285</v>
      </c>
      <c r="B19" s="23">
        <v>14</v>
      </c>
      <c r="C19" s="30" t="s">
        <v>129</v>
      </c>
      <c r="D19" s="31">
        <v>42768</v>
      </c>
      <c r="E19" s="23">
        <v>100</v>
      </c>
      <c r="F19" s="33">
        <v>12808.18</v>
      </c>
      <c r="G19" s="35">
        <v>12696.82</v>
      </c>
      <c r="H19" s="32">
        <f t="shared" si="1"/>
        <v>111.36000000000058</v>
      </c>
    </row>
    <row r="20" spans="1:8">
      <c r="A20" s="23" t="s">
        <v>5288</v>
      </c>
      <c r="B20" s="23">
        <v>2</v>
      </c>
      <c r="C20" s="30" t="s">
        <v>137</v>
      </c>
      <c r="D20" s="31">
        <v>42778</v>
      </c>
      <c r="E20" s="23">
        <v>40</v>
      </c>
      <c r="F20" s="32">
        <v>2286</v>
      </c>
      <c r="G20" s="35">
        <v>2200</v>
      </c>
      <c r="H20" s="32">
        <f t="shared" si="1"/>
        <v>86</v>
      </c>
    </row>
    <row r="21" spans="1:8">
      <c r="A21" s="23" t="s">
        <v>4475</v>
      </c>
      <c r="B21" s="23">
        <v>1</v>
      </c>
      <c r="C21" s="23" t="s">
        <v>139</v>
      </c>
      <c r="D21" s="31">
        <v>42797</v>
      </c>
      <c r="E21" s="23">
        <v>100</v>
      </c>
      <c r="F21" s="33">
        <v>13033.44</v>
      </c>
      <c r="G21" s="35">
        <v>12668</v>
      </c>
      <c r="H21" s="32">
        <f t="shared" si="1"/>
        <v>365.44000000000051</v>
      </c>
    </row>
    <row r="22" spans="1:8">
      <c r="A22" s="23" t="s">
        <v>5285</v>
      </c>
      <c r="B22" s="23">
        <v>8</v>
      </c>
      <c r="C22" s="30" t="s">
        <v>129</v>
      </c>
      <c r="D22" s="31">
        <v>42798</v>
      </c>
      <c r="E22" s="23">
        <v>60</v>
      </c>
      <c r="F22" s="33">
        <v>2834.32</v>
      </c>
      <c r="G22" s="35">
        <v>2766</v>
      </c>
      <c r="H22" s="32">
        <f t="shared" si="1"/>
        <v>68.320000000000164</v>
      </c>
    </row>
    <row r="23" spans="1:8">
      <c r="A23" s="23" t="s">
        <v>5289</v>
      </c>
      <c r="B23" s="23">
        <v>16</v>
      </c>
      <c r="C23" s="23" t="s">
        <v>142</v>
      </c>
      <c r="D23" s="31">
        <v>42801</v>
      </c>
      <c r="E23" s="23">
        <v>190</v>
      </c>
      <c r="F23" s="33">
        <v>17787.68</v>
      </c>
      <c r="G23" s="35">
        <v>17594</v>
      </c>
      <c r="H23" s="32">
        <f t="shared" si="1"/>
        <v>193.68000000000029</v>
      </c>
    </row>
    <row r="24" spans="1:8">
      <c r="A24" s="23" t="s">
        <v>5285</v>
      </c>
      <c r="B24" s="23">
        <v>6</v>
      </c>
      <c r="C24" s="23" t="s">
        <v>129</v>
      </c>
      <c r="D24" s="31">
        <v>42801</v>
      </c>
      <c r="E24" s="23">
        <v>120</v>
      </c>
      <c r="F24" s="33">
        <v>4300.68</v>
      </c>
      <c r="G24" s="35">
        <v>4230</v>
      </c>
      <c r="H24" s="32">
        <f t="shared" si="1"/>
        <v>70.680000000000291</v>
      </c>
    </row>
    <row r="25" spans="1:8">
      <c r="A25" s="23" t="s">
        <v>5290</v>
      </c>
      <c r="B25" s="23">
        <v>4</v>
      </c>
      <c r="C25" s="23" t="s">
        <v>147</v>
      </c>
      <c r="D25" s="31">
        <v>42803</v>
      </c>
      <c r="E25" s="23">
        <v>90</v>
      </c>
      <c r="F25" s="32">
        <v>9393.56</v>
      </c>
      <c r="G25" s="35">
        <v>9268</v>
      </c>
      <c r="H25" s="32">
        <f t="shared" si="1"/>
        <v>125.55999999999949</v>
      </c>
    </row>
    <row r="26" spans="1:8">
      <c r="A26" s="23" t="s">
        <v>5291</v>
      </c>
      <c r="B26" s="23">
        <v>3</v>
      </c>
      <c r="C26" s="23" t="s">
        <v>150</v>
      </c>
      <c r="D26" s="31">
        <v>42814</v>
      </c>
      <c r="E26" s="23">
        <v>90</v>
      </c>
      <c r="F26" s="35">
        <v>813</v>
      </c>
      <c r="G26" s="35">
        <v>792</v>
      </c>
      <c r="H26" s="35">
        <f t="shared" si="1"/>
        <v>21</v>
      </c>
    </row>
    <row r="27" spans="1:8">
      <c r="A27" s="23" t="s">
        <v>5292</v>
      </c>
      <c r="B27" s="23">
        <v>6</v>
      </c>
      <c r="C27" s="23" t="s">
        <v>131</v>
      </c>
      <c r="D27" s="31">
        <v>42817</v>
      </c>
      <c r="E27" s="23">
        <v>60</v>
      </c>
      <c r="F27" s="33">
        <v>408</v>
      </c>
      <c r="G27" s="35">
        <v>369.96</v>
      </c>
      <c r="H27" s="35">
        <f t="shared" si="1"/>
        <v>38.04000000000002</v>
      </c>
    </row>
    <row r="28" spans="1:8">
      <c r="A28" s="23" t="s">
        <v>4475</v>
      </c>
      <c r="B28" s="23">
        <v>6</v>
      </c>
      <c r="C28" s="23" t="s">
        <v>155</v>
      </c>
      <c r="D28" s="31">
        <v>42824</v>
      </c>
      <c r="E28" s="23">
        <v>240</v>
      </c>
      <c r="F28" s="33">
        <v>3192</v>
      </c>
      <c r="G28" s="35">
        <v>3100</v>
      </c>
      <c r="H28" s="35">
        <f t="shared" si="1"/>
        <v>92</v>
      </c>
    </row>
    <row r="29" spans="1:8">
      <c r="A29" s="23" t="s">
        <v>5293</v>
      </c>
      <c r="B29" s="23">
        <v>6</v>
      </c>
      <c r="C29" s="23" t="s">
        <v>155</v>
      </c>
      <c r="D29" s="31">
        <v>42829</v>
      </c>
      <c r="E29" s="23">
        <v>240</v>
      </c>
      <c r="F29" s="33">
        <v>8053.26</v>
      </c>
      <c r="G29" s="35">
        <v>7976.16</v>
      </c>
      <c r="H29" s="35">
        <f t="shared" si="1"/>
        <v>77.100000000000364</v>
      </c>
    </row>
    <row r="30" spans="1:8">
      <c r="A30" s="23" t="s">
        <v>5294</v>
      </c>
      <c r="B30" s="23">
        <v>1</v>
      </c>
      <c r="C30" s="23" t="s">
        <v>150</v>
      </c>
      <c r="D30" s="31">
        <v>42832</v>
      </c>
      <c r="E30" s="23">
        <v>200</v>
      </c>
      <c r="F30" s="33">
        <v>1111.77</v>
      </c>
      <c r="G30" s="35">
        <v>1085.5</v>
      </c>
      <c r="H30" s="35">
        <f t="shared" si="1"/>
        <v>26.269999999999982</v>
      </c>
    </row>
    <row r="31" spans="1:8">
      <c r="A31" s="23" t="s">
        <v>5295</v>
      </c>
      <c r="B31" s="23">
        <v>1</v>
      </c>
      <c r="C31" s="23" t="s">
        <v>139</v>
      </c>
      <c r="D31" s="31">
        <v>42836</v>
      </c>
      <c r="E31" s="23">
        <v>110</v>
      </c>
      <c r="F31" s="33">
        <v>3497</v>
      </c>
      <c r="G31" s="35">
        <v>3448</v>
      </c>
      <c r="H31" s="35">
        <f t="shared" si="1"/>
        <v>49</v>
      </c>
    </row>
    <row r="32" spans="1:8">
      <c r="A32" s="23" t="s">
        <v>5296</v>
      </c>
      <c r="B32" s="23">
        <v>1</v>
      </c>
      <c r="C32" s="23" t="s">
        <v>131</v>
      </c>
      <c r="D32" s="31">
        <v>42836</v>
      </c>
      <c r="E32" s="23">
        <v>80</v>
      </c>
      <c r="F32" s="33">
        <v>599.84</v>
      </c>
      <c r="G32" s="35">
        <v>562.84</v>
      </c>
      <c r="H32" s="35">
        <f t="shared" si="1"/>
        <v>37</v>
      </c>
    </row>
    <row r="33" spans="1:8">
      <c r="A33" s="23" t="s">
        <v>5297</v>
      </c>
      <c r="B33" s="23">
        <v>24</v>
      </c>
      <c r="C33" s="38" t="s">
        <v>150</v>
      </c>
      <c r="D33" s="31">
        <v>42837</v>
      </c>
      <c r="E33" s="23">
        <v>210</v>
      </c>
      <c r="F33" s="32">
        <v>6386.64</v>
      </c>
      <c r="G33" s="35">
        <v>6286.8</v>
      </c>
      <c r="H33" s="35">
        <f t="shared" si="1"/>
        <v>99.840000000000146</v>
      </c>
    </row>
    <row r="34" spans="1:8">
      <c r="A34" s="23" t="s">
        <v>5295</v>
      </c>
      <c r="B34" s="23">
        <v>4</v>
      </c>
      <c r="C34" s="23" t="s">
        <v>139</v>
      </c>
      <c r="D34" s="31">
        <v>42842</v>
      </c>
      <c r="E34" s="23">
        <v>120</v>
      </c>
      <c r="F34" s="33">
        <v>18328</v>
      </c>
      <c r="G34" s="35">
        <v>17712</v>
      </c>
      <c r="H34" s="35">
        <f t="shared" si="1"/>
        <v>616</v>
      </c>
    </row>
    <row r="35" spans="1:8">
      <c r="A35" s="23" t="s">
        <v>5295</v>
      </c>
      <c r="B35" s="23">
        <v>8</v>
      </c>
      <c r="C35" s="23" t="s">
        <v>139</v>
      </c>
      <c r="D35" s="31">
        <v>42843</v>
      </c>
      <c r="E35" s="23">
        <v>120</v>
      </c>
      <c r="F35" s="33">
        <v>4686.24</v>
      </c>
      <c r="G35" s="35">
        <v>4592</v>
      </c>
      <c r="H35" s="35">
        <f t="shared" si="1"/>
        <v>94.239999999999782</v>
      </c>
    </row>
    <row r="36" spans="1:8">
      <c r="A36" s="23" t="s">
        <v>5298</v>
      </c>
      <c r="B36" s="23">
        <v>3</v>
      </c>
      <c r="C36" s="23" t="s">
        <v>150</v>
      </c>
      <c r="D36" s="31">
        <v>42850</v>
      </c>
      <c r="E36" s="23">
        <v>100</v>
      </c>
      <c r="F36" s="33">
        <v>1517.31</v>
      </c>
      <c r="G36" s="35">
        <v>1477.5</v>
      </c>
      <c r="H36" s="35">
        <f t="shared" si="1"/>
        <v>39.809999999999945</v>
      </c>
    </row>
    <row r="37" spans="1:8">
      <c r="A37" s="29" t="s">
        <v>5299</v>
      </c>
      <c r="B37" s="23"/>
      <c r="C37" s="23"/>
      <c r="D37" s="23"/>
      <c r="E37" s="23"/>
      <c r="F37" s="33">
        <f>SUM(F17:F36)</f>
        <v>125270.25</v>
      </c>
      <c r="G37" s="35">
        <f>SUM(G17:G36)</f>
        <v>121770.48000000001</v>
      </c>
      <c r="H37" s="35">
        <f>SUM(H17:H36)</f>
        <v>3499.7700000000018</v>
      </c>
    </row>
  </sheetData>
  <printOptions headings="1"/>
  <pageMargins left="0.7" right="0.7" top="0.75" bottom="0.75" header="0.3" footer="0.3"/>
  <pageSetup orientation="landscape" blackAndWhite="1" horizontalDpi="203" verticalDpi="20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I10"/>
  <sheetViews>
    <sheetView workbookViewId="0"/>
  </sheetViews>
  <sheetFormatPr defaultRowHeight="15"/>
  <cols>
    <col min="2" max="2" width="10.85546875" customWidth="1"/>
    <col min="3" max="3" width="3.7109375" customWidth="1"/>
    <col min="5" max="5" width="10.85546875" customWidth="1"/>
    <col min="6" max="6" width="11" customWidth="1"/>
    <col min="7" max="7" width="10.85546875" customWidth="1"/>
    <col min="8" max="8" width="11.7109375" customWidth="1"/>
    <col min="9" max="9" width="12.7109375" customWidth="1"/>
  </cols>
  <sheetData>
    <row r="2" spans="1:9">
      <c r="B2" s="7" t="s">
        <v>4471</v>
      </c>
      <c r="C2" s="7"/>
      <c r="D2" s="7"/>
    </row>
    <row r="3" spans="1:9">
      <c r="A3" s="7" t="s">
        <v>104</v>
      </c>
      <c r="B3" s="7" t="s">
        <v>4472</v>
      </c>
      <c r="C3" s="7" t="s">
        <v>106</v>
      </c>
      <c r="D3" s="7" t="s">
        <v>107</v>
      </c>
      <c r="E3" s="7" t="s">
        <v>108</v>
      </c>
      <c r="F3" s="7" t="s">
        <v>109</v>
      </c>
      <c r="G3" s="7" t="s">
        <v>112</v>
      </c>
      <c r="H3" s="7" t="s">
        <v>113</v>
      </c>
      <c r="I3" s="7" t="s">
        <v>114</v>
      </c>
    </row>
    <row r="4" spans="1:9">
      <c r="A4">
        <v>1</v>
      </c>
      <c r="B4" t="s">
        <v>4475</v>
      </c>
      <c r="C4">
        <v>71</v>
      </c>
      <c r="D4" t="s">
        <v>4476</v>
      </c>
      <c r="E4" s="6">
        <v>42614</v>
      </c>
      <c r="F4" s="6">
        <v>42667</v>
      </c>
      <c r="G4" s="1">
        <v>13487.16</v>
      </c>
      <c r="H4" s="1">
        <f>12652.2+M4</f>
        <v>12652.2</v>
      </c>
      <c r="I4" s="1">
        <f>G4-H4</f>
        <v>834.95999999999913</v>
      </c>
    </row>
    <row r="5" spans="1:9">
      <c r="A5">
        <v>2</v>
      </c>
      <c r="B5" t="s">
        <v>4477</v>
      </c>
      <c r="C5">
        <v>22</v>
      </c>
      <c r="D5" t="s">
        <v>4478</v>
      </c>
      <c r="E5" s="6">
        <v>42641</v>
      </c>
      <c r="F5" s="6">
        <v>42709</v>
      </c>
      <c r="G5" s="9">
        <v>42738</v>
      </c>
      <c r="H5" s="1">
        <v>40372</v>
      </c>
      <c r="I5" s="1">
        <f>G5-H5</f>
        <v>2366</v>
      </c>
    </row>
    <row r="6" spans="1:9">
      <c r="A6">
        <v>3</v>
      </c>
      <c r="B6" t="s">
        <v>4479</v>
      </c>
      <c r="C6">
        <v>2</v>
      </c>
      <c r="D6" t="s">
        <v>2160</v>
      </c>
      <c r="E6" s="6">
        <v>42727</v>
      </c>
      <c r="F6" s="6">
        <v>42759</v>
      </c>
      <c r="G6" s="1">
        <v>11594</v>
      </c>
      <c r="H6" s="1">
        <v>10439.56</v>
      </c>
      <c r="I6" s="1">
        <f>G6-H6</f>
        <v>1154.4400000000005</v>
      </c>
    </row>
    <row r="7" spans="1:9">
      <c r="A7" s="7"/>
      <c r="B7" s="7" t="s">
        <v>4480</v>
      </c>
      <c r="E7" s="6"/>
      <c r="F7" s="6"/>
      <c r="G7" s="5">
        <f>SUM(G4:G6)</f>
        <v>67819.16</v>
      </c>
      <c r="H7" s="5">
        <f>SUM(H4:H6)</f>
        <v>63463.759999999995</v>
      </c>
      <c r="I7" s="5">
        <f>SUM(I4:I6)</f>
        <v>4355.3999999999996</v>
      </c>
    </row>
    <row r="8" spans="1:9">
      <c r="A8">
        <v>4</v>
      </c>
      <c r="B8" t="s">
        <v>4481</v>
      </c>
      <c r="C8">
        <v>4</v>
      </c>
      <c r="D8" t="s">
        <v>4482</v>
      </c>
      <c r="E8" s="6">
        <v>42793</v>
      </c>
      <c r="F8" s="6">
        <v>42817</v>
      </c>
      <c r="G8" s="1">
        <v>10620</v>
      </c>
      <c r="H8" s="11">
        <v>9724</v>
      </c>
      <c r="I8" s="1">
        <f>G8-H8</f>
        <v>896</v>
      </c>
    </row>
    <row r="9" spans="1:9">
      <c r="H9" s="11"/>
      <c r="I9" s="11"/>
    </row>
    <row r="10" spans="1:9">
      <c r="A10">
        <v>5</v>
      </c>
      <c r="B10" t="s">
        <v>4484</v>
      </c>
      <c r="D10" t="s">
        <v>4485</v>
      </c>
      <c r="E10" s="6">
        <v>42812</v>
      </c>
      <c r="F10" s="6">
        <v>42845</v>
      </c>
      <c r="G10" s="1">
        <v>15000</v>
      </c>
      <c r="H10" s="1">
        <v>15000</v>
      </c>
      <c r="I10" s="1">
        <v>15000</v>
      </c>
    </row>
  </sheetData>
  <printOptions headings="1"/>
  <pageMargins left="0.7" right="0.7" top="0.75" bottom="0.75" header="0.3" footer="0.3"/>
  <pageSetup orientation="landscape" blackAndWhite="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4:T282"/>
  <sheetViews>
    <sheetView topLeftCell="B266" workbookViewId="0">
      <selection activeCell="C281" sqref="C281"/>
    </sheetView>
  </sheetViews>
  <sheetFormatPr defaultRowHeight="15"/>
  <cols>
    <col min="2" max="2" width="14.42578125" customWidth="1"/>
    <col min="3" max="3" width="13.28515625" customWidth="1"/>
    <col min="4" max="4" width="12.7109375" customWidth="1"/>
    <col min="5" max="5" width="11.5703125" bestFit="1" customWidth="1"/>
    <col min="6" max="6" width="12.5703125" bestFit="1" customWidth="1"/>
    <col min="7" max="7" width="16" customWidth="1"/>
    <col min="8" max="10" width="11.5703125" bestFit="1" customWidth="1"/>
    <col min="11" max="11" width="12.85546875" customWidth="1"/>
    <col min="12" max="12" width="12.7109375" customWidth="1"/>
    <col min="13" max="13" width="11.5703125" bestFit="1" customWidth="1"/>
    <col min="14" max="14" width="11.28515625" customWidth="1"/>
    <col min="15" max="15" width="14" customWidth="1"/>
    <col min="16" max="16" width="13.85546875" customWidth="1"/>
    <col min="17" max="18" width="12.28515625" customWidth="1"/>
    <col min="19" max="19" width="11.5703125" bestFit="1" customWidth="1"/>
    <col min="20" max="20" width="10.5703125" customWidth="1"/>
  </cols>
  <sheetData>
    <row r="4" spans="1:20">
      <c r="B4" s="6">
        <v>43136</v>
      </c>
      <c r="C4" s="6">
        <v>43137</v>
      </c>
      <c r="E4" s="136">
        <v>43143</v>
      </c>
    </row>
    <row r="5" spans="1:20">
      <c r="A5">
        <v>30</v>
      </c>
      <c r="B5">
        <v>946.8</v>
      </c>
      <c r="C5">
        <v>38</v>
      </c>
      <c r="D5" s="1">
        <v>4424.76</v>
      </c>
      <c r="E5">
        <v>1</v>
      </c>
      <c r="F5" s="25">
        <v>4239.2</v>
      </c>
      <c r="G5">
        <v>2</v>
      </c>
      <c r="H5">
        <v>2982.48</v>
      </c>
      <c r="L5">
        <v>3</v>
      </c>
    </row>
    <row r="6" spans="1:20">
      <c r="A6">
        <v>31</v>
      </c>
      <c r="B6">
        <v>12183</v>
      </c>
      <c r="C6">
        <v>41</v>
      </c>
      <c r="D6" s="1">
        <v>0</v>
      </c>
      <c r="G6">
        <v>4</v>
      </c>
      <c r="H6">
        <v>2112.59</v>
      </c>
      <c r="I6">
        <f>+H5+H6</f>
        <v>5095.07</v>
      </c>
    </row>
    <row r="7" spans="1:20">
      <c r="A7">
        <v>32</v>
      </c>
      <c r="B7">
        <v>2265.48</v>
      </c>
      <c r="C7">
        <v>42</v>
      </c>
      <c r="D7" s="70">
        <v>1283.22</v>
      </c>
      <c r="H7" s="25">
        <f>SUM(H5:H6)</f>
        <v>5095.07</v>
      </c>
    </row>
    <row r="8" spans="1:20">
      <c r="A8">
        <v>33</v>
      </c>
      <c r="B8">
        <v>4327.3999999999996</v>
      </c>
      <c r="C8">
        <v>22</v>
      </c>
      <c r="D8" s="9">
        <v>942</v>
      </c>
      <c r="G8">
        <v>3</v>
      </c>
      <c r="H8" s="25">
        <v>2982.48</v>
      </c>
    </row>
    <row r="9" spans="1:20">
      <c r="A9">
        <v>34</v>
      </c>
      <c r="B9">
        <v>408.16</v>
      </c>
      <c r="D9" s="62">
        <f>SUM(D5:D8)</f>
        <v>6649.9800000000005</v>
      </c>
      <c r="G9">
        <v>8</v>
      </c>
      <c r="H9" s="25">
        <v>859.41</v>
      </c>
    </row>
    <row r="10" spans="1:20">
      <c r="A10">
        <v>35</v>
      </c>
      <c r="B10">
        <v>842.44</v>
      </c>
      <c r="G10" t="s">
        <v>5300</v>
      </c>
      <c r="H10" s="25">
        <v>593.16</v>
      </c>
    </row>
    <row r="11" spans="1:20">
      <c r="A11">
        <v>36</v>
      </c>
      <c r="B11">
        <v>2351.58</v>
      </c>
      <c r="H11" s="25">
        <f>SUM(H8:H10)</f>
        <v>4435.05</v>
      </c>
    </row>
    <row r="12" spans="1:20">
      <c r="A12">
        <v>37</v>
      </c>
      <c r="B12">
        <v>6376.02</v>
      </c>
      <c r="O12" s="174">
        <v>-891.38</v>
      </c>
      <c r="P12" s="173" t="s">
        <v>2869</v>
      </c>
    </row>
    <row r="13" spans="1:20">
      <c r="A13">
        <v>40</v>
      </c>
      <c r="B13">
        <v>2688.16</v>
      </c>
      <c r="O13" s="174">
        <v>-1187.97</v>
      </c>
      <c r="P13" s="173" t="s">
        <v>2892</v>
      </c>
    </row>
    <row r="14" spans="1:20">
      <c r="B14" s="25">
        <f>SUM(B5:B13)</f>
        <v>32389.040000000001</v>
      </c>
      <c r="O14" s="174">
        <v>-4067.84</v>
      </c>
      <c r="P14" s="173" t="s">
        <v>2886</v>
      </c>
    </row>
    <row r="15" spans="1:20">
      <c r="S15" s="158" t="s">
        <v>2871</v>
      </c>
      <c r="T15" s="9">
        <v>1524.4</v>
      </c>
    </row>
    <row r="16" spans="1:20">
      <c r="B16" s="156">
        <v>43151</v>
      </c>
      <c r="D16" s="136">
        <v>43152</v>
      </c>
      <c r="F16" s="136">
        <v>43153</v>
      </c>
      <c r="H16" s="6">
        <v>43164</v>
      </c>
      <c r="J16" s="6">
        <v>43165</v>
      </c>
      <c r="L16" s="6">
        <v>43166</v>
      </c>
      <c r="M16" s="6">
        <v>43180</v>
      </c>
      <c r="P16" s="160">
        <v>43181</v>
      </c>
      <c r="Q16" s="75"/>
      <c r="R16" s="75"/>
      <c r="S16" s="158"/>
    </row>
    <row r="17" spans="1:19">
      <c r="A17">
        <v>7</v>
      </c>
      <c r="B17" s="1">
        <v>543.04</v>
      </c>
      <c r="C17">
        <v>17</v>
      </c>
      <c r="D17" s="61">
        <v>11058.5</v>
      </c>
      <c r="F17" s="25">
        <v>3686.63</v>
      </c>
      <c r="G17">
        <v>21</v>
      </c>
      <c r="H17">
        <v>116.48</v>
      </c>
      <c r="I17" t="s">
        <v>5301</v>
      </c>
      <c r="J17" s="25">
        <v>5275.76</v>
      </c>
      <c r="K17">
        <v>31</v>
      </c>
      <c r="L17" s="25">
        <v>12571.79</v>
      </c>
      <c r="M17" t="s">
        <v>5302</v>
      </c>
      <c r="N17" s="25">
        <v>298.47000000000003</v>
      </c>
      <c r="P17" s="92">
        <v>6147.19</v>
      </c>
      <c r="Q17" s="75"/>
      <c r="R17" s="75"/>
    </row>
    <row r="18" spans="1:19">
      <c r="A18">
        <v>9</v>
      </c>
      <c r="B18" s="1">
        <v>1994.42</v>
      </c>
      <c r="G18">
        <v>22</v>
      </c>
      <c r="H18">
        <v>918.4</v>
      </c>
      <c r="M18" t="s">
        <v>5303</v>
      </c>
      <c r="N18">
        <v>850.29</v>
      </c>
      <c r="O18" t="s">
        <v>2886</v>
      </c>
      <c r="P18" s="75">
        <v>4322.08</v>
      </c>
      <c r="Q18" s="75"/>
      <c r="R18" s="75"/>
    </row>
    <row r="19" spans="1:19">
      <c r="A19">
        <v>10</v>
      </c>
      <c r="B19" s="1">
        <v>1994.42</v>
      </c>
      <c r="F19" s="6">
        <v>43157</v>
      </c>
      <c r="G19">
        <v>23</v>
      </c>
      <c r="H19">
        <v>918.4</v>
      </c>
      <c r="L19" s="6">
        <v>43167</v>
      </c>
      <c r="M19" t="s">
        <v>5304</v>
      </c>
      <c r="N19">
        <v>2850.32</v>
      </c>
      <c r="O19" s="158" t="s">
        <v>2869</v>
      </c>
      <c r="P19" s="75">
        <v>891.38</v>
      </c>
      <c r="Q19" s="75" t="s">
        <v>2892</v>
      </c>
      <c r="R19" s="75">
        <v>1187.97</v>
      </c>
    </row>
    <row r="20" spans="1:19">
      <c r="A20">
        <v>11</v>
      </c>
      <c r="B20" s="1">
        <v>1994.42</v>
      </c>
      <c r="E20" t="s">
        <v>5305</v>
      </c>
      <c r="F20" s="25">
        <v>619.97</v>
      </c>
      <c r="G20">
        <v>24</v>
      </c>
      <c r="H20">
        <v>185.12</v>
      </c>
      <c r="K20" t="s">
        <v>5306</v>
      </c>
      <c r="L20" s="25">
        <v>5730.66</v>
      </c>
      <c r="M20" t="s">
        <v>5307</v>
      </c>
      <c r="N20">
        <v>2831.04</v>
      </c>
      <c r="P20" s="75">
        <f>SUM(P18:P19)</f>
        <v>5213.46</v>
      </c>
      <c r="Q20" s="75">
        <f>+P17-P20</f>
        <v>933.72999999999956</v>
      </c>
      <c r="R20" s="75">
        <f>+P18+R19</f>
        <v>5510.05</v>
      </c>
    </row>
    <row r="21" spans="1:19">
      <c r="A21">
        <v>13</v>
      </c>
      <c r="B21" s="1">
        <v>390.64</v>
      </c>
      <c r="G21">
        <v>25</v>
      </c>
      <c r="H21">
        <v>3788.34</v>
      </c>
      <c r="K21" t="s">
        <v>5308</v>
      </c>
      <c r="L21" s="25">
        <v>6070.98</v>
      </c>
      <c r="M21" t="s">
        <v>5309</v>
      </c>
      <c r="N21">
        <v>4045.86</v>
      </c>
      <c r="P21" s="6">
        <v>43185</v>
      </c>
      <c r="Q21" s="75"/>
      <c r="R21" s="75">
        <f>SUM(R19:R20)</f>
        <v>6698.02</v>
      </c>
      <c r="S21">
        <f>+P20+R19</f>
        <v>6401.43</v>
      </c>
    </row>
    <row r="22" spans="1:19">
      <c r="A22">
        <v>16</v>
      </c>
      <c r="B22" s="1">
        <v>19158</v>
      </c>
      <c r="G22">
        <v>26</v>
      </c>
      <c r="H22">
        <v>6054.9</v>
      </c>
      <c r="L22" s="6">
        <v>43171</v>
      </c>
      <c r="N22" s="25">
        <f>SUM(N17:N21)</f>
        <v>10875.98</v>
      </c>
      <c r="O22" t="s">
        <v>2764</v>
      </c>
      <c r="P22" s="1">
        <v>4678.8</v>
      </c>
      <c r="Q22" s="174">
        <v>-2573.9</v>
      </c>
      <c r="R22" s="173" t="s">
        <v>2620</v>
      </c>
      <c r="S22">
        <f>+P18+R19</f>
        <v>5510.05</v>
      </c>
    </row>
    <row r="23" spans="1:19">
      <c r="B23" s="61">
        <f>SUM(B17:B22)</f>
        <v>26074.940000000002</v>
      </c>
      <c r="G23">
        <v>27</v>
      </c>
      <c r="H23">
        <v>1393.44</v>
      </c>
      <c r="K23" t="s">
        <v>5310</v>
      </c>
      <c r="L23">
        <v>2324.54</v>
      </c>
      <c r="N23" s="6">
        <v>43179</v>
      </c>
      <c r="O23" s="75" t="s">
        <v>2620</v>
      </c>
      <c r="P23" s="1">
        <v>2573.9</v>
      </c>
      <c r="Q23" s="174">
        <v>-122.2</v>
      </c>
      <c r="R23" s="173" t="s">
        <v>2728</v>
      </c>
    </row>
    <row r="24" spans="1:19">
      <c r="G24">
        <v>28</v>
      </c>
      <c r="H24">
        <v>10350.4</v>
      </c>
      <c r="K24" t="s">
        <v>5311</v>
      </c>
      <c r="L24">
        <v>1626.59</v>
      </c>
      <c r="M24" t="s">
        <v>5312</v>
      </c>
      <c r="N24">
        <v>1524.4</v>
      </c>
      <c r="O24" t="s">
        <v>2728</v>
      </c>
      <c r="P24" s="1">
        <v>122.2</v>
      </c>
      <c r="Q24" s="174">
        <v>-4678.8</v>
      </c>
      <c r="R24" s="173" t="s">
        <v>2764</v>
      </c>
    </row>
    <row r="25" spans="1:19">
      <c r="G25">
        <v>29</v>
      </c>
      <c r="H25">
        <v>7299.18</v>
      </c>
      <c r="K25" t="s">
        <v>5313</v>
      </c>
      <c r="L25">
        <v>8313.2000000000007</v>
      </c>
      <c r="M25" t="s">
        <v>5314</v>
      </c>
      <c r="N25">
        <v>3953.67</v>
      </c>
      <c r="P25" s="62">
        <f>SUM(P22:P24)</f>
        <v>7374.9000000000005</v>
      </c>
    </row>
    <row r="26" spans="1:19">
      <c r="G26" t="s">
        <v>5315</v>
      </c>
      <c r="H26">
        <v>1308.58</v>
      </c>
      <c r="L26" s="25">
        <f>SUM(L23:L25)</f>
        <v>12264.330000000002</v>
      </c>
      <c r="M26" t="s">
        <v>5316</v>
      </c>
      <c r="N26">
        <v>2376.6999999999998</v>
      </c>
    </row>
    <row r="27" spans="1:19">
      <c r="H27" s="127">
        <f>SUM(H17:H26)</f>
        <v>32333.239999999998</v>
      </c>
      <c r="N27" s="25">
        <f>SUM(N24:N26)</f>
        <v>7854.7699999999995</v>
      </c>
      <c r="P27" s="11"/>
      <c r="Q27">
        <v>7393.7</v>
      </c>
      <c r="R27" s="11">
        <f>+P27-Q27</f>
        <v>-7393.7</v>
      </c>
    </row>
    <row r="28" spans="1:19">
      <c r="L28" s="6">
        <v>43174</v>
      </c>
    </row>
    <row r="29" spans="1:19">
      <c r="B29" s="6">
        <v>43192</v>
      </c>
      <c r="C29" s="1">
        <v>12237.71</v>
      </c>
      <c r="D29" s="6">
        <v>43199</v>
      </c>
      <c r="F29" s="6">
        <v>43201</v>
      </c>
      <c r="L29">
        <v>3841.2</v>
      </c>
      <c r="N29" s="6">
        <v>43180</v>
      </c>
      <c r="O29" t="s">
        <v>2851</v>
      </c>
      <c r="P29" s="9">
        <v>56.48</v>
      </c>
    </row>
    <row r="30" spans="1:19">
      <c r="B30">
        <v>29</v>
      </c>
      <c r="C30" s="9">
        <v>5767.3</v>
      </c>
      <c r="D30" t="s">
        <v>5317</v>
      </c>
      <c r="E30">
        <v>1439.7</v>
      </c>
      <c r="F30" t="s">
        <v>5318</v>
      </c>
      <c r="G30">
        <v>2683.38</v>
      </c>
      <c r="M30" t="s">
        <v>5319</v>
      </c>
      <c r="N30">
        <v>4024.39</v>
      </c>
      <c r="O30" t="s">
        <v>2903</v>
      </c>
      <c r="P30" s="1">
        <v>958.2</v>
      </c>
    </row>
    <row r="31" spans="1:19">
      <c r="B31">
        <v>30</v>
      </c>
      <c r="C31" s="1">
        <v>4060.99</v>
      </c>
      <c r="D31" t="s">
        <v>5320</v>
      </c>
      <c r="E31">
        <v>99.92</v>
      </c>
      <c r="F31" t="s">
        <v>5321</v>
      </c>
      <c r="G31">
        <v>5933.44</v>
      </c>
      <c r="M31" s="136">
        <v>43176</v>
      </c>
      <c r="N31">
        <v>4322.08</v>
      </c>
      <c r="P31" s="63">
        <f>SUM(P29:P30)</f>
        <v>1014.6800000000001</v>
      </c>
    </row>
    <row r="32" spans="1:19">
      <c r="B32">
        <v>27</v>
      </c>
      <c r="C32" s="9">
        <v>397.55</v>
      </c>
      <c r="D32" t="s">
        <v>5322</v>
      </c>
      <c r="E32">
        <v>3133.8</v>
      </c>
      <c r="F32" s="11" t="s">
        <v>5323</v>
      </c>
      <c r="G32">
        <v>909</v>
      </c>
      <c r="N32" s="25">
        <f>SUM(N30:N31)</f>
        <v>8346.4699999999993</v>
      </c>
    </row>
    <row r="33" spans="2:16">
      <c r="B33">
        <v>28</v>
      </c>
      <c r="C33" s="9">
        <v>823.9</v>
      </c>
      <c r="D33" t="s">
        <v>5324</v>
      </c>
      <c r="E33" s="11">
        <v>1741.92</v>
      </c>
      <c r="G33" s="25">
        <f>SUM(G30:G32)</f>
        <v>9525.82</v>
      </c>
      <c r="P33" s="6">
        <v>43187</v>
      </c>
    </row>
    <row r="34" spans="2:16">
      <c r="B34" t="s">
        <v>5325</v>
      </c>
      <c r="C34" s="9">
        <v>1187.97</v>
      </c>
      <c r="E34" s="25">
        <f>SUM(E30:E33)</f>
        <v>6415.34</v>
      </c>
      <c r="F34" s="9"/>
      <c r="O34" t="s">
        <v>5326</v>
      </c>
      <c r="P34" s="9">
        <v>20317.62</v>
      </c>
    </row>
    <row r="35" spans="2:16">
      <c r="C35" s="63">
        <f>SUM(C30:C34)</f>
        <v>12237.71</v>
      </c>
      <c r="F35" s="9"/>
      <c r="P35" s="9"/>
    </row>
    <row r="36" spans="2:16">
      <c r="C36" s="6">
        <v>43194</v>
      </c>
      <c r="D36" s="6">
        <v>43200</v>
      </c>
      <c r="G36" s="6">
        <v>43207</v>
      </c>
      <c r="O36" t="s">
        <v>5327</v>
      </c>
      <c r="P36" s="1">
        <v>13493.64</v>
      </c>
    </row>
    <row r="37" spans="2:16">
      <c r="B37">
        <v>32</v>
      </c>
      <c r="C37" s="1">
        <v>3412.24</v>
      </c>
      <c r="D37" t="s">
        <v>5328</v>
      </c>
      <c r="E37">
        <v>1932.7</v>
      </c>
      <c r="F37" t="s">
        <v>5329</v>
      </c>
      <c r="G37">
        <v>1471.8</v>
      </c>
      <c r="O37" t="s">
        <v>5330</v>
      </c>
      <c r="P37" s="9">
        <v>937.8</v>
      </c>
    </row>
    <row r="38" spans="2:16">
      <c r="B38">
        <v>37</v>
      </c>
      <c r="C38" s="1">
        <v>7538.76</v>
      </c>
      <c r="D38" t="s">
        <v>5331</v>
      </c>
      <c r="E38" s="9">
        <v>4456.0600000000004</v>
      </c>
      <c r="F38" t="s">
        <v>5332</v>
      </c>
      <c r="G38">
        <v>1471.8</v>
      </c>
      <c r="O38" t="s">
        <v>5333</v>
      </c>
      <c r="P38" s="9">
        <v>395.2</v>
      </c>
    </row>
    <row r="39" spans="2:16">
      <c r="B39">
        <v>33</v>
      </c>
      <c r="C39" s="1">
        <v>935.52</v>
      </c>
      <c r="E39" s="25">
        <f>SUM(E37:E38)</f>
        <v>6388.76</v>
      </c>
      <c r="F39" t="s">
        <v>5334</v>
      </c>
      <c r="G39">
        <v>1471.8</v>
      </c>
      <c r="P39" s="63">
        <f>SUM(P34:P38)</f>
        <v>35144.259999999995</v>
      </c>
    </row>
    <row r="40" spans="2:16">
      <c r="C40" s="62">
        <f>SUM(C37:C39)</f>
        <v>11886.52</v>
      </c>
      <c r="F40" t="s">
        <v>5335</v>
      </c>
      <c r="G40">
        <v>1471.8</v>
      </c>
    </row>
    <row r="41" spans="2:16">
      <c r="F41" t="s">
        <v>5336</v>
      </c>
      <c r="G41">
        <v>1471.8</v>
      </c>
    </row>
    <row r="42" spans="2:16">
      <c r="F42" t="s">
        <v>5337</v>
      </c>
      <c r="G42">
        <v>1471.8</v>
      </c>
    </row>
    <row r="43" spans="2:16">
      <c r="F43" t="s">
        <v>5338</v>
      </c>
      <c r="G43">
        <v>413.88</v>
      </c>
    </row>
    <row r="44" spans="2:16">
      <c r="F44" t="s">
        <v>5339</v>
      </c>
      <c r="G44">
        <v>1532.1</v>
      </c>
    </row>
    <row r="45" spans="2:16">
      <c r="G45" s="127">
        <f>SUM(G37:G44)</f>
        <v>10776.779999999999</v>
      </c>
    </row>
    <row r="48" spans="2:16">
      <c r="B48" s="6">
        <v>43208</v>
      </c>
      <c r="D48" s="6">
        <v>43213</v>
      </c>
      <c r="F48" s="6">
        <v>43215</v>
      </c>
    </row>
    <row r="49" spans="2:9">
      <c r="B49" t="s">
        <v>5340</v>
      </c>
      <c r="C49" s="25">
        <v>4298.42</v>
      </c>
      <c r="D49" t="s">
        <v>5341</v>
      </c>
      <c r="E49">
        <v>4588</v>
      </c>
      <c r="F49" s="136">
        <v>43208</v>
      </c>
      <c r="G49" s="25">
        <v>1252.8900000000001</v>
      </c>
    </row>
    <row r="50" spans="2:9">
      <c r="D50" t="s">
        <v>5342</v>
      </c>
      <c r="E50">
        <v>3310</v>
      </c>
    </row>
    <row r="51" spans="2:9">
      <c r="B51" s="6">
        <v>43209</v>
      </c>
      <c r="E51" s="25">
        <f>SUM(E49:E50)</f>
        <v>7898</v>
      </c>
      <c r="F51" s="6">
        <v>43216</v>
      </c>
    </row>
    <row r="52" spans="2:9">
      <c r="B52" t="s">
        <v>5343</v>
      </c>
      <c r="C52">
        <v>3595.96</v>
      </c>
      <c r="D52" s="6">
        <v>43214</v>
      </c>
      <c r="F52" t="s">
        <v>5344</v>
      </c>
      <c r="G52" s="84">
        <v>1139.76</v>
      </c>
    </row>
    <row r="53" spans="2:9">
      <c r="B53" t="s">
        <v>5345</v>
      </c>
      <c r="C53">
        <v>2739.18</v>
      </c>
      <c r="D53" t="s">
        <v>5346</v>
      </c>
      <c r="E53" s="25">
        <v>3009.16</v>
      </c>
    </row>
    <row r="54" spans="2:9">
      <c r="C54" s="25">
        <f>SUM(C52:C53)</f>
        <v>6335.1399999999994</v>
      </c>
    </row>
    <row r="56" spans="2:9">
      <c r="B56" s="6">
        <v>43222</v>
      </c>
      <c r="C56">
        <v>40024.949999999997</v>
      </c>
      <c r="D56" s="6">
        <v>43223</v>
      </c>
      <c r="E56" s="1">
        <v>5332.77</v>
      </c>
      <c r="H56" s="6">
        <v>43228</v>
      </c>
    </row>
    <row r="57" spans="2:9">
      <c r="B57" t="s">
        <v>5347</v>
      </c>
      <c r="C57" s="1">
        <v>8510.48</v>
      </c>
      <c r="F57" t="s">
        <v>5348</v>
      </c>
      <c r="G57" s="1">
        <v>2239.1999999999998</v>
      </c>
      <c r="H57" t="s">
        <v>5349</v>
      </c>
      <c r="I57">
        <v>762.52</v>
      </c>
    </row>
    <row r="58" spans="2:9">
      <c r="B58" t="s">
        <v>5350</v>
      </c>
      <c r="C58" s="1">
        <v>9236.6200000000008</v>
      </c>
      <c r="D58" t="s">
        <v>5351</v>
      </c>
      <c r="E58" s="1">
        <v>2413.7600000000002</v>
      </c>
      <c r="F58" t="s">
        <v>5352</v>
      </c>
      <c r="G58" s="1">
        <v>5598</v>
      </c>
      <c r="H58" t="s">
        <v>5353</v>
      </c>
      <c r="I58" s="1">
        <v>10525.44</v>
      </c>
    </row>
    <row r="59" spans="2:9">
      <c r="B59" t="s">
        <v>5354</v>
      </c>
      <c r="C59" s="1">
        <v>2234.6</v>
      </c>
      <c r="D59" t="s">
        <v>3053</v>
      </c>
      <c r="E59" s="1">
        <v>1929</v>
      </c>
      <c r="F59" t="s">
        <v>5355</v>
      </c>
      <c r="G59" s="1">
        <v>5598</v>
      </c>
      <c r="H59" t="s">
        <v>5356</v>
      </c>
      <c r="I59">
        <v>1186.06</v>
      </c>
    </row>
    <row r="60" spans="2:9">
      <c r="B60" t="s">
        <v>5357</v>
      </c>
      <c r="C60" s="1">
        <v>2234.6</v>
      </c>
      <c r="D60" t="s">
        <v>3065</v>
      </c>
      <c r="E60" s="1">
        <v>990.01</v>
      </c>
      <c r="F60" t="s">
        <v>5358</v>
      </c>
      <c r="G60" s="1">
        <v>1679.4</v>
      </c>
      <c r="I60" s="25">
        <f>SUM(I57:I59)</f>
        <v>12474.02</v>
      </c>
    </row>
    <row r="61" spans="2:9">
      <c r="B61" t="s">
        <v>5359</v>
      </c>
      <c r="C61" s="1">
        <v>1117.3</v>
      </c>
      <c r="E61" s="62">
        <f>SUM(E58:E60)</f>
        <v>5332.77</v>
      </c>
      <c r="F61" t="s">
        <v>5360</v>
      </c>
      <c r="G61" s="1">
        <v>3786.8</v>
      </c>
    </row>
    <row r="62" spans="2:9">
      <c r="B62" t="s">
        <v>5361</v>
      </c>
      <c r="C62" s="1">
        <v>2234.6</v>
      </c>
      <c r="F62" t="s">
        <v>5362</v>
      </c>
      <c r="G62" s="1">
        <v>13639.64</v>
      </c>
    </row>
    <row r="63" spans="2:9">
      <c r="B63" t="s">
        <v>5363</v>
      </c>
      <c r="C63" s="1">
        <v>619.4</v>
      </c>
      <c r="G63" s="61">
        <f>SUM(G57:G62)</f>
        <v>32541.040000000001</v>
      </c>
    </row>
    <row r="64" spans="2:9">
      <c r="B64" t="s">
        <v>3032</v>
      </c>
      <c r="C64" s="1">
        <v>13837.35</v>
      </c>
    </row>
    <row r="65" spans="2:9">
      <c r="C65" s="62">
        <f>SUM(C57:C64)</f>
        <v>40024.949999999997</v>
      </c>
    </row>
    <row r="66" spans="2:9">
      <c r="B66" s="6">
        <v>43229</v>
      </c>
      <c r="D66" s="6">
        <v>43230</v>
      </c>
      <c r="F66" s="6">
        <v>43234</v>
      </c>
    </row>
    <row r="67" spans="2:9">
      <c r="B67" t="s">
        <v>3059</v>
      </c>
      <c r="C67" s="61">
        <v>6949.4</v>
      </c>
      <c r="D67" s="75"/>
    </row>
    <row r="68" spans="2:9">
      <c r="C68" s="6">
        <v>43230</v>
      </c>
      <c r="F68" t="s">
        <v>5364</v>
      </c>
      <c r="G68" s="1">
        <v>15848.08</v>
      </c>
      <c r="H68">
        <v>15906</v>
      </c>
      <c r="I68">
        <f>+H68-G68</f>
        <v>57.920000000000073</v>
      </c>
    </row>
    <row r="69" spans="2:9">
      <c r="B69" t="s">
        <v>5365</v>
      </c>
      <c r="C69" s="1">
        <v>11940</v>
      </c>
      <c r="D69">
        <v>15906.56</v>
      </c>
      <c r="F69" t="s">
        <v>5366</v>
      </c>
      <c r="G69" s="1">
        <v>1311.66</v>
      </c>
    </row>
    <row r="70" spans="2:9">
      <c r="B70" t="s">
        <v>5367</v>
      </c>
      <c r="C70" s="1">
        <v>2925</v>
      </c>
      <c r="D70">
        <v>5225.6000000000004</v>
      </c>
      <c r="F70" t="s">
        <v>5368</v>
      </c>
      <c r="G70" s="1">
        <v>13652.66</v>
      </c>
    </row>
    <row r="71" spans="2:9">
      <c r="B71" t="s">
        <v>5369</v>
      </c>
      <c r="C71" s="1">
        <v>122.2</v>
      </c>
      <c r="D71" s="1"/>
      <c r="F71" t="s">
        <v>5370</v>
      </c>
      <c r="G71" s="1">
        <v>537.67999999999995</v>
      </c>
    </row>
    <row r="72" spans="2:9">
      <c r="B72" t="s">
        <v>5371</v>
      </c>
      <c r="C72" s="1">
        <v>2293.11</v>
      </c>
      <c r="D72" s="1"/>
      <c r="F72" t="s">
        <v>5372</v>
      </c>
      <c r="G72" s="1">
        <v>12524.16</v>
      </c>
    </row>
    <row r="73" spans="2:9">
      <c r="B73" t="s">
        <v>5373</v>
      </c>
      <c r="C73" s="9">
        <v>5371.38</v>
      </c>
      <c r="D73">
        <f>SUM(D69:D72)</f>
        <v>21132.16</v>
      </c>
      <c r="F73" t="s">
        <v>5374</v>
      </c>
      <c r="G73" s="1">
        <v>-5225.6000000000004</v>
      </c>
    </row>
    <row r="74" spans="2:9">
      <c r="B74" t="s">
        <v>5375</v>
      </c>
      <c r="C74" s="1">
        <v>2434.92</v>
      </c>
      <c r="D74">
        <f>+D67-D73</f>
        <v>-21132.16</v>
      </c>
      <c r="F74" t="s">
        <v>5376</v>
      </c>
      <c r="G74" s="1">
        <v>6084</v>
      </c>
    </row>
    <row r="75" spans="2:9">
      <c r="C75" s="62">
        <f>SUM(C69:C74)</f>
        <v>25086.61</v>
      </c>
      <c r="G75" s="61">
        <f>SUM(G68:G74)</f>
        <v>44732.640000000007</v>
      </c>
    </row>
    <row r="76" spans="2:9">
      <c r="B76" s="6">
        <v>43235</v>
      </c>
      <c r="C76" t="s">
        <v>3122</v>
      </c>
      <c r="D76" s="25">
        <v>20902.400000000001</v>
      </c>
      <c r="E76">
        <f>+D76/4</f>
        <v>5225.6000000000004</v>
      </c>
    </row>
    <row r="77" spans="2:9">
      <c r="C77" t="s">
        <v>5377</v>
      </c>
    </row>
    <row r="78" spans="2:9">
      <c r="B78" s="6">
        <v>43243</v>
      </c>
      <c r="C78">
        <v>49716.84</v>
      </c>
      <c r="F78" s="6">
        <v>43244</v>
      </c>
      <c r="H78" s="6">
        <v>43249</v>
      </c>
    </row>
    <row r="79" spans="2:9">
      <c r="C79" s="1">
        <v>1008.98</v>
      </c>
      <c r="D79" s="174">
        <v>-981.42</v>
      </c>
      <c r="E79" s="173" t="s">
        <v>2743</v>
      </c>
      <c r="F79" t="s">
        <v>3141</v>
      </c>
      <c r="G79" s="61">
        <v>6863.44</v>
      </c>
    </row>
    <row r="80" spans="2:9">
      <c r="C80" s="1">
        <v>1113.6400000000001</v>
      </c>
      <c r="D80" s="174">
        <v>-3777.5</v>
      </c>
      <c r="E80" s="173" t="s">
        <v>2926</v>
      </c>
      <c r="H80" t="s">
        <v>3014</v>
      </c>
      <c r="I80">
        <v>1687.8</v>
      </c>
    </row>
    <row r="81" spans="1:12">
      <c r="C81" s="1">
        <v>6742.32</v>
      </c>
      <c r="D81" s="174">
        <v>-1113.6400000000001</v>
      </c>
      <c r="E81" s="173" t="s">
        <v>3129</v>
      </c>
      <c r="H81" t="s">
        <v>3163</v>
      </c>
      <c r="I81">
        <v>11959.36</v>
      </c>
    </row>
    <row r="82" spans="1:12">
      <c r="C82" s="1">
        <v>8298.24</v>
      </c>
      <c r="D82" s="174">
        <v>-1008.98</v>
      </c>
      <c r="E82" s="173" t="s">
        <v>3126</v>
      </c>
      <c r="H82" t="s">
        <v>3166</v>
      </c>
      <c r="I82">
        <v>9657.2000000000007</v>
      </c>
    </row>
    <row r="83" spans="1:12">
      <c r="C83" s="1">
        <v>981.42</v>
      </c>
      <c r="D83" s="174">
        <v>-5941.3</v>
      </c>
      <c r="E83" s="173" t="s">
        <v>3144</v>
      </c>
      <c r="I83" s="25">
        <f>SUM(I80:I82)</f>
        <v>23304.36</v>
      </c>
    </row>
    <row r="84" spans="1:12">
      <c r="C84" s="1">
        <v>6863.44</v>
      </c>
      <c r="D84" s="174">
        <v>-6863.44</v>
      </c>
      <c r="E84" s="173" t="s">
        <v>3138</v>
      </c>
    </row>
    <row r="85" spans="1:12">
      <c r="C85" s="1">
        <v>5941.3</v>
      </c>
      <c r="D85" s="174">
        <v>-8298.24</v>
      </c>
      <c r="E85" s="173" t="s">
        <v>3135</v>
      </c>
    </row>
    <row r="86" spans="1:12">
      <c r="C86" s="1">
        <v>12336</v>
      </c>
      <c r="D86" s="174">
        <v>-6742.32</v>
      </c>
      <c r="E86" s="173" t="s">
        <v>3132</v>
      </c>
    </row>
    <row r="87" spans="1:12">
      <c r="C87" s="1">
        <v>3777.5</v>
      </c>
      <c r="D87" s="174">
        <v>-12336</v>
      </c>
      <c r="E87" s="173" t="s">
        <v>3148</v>
      </c>
    </row>
    <row r="88" spans="1:12">
      <c r="C88" s="1">
        <v>2654</v>
      </c>
      <c r="D88" s="174">
        <v>-2654</v>
      </c>
      <c r="E88" s="173" t="s">
        <v>3153</v>
      </c>
    </row>
    <row r="89" spans="1:12">
      <c r="C89" s="177">
        <f>SUM(C79:C88)</f>
        <v>49716.84</v>
      </c>
    </row>
    <row r="90" spans="1:12">
      <c r="C90" s="1"/>
    </row>
    <row r="91" spans="1:12">
      <c r="C91" s="11"/>
    </row>
    <row r="92" spans="1:12">
      <c r="B92" s="6">
        <v>43255</v>
      </c>
      <c r="D92" s="6">
        <v>43256</v>
      </c>
      <c r="F92" s="6">
        <v>43257</v>
      </c>
      <c r="H92" s="6">
        <v>43262</v>
      </c>
      <c r="J92" s="6">
        <v>43263</v>
      </c>
      <c r="L92" s="6">
        <v>43264</v>
      </c>
    </row>
    <row r="93" spans="1:12">
      <c r="A93" t="s">
        <v>5378</v>
      </c>
      <c r="B93" s="1">
        <v>1937</v>
      </c>
      <c r="C93" s="166" t="s">
        <v>5379</v>
      </c>
      <c r="D93">
        <v>8421.6</v>
      </c>
      <c r="E93" t="s">
        <v>5380</v>
      </c>
      <c r="F93" s="1">
        <v>1025.48</v>
      </c>
      <c r="G93" t="s">
        <v>3217</v>
      </c>
      <c r="H93" s="1">
        <v>3252.27</v>
      </c>
      <c r="I93" t="s">
        <v>3214</v>
      </c>
      <c r="J93">
        <v>4296.84</v>
      </c>
      <c r="K93" t="s">
        <v>3219</v>
      </c>
      <c r="L93" s="1">
        <v>7811.8</v>
      </c>
    </row>
    <row r="94" spans="1:12">
      <c r="A94" t="s">
        <v>5381</v>
      </c>
      <c r="B94" s="1">
        <v>5550.48</v>
      </c>
      <c r="C94" t="s">
        <v>5382</v>
      </c>
      <c r="D94">
        <v>9474.2999999999993</v>
      </c>
      <c r="E94" t="s">
        <v>3199</v>
      </c>
      <c r="F94" s="1">
        <v>5761.35</v>
      </c>
      <c r="G94" t="s">
        <v>3226</v>
      </c>
      <c r="H94" s="1">
        <v>389.2</v>
      </c>
      <c r="I94" t="s">
        <v>3222</v>
      </c>
      <c r="J94">
        <v>2018.88</v>
      </c>
      <c r="K94" t="s">
        <v>3229</v>
      </c>
      <c r="L94" s="1">
        <v>2906.48</v>
      </c>
    </row>
    <row r="95" spans="1:12">
      <c r="A95" t="s">
        <v>5383</v>
      </c>
      <c r="B95" s="1">
        <v>763.02</v>
      </c>
      <c r="C95" t="s">
        <v>5384</v>
      </c>
      <c r="D95">
        <v>1137.56</v>
      </c>
      <c r="E95" t="s">
        <v>3202</v>
      </c>
      <c r="F95" s="1">
        <v>2344</v>
      </c>
      <c r="G95" t="s">
        <v>3208</v>
      </c>
      <c r="H95" s="1">
        <v>2650.19</v>
      </c>
      <c r="J95" s="25">
        <f>SUM(J93:J94)</f>
        <v>6315.72</v>
      </c>
      <c r="K95" t="s">
        <v>3233</v>
      </c>
      <c r="L95" s="1">
        <v>14803.43</v>
      </c>
    </row>
    <row r="96" spans="1:12">
      <c r="A96" t="s">
        <v>5385</v>
      </c>
      <c r="B96" s="1">
        <v>1843.64</v>
      </c>
      <c r="C96" t="s">
        <v>5386</v>
      </c>
      <c r="D96">
        <v>4107.42</v>
      </c>
      <c r="F96" s="62">
        <f>SUM(F93:F95)</f>
        <v>9130.83</v>
      </c>
      <c r="G96" t="s">
        <v>3211</v>
      </c>
      <c r="H96" s="1">
        <v>19706.400000000001</v>
      </c>
      <c r="L96" s="61">
        <f>SUM(L93:L95)</f>
        <v>25521.71</v>
      </c>
    </row>
    <row r="97" spans="1:12">
      <c r="A97" t="s">
        <v>5387</v>
      </c>
      <c r="B97" s="1">
        <v>7498.4</v>
      </c>
      <c r="C97" t="s">
        <v>5388</v>
      </c>
      <c r="D97">
        <v>6652.73</v>
      </c>
      <c r="H97" s="61">
        <f>SUM(H93:H96)</f>
        <v>25998.06</v>
      </c>
    </row>
    <row r="98" spans="1:12">
      <c r="A98" t="s">
        <v>5389</v>
      </c>
      <c r="B98" s="1">
        <v>3725.4</v>
      </c>
      <c r="C98" t="s">
        <v>5390</v>
      </c>
      <c r="D98">
        <v>26377.57</v>
      </c>
    </row>
    <row r="99" spans="1:12">
      <c r="B99" s="61">
        <f>SUM(B93:B98)</f>
        <v>21317.940000000002</v>
      </c>
      <c r="D99" s="25">
        <f>SUM(D93:D98)</f>
        <v>56171.180000000008</v>
      </c>
    </row>
    <row r="100" spans="1:12">
      <c r="B100" s="6">
        <v>43265</v>
      </c>
      <c r="D100" s="6">
        <v>43269</v>
      </c>
      <c r="F100" s="6">
        <v>43270</v>
      </c>
      <c r="H100" s="6">
        <v>43271</v>
      </c>
    </row>
    <row r="101" spans="1:12">
      <c r="A101" t="s">
        <v>3250</v>
      </c>
      <c r="B101" s="1">
        <v>12110.56</v>
      </c>
      <c r="C101" t="s">
        <v>3242</v>
      </c>
      <c r="D101">
        <v>2873.2</v>
      </c>
      <c r="E101" t="s">
        <v>3253</v>
      </c>
      <c r="F101" s="1">
        <v>9342.86</v>
      </c>
      <c r="G101" t="s">
        <v>3259</v>
      </c>
      <c r="H101" s="1">
        <v>5198.3999999999996</v>
      </c>
      <c r="I101" t="s">
        <v>5391</v>
      </c>
      <c r="J101" s="25">
        <v>10831.08</v>
      </c>
      <c r="K101" t="s">
        <v>3236</v>
      </c>
      <c r="L101" s="1">
        <v>484.96</v>
      </c>
    </row>
    <row r="102" spans="1:12">
      <c r="A102" t="s">
        <v>3238</v>
      </c>
      <c r="B102" s="1">
        <v>616.79999999999995</v>
      </c>
      <c r="C102" t="s">
        <v>3246</v>
      </c>
      <c r="D102">
        <v>1258.92</v>
      </c>
      <c r="E102" t="s">
        <v>3267</v>
      </c>
      <c r="F102" s="1">
        <v>3611</v>
      </c>
      <c r="G102" t="s">
        <v>5392</v>
      </c>
      <c r="H102" s="1">
        <v>7495.2</v>
      </c>
      <c r="K102" t="s">
        <v>3280</v>
      </c>
      <c r="L102" s="1">
        <v>1972.74</v>
      </c>
    </row>
    <row r="103" spans="1:12">
      <c r="B103" s="61">
        <f>SUM(B101:B102)</f>
        <v>12727.359999999999</v>
      </c>
      <c r="C103" t="s">
        <v>3256</v>
      </c>
      <c r="D103">
        <v>8607.9599999999991</v>
      </c>
      <c r="F103" s="61">
        <f>SUM(F101:F102)</f>
        <v>12953.86</v>
      </c>
      <c r="H103" s="61">
        <f>SUM(H101:H102)</f>
        <v>12693.599999999999</v>
      </c>
      <c r="K103" t="s">
        <v>3284</v>
      </c>
      <c r="L103" s="1">
        <v>99.94</v>
      </c>
    </row>
    <row r="104" spans="1:12">
      <c r="C104" t="s">
        <v>3265</v>
      </c>
      <c r="D104">
        <v>2636.82</v>
      </c>
      <c r="K104" t="s">
        <v>3288</v>
      </c>
      <c r="L104" s="1">
        <v>692.16</v>
      </c>
    </row>
    <row r="105" spans="1:12">
      <c r="C105" t="s">
        <v>5393</v>
      </c>
      <c r="D105">
        <v>3796.96</v>
      </c>
      <c r="L105" s="25">
        <f>SUM(L101:L104)</f>
        <v>3249.7999999999997</v>
      </c>
    </row>
    <row r="106" spans="1:12">
      <c r="D106" s="25">
        <f>SUM(D101:D105)</f>
        <v>19173.859999999997</v>
      </c>
    </row>
    <row r="108" spans="1:12">
      <c r="A108" t="s">
        <v>3291</v>
      </c>
      <c r="B108" s="1">
        <v>8375.0400000000009</v>
      </c>
      <c r="C108" t="s">
        <v>5394</v>
      </c>
      <c r="D108" s="1">
        <v>2678.68</v>
      </c>
      <c r="E108" t="s">
        <v>5395</v>
      </c>
      <c r="F108" s="1">
        <v>8492</v>
      </c>
      <c r="G108" t="s">
        <v>3151</v>
      </c>
      <c r="H108" s="25">
        <v>6748.81</v>
      </c>
      <c r="J108" s="174">
        <v>-3237.57</v>
      </c>
    </row>
    <row r="109" spans="1:12">
      <c r="A109" t="s">
        <v>3298</v>
      </c>
      <c r="B109" s="1">
        <v>10473.84</v>
      </c>
      <c r="C109" t="s">
        <v>5396</v>
      </c>
      <c r="D109" s="1">
        <v>3148.6</v>
      </c>
      <c r="E109" t="s">
        <v>5397</v>
      </c>
      <c r="F109" s="1">
        <v>1726.2</v>
      </c>
      <c r="J109" s="174">
        <v>-1768.5</v>
      </c>
    </row>
    <row r="110" spans="1:12">
      <c r="A110" t="s">
        <v>3301</v>
      </c>
      <c r="B110" s="1">
        <v>4310.28</v>
      </c>
      <c r="C110" t="s">
        <v>5398</v>
      </c>
      <c r="D110" s="1">
        <v>6837.6</v>
      </c>
      <c r="E110" t="s">
        <v>5399</v>
      </c>
      <c r="F110" s="1">
        <v>757.95</v>
      </c>
      <c r="G110" t="s">
        <v>3433</v>
      </c>
      <c r="H110" s="1">
        <v>1136.76</v>
      </c>
      <c r="J110" s="174">
        <v>-868.6</v>
      </c>
    </row>
    <row r="111" spans="1:12">
      <c r="A111" t="s">
        <v>3304</v>
      </c>
      <c r="B111" s="1">
        <v>8554.7999999999993</v>
      </c>
      <c r="C111" t="s">
        <v>5400</v>
      </c>
      <c r="D111" s="1">
        <v>2152.96</v>
      </c>
      <c r="F111" s="1"/>
      <c r="G111" t="s">
        <v>3436</v>
      </c>
      <c r="H111" s="1">
        <v>1138</v>
      </c>
      <c r="J111" s="174">
        <v>-293.39999999999998</v>
      </c>
    </row>
    <row r="112" spans="1:12">
      <c r="A112" t="s">
        <v>3307</v>
      </c>
      <c r="B112" s="1">
        <v>7684.32</v>
      </c>
      <c r="C112" t="s">
        <v>5401</v>
      </c>
      <c r="D112" s="1">
        <v>2152.96</v>
      </c>
      <c r="E112" t="s">
        <v>5402</v>
      </c>
      <c r="F112" s="1">
        <v>12163.45</v>
      </c>
      <c r="H112" s="62">
        <f>SUM(H110:H111)</f>
        <v>2274.7600000000002</v>
      </c>
      <c r="J112" s="174">
        <v>-866.82</v>
      </c>
    </row>
    <row r="113" spans="1:12">
      <c r="A113" t="s">
        <v>3313</v>
      </c>
      <c r="B113" s="1">
        <v>3471.84</v>
      </c>
      <c r="C113" t="s">
        <v>5403</v>
      </c>
      <c r="D113" s="1">
        <v>2941.47</v>
      </c>
      <c r="E113" t="s">
        <v>5404</v>
      </c>
      <c r="F113" s="1">
        <v>9739.68</v>
      </c>
      <c r="J113" s="174">
        <v>-299.49</v>
      </c>
    </row>
    <row r="114" spans="1:12">
      <c r="A114" t="s">
        <v>3316</v>
      </c>
      <c r="B114" s="1">
        <v>813.6</v>
      </c>
      <c r="C114" t="s">
        <v>5405</v>
      </c>
      <c r="D114" s="1">
        <v>689.61</v>
      </c>
      <c r="E114" t="s">
        <v>5406</v>
      </c>
      <c r="F114" s="1">
        <v>5705.12</v>
      </c>
      <c r="G114" t="s">
        <v>3425</v>
      </c>
      <c r="H114" s="1">
        <v>1914.36</v>
      </c>
      <c r="J114" s="174">
        <v>-203.82</v>
      </c>
    </row>
    <row r="115" spans="1:12">
      <c r="A115" t="s">
        <v>3319</v>
      </c>
      <c r="B115" s="1">
        <v>2419.08</v>
      </c>
      <c r="C115" t="s">
        <v>5407</v>
      </c>
      <c r="D115" s="1">
        <v>447.8</v>
      </c>
      <c r="E115" t="s">
        <v>5408</v>
      </c>
      <c r="F115" s="1">
        <v>5705.12</v>
      </c>
      <c r="G115" t="s">
        <v>3428</v>
      </c>
      <c r="H115" s="1">
        <v>1881</v>
      </c>
      <c r="J115" s="174">
        <v>-1222.92</v>
      </c>
    </row>
    <row r="116" spans="1:12">
      <c r="B116" s="61">
        <f>SUM(B108:B115)</f>
        <v>46102.799999999996</v>
      </c>
      <c r="C116" t="s">
        <v>5409</v>
      </c>
      <c r="D116" s="1">
        <v>2678.68</v>
      </c>
      <c r="E116" t="s">
        <v>5410</v>
      </c>
      <c r="F116" s="1">
        <v>1425.6</v>
      </c>
      <c r="G116" t="s">
        <v>3430</v>
      </c>
      <c r="H116" s="1">
        <v>7266</v>
      </c>
      <c r="J116" s="174">
        <v>-6147.8</v>
      </c>
    </row>
    <row r="117" spans="1:12">
      <c r="C117" t="s">
        <v>5411</v>
      </c>
      <c r="D117" s="1">
        <v>2678.68</v>
      </c>
      <c r="E117" t="s">
        <v>5412</v>
      </c>
      <c r="F117" s="1">
        <v>26334.720000000001</v>
      </c>
      <c r="H117" s="62">
        <f>SUM(H114:H116)</f>
        <v>11061.36</v>
      </c>
      <c r="J117" s="174">
        <v>-5986.08</v>
      </c>
    </row>
    <row r="118" spans="1:12">
      <c r="C118" t="s">
        <v>5413</v>
      </c>
      <c r="D118" s="1">
        <v>2678.68</v>
      </c>
      <c r="E118" t="s">
        <v>5414</v>
      </c>
      <c r="F118" s="1">
        <v>12163.45</v>
      </c>
      <c r="J118" s="174">
        <v>-3611</v>
      </c>
    </row>
    <row r="119" spans="1:12">
      <c r="C119" t="s">
        <v>5415</v>
      </c>
      <c r="D119" s="1">
        <v>888.4</v>
      </c>
      <c r="E119" t="s">
        <v>5416</v>
      </c>
      <c r="F119" s="11">
        <v>4947.3</v>
      </c>
      <c r="H119" s="6">
        <v>43314</v>
      </c>
      <c r="J119" s="174">
        <v>-10424.16</v>
      </c>
    </row>
    <row r="120" spans="1:12">
      <c r="C120" t="s">
        <v>5417</v>
      </c>
      <c r="D120" s="1">
        <v>12618.72</v>
      </c>
      <c r="E120" t="s">
        <v>5418</v>
      </c>
      <c r="F120">
        <v>4240.4799999999996</v>
      </c>
      <c r="G120" s="4" t="s">
        <v>3442</v>
      </c>
      <c r="H120" s="1">
        <v>299.49</v>
      </c>
      <c r="J120" s="174">
        <v>203.82</v>
      </c>
    </row>
    <row r="121" spans="1:12">
      <c r="C121" t="s">
        <v>5419</v>
      </c>
      <c r="D121" s="1">
        <v>2678.68</v>
      </c>
      <c r="E121" t="s">
        <v>5420</v>
      </c>
      <c r="F121" s="11">
        <v>4069</v>
      </c>
      <c r="G121" s="4" t="s">
        <v>3439</v>
      </c>
      <c r="H121" s="1">
        <v>866.82</v>
      </c>
      <c r="J121" s="174">
        <v>-203.82</v>
      </c>
    </row>
    <row r="122" spans="1:12">
      <c r="C122" t="s">
        <v>5421</v>
      </c>
      <c r="D122" s="11">
        <v>1548</v>
      </c>
      <c r="E122" t="s">
        <v>5422</v>
      </c>
      <c r="F122">
        <v>1030.68</v>
      </c>
      <c r="G122" s="4" t="s">
        <v>3444</v>
      </c>
      <c r="H122" s="1">
        <v>6147.8</v>
      </c>
      <c r="J122" s="70">
        <f>SUM(J108:J121)</f>
        <v>-34930.160000000003</v>
      </c>
    </row>
    <row r="123" spans="1:12">
      <c r="C123" t="s">
        <v>5423</v>
      </c>
      <c r="D123" s="11">
        <v>21899</v>
      </c>
      <c r="E123" t="s">
        <v>5424</v>
      </c>
      <c r="F123" s="11">
        <v>858.9</v>
      </c>
      <c r="G123" s="4" t="s">
        <v>3448</v>
      </c>
      <c r="H123" s="1">
        <v>1222.92</v>
      </c>
    </row>
    <row r="124" spans="1:12">
      <c r="C124" t="s">
        <v>5425</v>
      </c>
      <c r="D124" s="11">
        <v>2259.62</v>
      </c>
      <c r="E124" t="s">
        <v>5426</v>
      </c>
      <c r="F124">
        <v>3060.16</v>
      </c>
      <c r="G124" s="4" t="s">
        <v>3451</v>
      </c>
      <c r="H124" s="1">
        <v>203.82</v>
      </c>
      <c r="I124" s="73"/>
      <c r="J124" s="73"/>
      <c r="K124" s="172"/>
    </row>
    <row r="125" spans="1:12">
      <c r="D125" s="62">
        <f>SUM(D108:D124)</f>
        <v>70978.14</v>
      </c>
      <c r="F125" s="62">
        <f>SUM(F108:F124)</f>
        <v>102419.80999999998</v>
      </c>
      <c r="G125" s="4" t="s">
        <v>3460</v>
      </c>
      <c r="H125" s="1">
        <v>5986.08</v>
      </c>
      <c r="K125" s="172"/>
    </row>
    <row r="126" spans="1:12">
      <c r="G126" s="4" t="s">
        <v>3463</v>
      </c>
      <c r="H126" s="1">
        <v>3611</v>
      </c>
      <c r="K126">
        <v>1.33</v>
      </c>
      <c r="L126" t="s">
        <v>5427</v>
      </c>
    </row>
    <row r="127" spans="1:12">
      <c r="G127" s="4" t="s">
        <v>3466</v>
      </c>
      <c r="H127" s="1">
        <v>10424.16</v>
      </c>
    </row>
    <row r="128" spans="1:12">
      <c r="G128" s="4" t="s">
        <v>3170</v>
      </c>
      <c r="H128" s="1">
        <v>868.6</v>
      </c>
      <c r="I128" s="1">
        <v>2.66</v>
      </c>
    </row>
    <row r="129" spans="2:14">
      <c r="G129" s="4" t="s">
        <v>2746</v>
      </c>
      <c r="H129" s="1">
        <v>3237.57</v>
      </c>
      <c r="J129" s="6">
        <v>43318</v>
      </c>
      <c r="L129" s="6">
        <v>43319</v>
      </c>
    </row>
    <row r="130" spans="2:14">
      <c r="G130" s="4" t="s">
        <v>3276</v>
      </c>
      <c r="H130" s="1">
        <v>293.39999999999998</v>
      </c>
      <c r="I130" t="s">
        <v>3454</v>
      </c>
      <c r="J130" s="1">
        <v>464.03</v>
      </c>
      <c r="K130" s="73" t="s">
        <v>3472</v>
      </c>
      <c r="L130" s="1">
        <v>1385.64</v>
      </c>
    </row>
    <row r="131" spans="2:14">
      <c r="G131" s="4"/>
      <c r="H131" s="1">
        <v>0</v>
      </c>
      <c r="I131" t="s">
        <v>3457</v>
      </c>
      <c r="J131" s="1">
        <v>152.79</v>
      </c>
      <c r="K131" t="s">
        <v>3475</v>
      </c>
      <c r="L131" s="9">
        <v>6766.76</v>
      </c>
    </row>
    <row r="132" spans="2:14">
      <c r="G132" s="175" t="s">
        <v>2938</v>
      </c>
      <c r="H132" s="1">
        <v>1768.5</v>
      </c>
      <c r="I132" t="s">
        <v>3469</v>
      </c>
      <c r="J132" s="1">
        <v>10852.56</v>
      </c>
      <c r="K132" t="s">
        <v>3478</v>
      </c>
      <c r="L132" s="1">
        <v>2592</v>
      </c>
    </row>
    <row r="133" spans="2:14">
      <c r="H133" s="61">
        <f>SUM(H120:H132)</f>
        <v>34930.160000000003</v>
      </c>
      <c r="I133" t="s">
        <v>3343</v>
      </c>
      <c r="J133" s="1">
        <v>2741.21</v>
      </c>
      <c r="K133" t="s">
        <v>3480</v>
      </c>
      <c r="L133" s="170">
        <v>10673.28</v>
      </c>
    </row>
    <row r="134" spans="2:14">
      <c r="H134" s="1">
        <f>+H133+J122</f>
        <v>0</v>
      </c>
      <c r="J134" s="61">
        <f>SUM(J130:J133)</f>
        <v>14210.59</v>
      </c>
      <c r="K134" t="s">
        <v>3483</v>
      </c>
      <c r="L134" s="1">
        <v>1943.08</v>
      </c>
    </row>
    <row r="135" spans="2:14">
      <c r="H135" s="1"/>
      <c r="L135" s="62">
        <f>SUM(L130:L134)</f>
        <v>23360.760000000002</v>
      </c>
    </row>
    <row r="137" spans="2:14">
      <c r="B137" s="6">
        <v>43320</v>
      </c>
      <c r="E137" s="6">
        <v>43321</v>
      </c>
      <c r="G137" s="6">
        <v>43328</v>
      </c>
    </row>
    <row r="138" spans="2:14">
      <c r="C138" s="174">
        <v>-7504.98</v>
      </c>
      <c r="E138" s="174">
        <v>-7504.98</v>
      </c>
      <c r="F138" s="173" t="s">
        <v>3492</v>
      </c>
      <c r="G138" s="174">
        <v>-58.48</v>
      </c>
      <c r="H138" s="176" t="s">
        <v>3085</v>
      </c>
    </row>
    <row r="139" spans="2:14">
      <c r="B139" s="174">
        <v>-7061.62</v>
      </c>
      <c r="C139" s="173" t="s">
        <v>5428</v>
      </c>
      <c r="E139" s="174">
        <v>-2733.52</v>
      </c>
      <c r="F139" s="173" t="s">
        <v>3501</v>
      </c>
      <c r="G139" s="174">
        <v>-21178.400000000001</v>
      </c>
      <c r="H139" s="173" t="s">
        <v>3310</v>
      </c>
      <c r="I139">
        <v>18461.8</v>
      </c>
      <c r="J139" t="s">
        <v>2293</v>
      </c>
      <c r="K139">
        <v>7729.49</v>
      </c>
      <c r="L139" t="s">
        <v>2332</v>
      </c>
    </row>
    <row r="140" spans="2:14">
      <c r="B140" s="174">
        <v>-7061.62</v>
      </c>
      <c r="C140" s="173" t="s">
        <v>3489</v>
      </c>
      <c r="E140" s="174">
        <v>-2733.52</v>
      </c>
      <c r="F140" s="173" t="s">
        <v>3498</v>
      </c>
      <c r="G140" s="174">
        <v>-9737.1200000000008</v>
      </c>
      <c r="H140" s="173" t="s">
        <v>2260</v>
      </c>
      <c r="I140">
        <v>92.4</v>
      </c>
      <c r="J140" t="s">
        <v>2311</v>
      </c>
      <c r="K140">
        <v>15458.98</v>
      </c>
      <c r="L140" t="s">
        <v>3551</v>
      </c>
    </row>
    <row r="141" spans="2:14">
      <c r="B141" s="25">
        <f>SUM(B138:B140)</f>
        <v>-14123.24</v>
      </c>
      <c r="C141" s="174"/>
      <c r="E141" s="174">
        <v>-2733.52</v>
      </c>
      <c r="F141" s="173" t="s">
        <v>3495</v>
      </c>
      <c r="G141" s="174">
        <v>-2031.6</v>
      </c>
      <c r="H141" s="173" t="s">
        <v>2267</v>
      </c>
      <c r="I141">
        <v>7658.88</v>
      </c>
      <c r="J141" t="s">
        <v>2315</v>
      </c>
      <c r="K141">
        <v>15458.98</v>
      </c>
      <c r="L141" t="s">
        <v>3554</v>
      </c>
    </row>
    <row r="142" spans="2:14">
      <c r="C142" s="174"/>
      <c r="E142" s="174">
        <v>-156.52000000000001</v>
      </c>
      <c r="F142" s="173" t="s">
        <v>2270</v>
      </c>
      <c r="G142" s="174">
        <v>-10697.26</v>
      </c>
      <c r="H142" s="173" t="s">
        <v>2273</v>
      </c>
      <c r="I142">
        <v>13433.6</v>
      </c>
      <c r="J142" t="s">
        <v>2324</v>
      </c>
      <c r="K142" s="25">
        <f>SUM(K139:K141)</f>
        <v>38647.449999999997</v>
      </c>
    </row>
    <row r="143" spans="2:14">
      <c r="C143" s="174"/>
      <c r="E143" s="174">
        <v>-213.12</v>
      </c>
      <c r="F143" s="173" t="s">
        <v>2308</v>
      </c>
      <c r="G143" s="174">
        <v>-6362.84</v>
      </c>
      <c r="H143" s="173" t="s">
        <v>2279</v>
      </c>
      <c r="I143">
        <v>5085.82</v>
      </c>
      <c r="J143" t="s">
        <v>3295</v>
      </c>
    </row>
    <row r="144" spans="2:14">
      <c r="C144" s="70"/>
      <c r="E144" s="122">
        <f>SUM(E138:E143)</f>
        <v>-16075.180000000002</v>
      </c>
      <c r="G144" s="174">
        <v>-8116.4</v>
      </c>
      <c r="H144" s="173" t="s">
        <v>2285</v>
      </c>
      <c r="I144" s="25">
        <f>SUM(I139:I143)</f>
        <v>44732.5</v>
      </c>
      <c r="K144" s="1">
        <v>6122.25</v>
      </c>
      <c r="L144" t="s">
        <v>3559</v>
      </c>
      <c r="M144">
        <v>233.4</v>
      </c>
      <c r="N144" t="s">
        <v>3562</v>
      </c>
    </row>
    <row r="145" spans="4:14">
      <c r="G145" s="174">
        <v>-7952.78</v>
      </c>
      <c r="H145" s="173" t="s">
        <v>2282</v>
      </c>
      <c r="K145" s="1">
        <v>3584</v>
      </c>
      <c r="L145" t="s">
        <v>3564</v>
      </c>
      <c r="M145">
        <v>189.36</v>
      </c>
      <c r="N145" t="s">
        <v>3582</v>
      </c>
    </row>
    <row r="146" spans="4:14">
      <c r="G146" s="174">
        <v>-16642.439999999999</v>
      </c>
      <c r="H146" s="173" t="s">
        <v>2289</v>
      </c>
      <c r="I146">
        <v>1225.68</v>
      </c>
      <c r="J146" t="s">
        <v>2327</v>
      </c>
      <c r="K146" s="1">
        <v>3584</v>
      </c>
      <c r="L146" t="s">
        <v>3567</v>
      </c>
      <c r="M146">
        <v>4590.96</v>
      </c>
      <c r="N146" t="s">
        <v>3585</v>
      </c>
    </row>
    <row r="147" spans="4:14">
      <c r="G147" s="174">
        <v>-2851.52</v>
      </c>
      <c r="H147" s="173" t="s">
        <v>2299</v>
      </c>
      <c r="I147">
        <v>2864.6</v>
      </c>
      <c r="J147" t="s">
        <v>3557</v>
      </c>
      <c r="K147" s="1">
        <v>5304.32</v>
      </c>
      <c r="L147" t="s">
        <v>3570</v>
      </c>
      <c r="M147">
        <v>7093.66</v>
      </c>
      <c r="N147" t="s">
        <v>3588</v>
      </c>
    </row>
    <row r="148" spans="4:14">
      <c r="G148" s="174">
        <v>-3564.4</v>
      </c>
      <c r="H148" s="173" t="s">
        <v>2302</v>
      </c>
      <c r="I148" s="25">
        <f>SUM(I146:I147)</f>
        <v>4090.2799999999997</v>
      </c>
      <c r="K148" s="170">
        <v>7158.7</v>
      </c>
      <c r="L148" t="s">
        <v>3572</v>
      </c>
      <c r="M148" s="25">
        <f>SUM(M144:M147)</f>
        <v>12107.380000000001</v>
      </c>
    </row>
    <row r="149" spans="4:14">
      <c r="G149" s="174">
        <v>-2434.92</v>
      </c>
      <c r="H149" s="173" t="s">
        <v>2305</v>
      </c>
      <c r="K149" s="170">
        <v>7158.7</v>
      </c>
      <c r="L149" t="s">
        <v>3575</v>
      </c>
    </row>
    <row r="150" spans="4:14">
      <c r="G150" s="174">
        <v>-2851.52</v>
      </c>
      <c r="H150" s="173" t="s">
        <v>2296</v>
      </c>
      <c r="K150" s="25">
        <f>SUM(K144:K149)</f>
        <v>32911.97</v>
      </c>
    </row>
    <row r="151" spans="4:14">
      <c r="G151" s="174">
        <v>-3194.63</v>
      </c>
      <c r="H151" s="173" t="s">
        <v>2321</v>
      </c>
    </row>
    <row r="152" spans="4:14">
      <c r="G152" s="122">
        <f>SUM(G138:G151)</f>
        <v>-97674.310000000012</v>
      </c>
    </row>
    <row r="153" spans="4:14">
      <c r="D153">
        <v>2618.1</v>
      </c>
      <c r="E153" t="s">
        <v>3591</v>
      </c>
      <c r="F153" s="170">
        <v>5694.66</v>
      </c>
      <c r="G153" t="s">
        <v>3598</v>
      </c>
      <c r="H153" s="1">
        <v>8858.36</v>
      </c>
      <c r="I153" t="s">
        <v>3623</v>
      </c>
      <c r="J153">
        <v>27507.200000000001</v>
      </c>
      <c r="K153" t="s">
        <v>5429</v>
      </c>
      <c r="L153" s="25">
        <v>2244.6999999999998</v>
      </c>
      <c r="M153" t="s">
        <v>2341</v>
      </c>
    </row>
    <row r="154" spans="4:14">
      <c r="D154">
        <v>1616.02</v>
      </c>
      <c r="E154" t="s">
        <v>3595</v>
      </c>
      <c r="F154" s="170">
        <v>2800.92</v>
      </c>
      <c r="G154" t="s">
        <v>3607</v>
      </c>
      <c r="H154" s="1">
        <v>2884</v>
      </c>
      <c r="I154" t="s">
        <v>3630</v>
      </c>
      <c r="J154">
        <v>3137</v>
      </c>
      <c r="K154" t="s">
        <v>3618</v>
      </c>
    </row>
    <row r="155" spans="4:14">
      <c r="D155">
        <v>1868.22</v>
      </c>
      <c r="E155" t="s">
        <v>3601</v>
      </c>
      <c r="F155" s="62">
        <f>SUM(F153:F154)</f>
        <v>8495.58</v>
      </c>
      <c r="H155" s="1">
        <v>11617.9</v>
      </c>
      <c r="I155" t="s">
        <v>3636</v>
      </c>
      <c r="J155">
        <v>10646.3</v>
      </c>
      <c r="K155" t="s">
        <v>3620</v>
      </c>
    </row>
    <row r="156" spans="4:14">
      <c r="D156">
        <v>5383.51</v>
      </c>
      <c r="E156" t="s">
        <v>3604</v>
      </c>
      <c r="H156" s="25">
        <f>SUM(H153:H155)</f>
        <v>23360.260000000002</v>
      </c>
      <c r="J156">
        <v>3808.8</v>
      </c>
      <c r="K156" t="s">
        <v>3633</v>
      </c>
    </row>
    <row r="157" spans="4:14">
      <c r="D157" s="25">
        <f>SUM(D153:D156)</f>
        <v>11485.85</v>
      </c>
      <c r="J157">
        <v>845.82</v>
      </c>
      <c r="K157" t="s">
        <v>2878</v>
      </c>
    </row>
    <row r="158" spans="4:14">
      <c r="J158">
        <v>98.45</v>
      </c>
      <c r="K158" t="s">
        <v>3627</v>
      </c>
    </row>
    <row r="159" spans="4:14">
      <c r="G159" t="s">
        <v>5430</v>
      </c>
      <c r="J159" s="25">
        <f>SUM(J153:J158)</f>
        <v>46043.57</v>
      </c>
    </row>
    <row r="162" spans="5:19" ht="18.75" customHeight="1">
      <c r="E162" s="80" t="s">
        <v>5219</v>
      </c>
      <c r="F162" s="80" t="s">
        <v>2103</v>
      </c>
      <c r="G162" s="80" t="s">
        <v>112</v>
      </c>
    </row>
    <row r="163" spans="5:19">
      <c r="E163" s="6">
        <v>43361</v>
      </c>
      <c r="F163" t="s">
        <v>2344</v>
      </c>
      <c r="G163" s="1">
        <v>2979.2</v>
      </c>
    </row>
    <row r="164" spans="5:19">
      <c r="E164" s="6">
        <v>43361</v>
      </c>
      <c r="F164" t="s">
        <v>2347</v>
      </c>
      <c r="G164" s="1">
        <v>4468.8</v>
      </c>
    </row>
    <row r="165" spans="5:19">
      <c r="E165" s="6">
        <v>43361</v>
      </c>
      <c r="F165" t="s">
        <v>2354</v>
      </c>
      <c r="G165" s="1">
        <v>464.8</v>
      </c>
    </row>
    <row r="166" spans="5:19">
      <c r="E166" s="6">
        <v>43361</v>
      </c>
      <c r="F166" t="s">
        <v>2357</v>
      </c>
      <c r="G166" s="1">
        <v>221.6</v>
      </c>
    </row>
    <row r="167" spans="5:19">
      <c r="G167" s="61">
        <f>SUM(G163:G166)</f>
        <v>8134.4000000000005</v>
      </c>
    </row>
    <row r="168" spans="5:19">
      <c r="E168" s="6"/>
      <c r="G168" s="1"/>
    </row>
    <row r="169" spans="5:19">
      <c r="G169" s="1"/>
    </row>
    <row r="170" spans="5:19">
      <c r="G170" s="11">
        <f>SUM(G168:G169)</f>
        <v>0</v>
      </c>
    </row>
    <row r="171" spans="5:19">
      <c r="F171" t="s">
        <v>2335</v>
      </c>
      <c r="G171" s="1">
        <v>4427.04</v>
      </c>
      <c r="J171" t="s">
        <v>2364</v>
      </c>
      <c r="K171" s="1">
        <v>15594.88</v>
      </c>
      <c r="L171" t="s">
        <v>3613</v>
      </c>
      <c r="M171" s="1">
        <v>8862.1200000000008</v>
      </c>
      <c r="O171" s="1"/>
      <c r="P171" t="s">
        <v>3784</v>
      </c>
      <c r="Q171" s="1">
        <v>19693.93</v>
      </c>
      <c r="R171" t="s">
        <v>3739</v>
      </c>
      <c r="S171" s="61">
        <v>23359.22</v>
      </c>
    </row>
    <row r="172" spans="5:19">
      <c r="F172" t="s">
        <v>2338</v>
      </c>
      <c r="G172" s="1">
        <v>8147.96</v>
      </c>
      <c r="H172">
        <v>27</v>
      </c>
      <c r="I172" s="1">
        <v>6276.24</v>
      </c>
      <c r="J172" t="s">
        <v>3711</v>
      </c>
      <c r="K172" s="1">
        <v>6538.4</v>
      </c>
      <c r="L172" t="s">
        <v>2361</v>
      </c>
      <c r="M172" s="1">
        <v>1902.48</v>
      </c>
      <c r="O172" s="1"/>
      <c r="P172" t="s">
        <v>3795</v>
      </c>
      <c r="Q172">
        <v>11629.84</v>
      </c>
    </row>
    <row r="173" spans="5:19">
      <c r="F173" t="s">
        <v>2351</v>
      </c>
      <c r="G173" s="1">
        <v>6080.2</v>
      </c>
      <c r="H173">
        <v>38</v>
      </c>
      <c r="I173" s="1">
        <v>6328</v>
      </c>
      <c r="J173" t="s">
        <v>3690</v>
      </c>
      <c r="K173" s="170">
        <v>3287</v>
      </c>
      <c r="L173" t="s">
        <v>3714</v>
      </c>
      <c r="M173" s="1">
        <v>8553.5400000000009</v>
      </c>
      <c r="O173" s="11"/>
      <c r="Q173" s="62">
        <f>SUM(Q171:Q172)</f>
        <v>31323.77</v>
      </c>
      <c r="R173" t="s">
        <v>3772</v>
      </c>
      <c r="S173" s="1">
        <v>129.03</v>
      </c>
    </row>
    <row r="174" spans="5:19">
      <c r="F174" t="s">
        <v>2366</v>
      </c>
      <c r="G174" s="1">
        <v>8238.4500000000007</v>
      </c>
      <c r="H174" s="136">
        <v>43314</v>
      </c>
      <c r="I174">
        <v>230</v>
      </c>
      <c r="J174" t="s">
        <v>3696</v>
      </c>
      <c r="K174" s="181">
        <v>3036.4</v>
      </c>
      <c r="L174" t="s">
        <v>3717</v>
      </c>
      <c r="M174" s="1">
        <v>2908.88</v>
      </c>
      <c r="R174" t="s">
        <v>3814</v>
      </c>
      <c r="S174" s="1">
        <v>6931.2</v>
      </c>
    </row>
    <row r="175" spans="5:19">
      <c r="F175" t="s">
        <v>3665</v>
      </c>
      <c r="G175" s="1">
        <v>1649.83</v>
      </c>
      <c r="H175">
        <v>20</v>
      </c>
      <c r="I175" s="170">
        <v>5273.8</v>
      </c>
      <c r="J175" t="s">
        <v>2379</v>
      </c>
      <c r="K175" s="1">
        <v>647.29</v>
      </c>
      <c r="L175" t="s">
        <v>3720</v>
      </c>
      <c r="M175" s="1">
        <v>3389</v>
      </c>
      <c r="N175" t="s">
        <v>3754</v>
      </c>
      <c r="O175" s="1">
        <v>7294.38</v>
      </c>
      <c r="P175" t="s">
        <v>3788</v>
      </c>
      <c r="Q175" s="1">
        <v>3323.7</v>
      </c>
      <c r="R175" t="s">
        <v>3817</v>
      </c>
      <c r="S175" s="1">
        <v>11667.6</v>
      </c>
    </row>
    <row r="176" spans="5:19">
      <c r="F176" t="s">
        <v>3668</v>
      </c>
      <c r="G176" s="1">
        <v>3535.35</v>
      </c>
      <c r="I176" s="11"/>
      <c r="J176" t="s">
        <v>3733</v>
      </c>
      <c r="K176" s="1">
        <v>1244.5</v>
      </c>
      <c r="L176" t="s">
        <v>3722</v>
      </c>
      <c r="M176" s="1">
        <v>3389</v>
      </c>
      <c r="N176" t="s">
        <v>3764</v>
      </c>
      <c r="O176" s="1">
        <v>4072.8</v>
      </c>
      <c r="P176" t="s">
        <v>3792</v>
      </c>
      <c r="Q176" s="1">
        <v>311.64</v>
      </c>
      <c r="R176" t="s">
        <v>3820</v>
      </c>
      <c r="S176" s="1">
        <v>8258.4599999999991</v>
      </c>
    </row>
    <row r="177" spans="2:19">
      <c r="F177" t="s">
        <v>3678</v>
      </c>
      <c r="G177" s="1">
        <v>2774.1</v>
      </c>
      <c r="J177">
        <v>24</v>
      </c>
      <c r="K177" s="170">
        <v>990.96</v>
      </c>
      <c r="L177" t="s">
        <v>3724</v>
      </c>
      <c r="M177" s="1">
        <v>3389</v>
      </c>
      <c r="N177" t="s">
        <v>3610</v>
      </c>
      <c r="O177" s="1">
        <v>8369.7800000000007</v>
      </c>
      <c r="P177" t="s">
        <v>3798</v>
      </c>
      <c r="Q177" s="1">
        <v>24715.360000000001</v>
      </c>
      <c r="S177" s="84">
        <f>SUM(S173:S176)</f>
        <v>26986.29</v>
      </c>
    </row>
    <row r="178" spans="2:19">
      <c r="F178" t="s">
        <v>3684</v>
      </c>
      <c r="G178" s="1">
        <v>4423.4399999999996</v>
      </c>
      <c r="J178">
        <v>27</v>
      </c>
      <c r="K178" s="1">
        <v>6276.24</v>
      </c>
      <c r="L178" t="s">
        <v>3726</v>
      </c>
      <c r="M178" s="1">
        <v>4066.8</v>
      </c>
      <c r="O178" s="61">
        <f>SUM(O175:O177)</f>
        <v>19736.96</v>
      </c>
      <c r="P178" t="s">
        <v>3705</v>
      </c>
      <c r="Q178" s="1">
        <v>12280.2</v>
      </c>
    </row>
    <row r="179" spans="2:19">
      <c r="G179" s="62">
        <f>SUM(G171:G178)</f>
        <v>39276.370000000003</v>
      </c>
      <c r="J179">
        <v>38</v>
      </c>
      <c r="K179" s="1">
        <v>6328</v>
      </c>
      <c r="L179" t="s">
        <v>3728</v>
      </c>
      <c r="M179" s="1">
        <v>3691.04</v>
      </c>
      <c r="O179" s="1"/>
      <c r="Q179" s="61">
        <f>SUM(Q175:Q178)</f>
        <v>40630.9</v>
      </c>
    </row>
    <row r="180" spans="2:19">
      <c r="J180" t="s">
        <v>2262</v>
      </c>
      <c r="K180" s="1">
        <v>215.28</v>
      </c>
      <c r="L180" t="s">
        <v>3736</v>
      </c>
      <c r="M180" s="1">
        <v>10799.46</v>
      </c>
      <c r="N180" t="s">
        <v>3752</v>
      </c>
      <c r="O180" s="61">
        <v>549.41999999999996</v>
      </c>
    </row>
    <row r="181" spans="2:19">
      <c r="F181" t="s">
        <v>3675</v>
      </c>
      <c r="G181" s="25">
        <v>2159.92</v>
      </c>
      <c r="J181">
        <v>20</v>
      </c>
      <c r="K181" s="170">
        <v>5273.8</v>
      </c>
      <c r="L181" t="s">
        <v>3742</v>
      </c>
      <c r="M181" s="1">
        <v>16047.25</v>
      </c>
      <c r="P181" t="s">
        <v>3801</v>
      </c>
      <c r="Q181" s="61">
        <v>2418.7399999999998</v>
      </c>
    </row>
    <row r="182" spans="2:19">
      <c r="J182" t="s">
        <v>3687</v>
      </c>
      <c r="K182" s="170">
        <v>916.83</v>
      </c>
      <c r="L182" t="s">
        <v>3745</v>
      </c>
      <c r="M182" s="1">
        <v>1282.1500000000001</v>
      </c>
      <c r="N182" t="s">
        <v>3778</v>
      </c>
      <c r="O182" s="1">
        <v>5299.65</v>
      </c>
    </row>
    <row r="183" spans="2:19">
      <c r="F183" t="s">
        <v>3662</v>
      </c>
      <c r="G183" s="25">
        <v>78</v>
      </c>
      <c r="K183" s="62">
        <f>SUM(K171:K182)</f>
        <v>50349.58</v>
      </c>
      <c r="L183" t="s">
        <v>3749</v>
      </c>
      <c r="M183" s="1">
        <v>289.77999999999997</v>
      </c>
      <c r="N183" t="s">
        <v>3757</v>
      </c>
      <c r="O183" s="1">
        <v>13611</v>
      </c>
      <c r="P183" t="s">
        <v>3804</v>
      </c>
      <c r="Q183" s="1">
        <v>15937.1</v>
      </c>
    </row>
    <row r="184" spans="2:19">
      <c r="M184" s="61">
        <f>SUM(M171:M183)</f>
        <v>68570.5</v>
      </c>
      <c r="O184" s="61">
        <f>SUM(O182:O183)</f>
        <v>18910.650000000001</v>
      </c>
      <c r="P184" t="s">
        <v>3807</v>
      </c>
      <c r="Q184" s="1">
        <v>2169.3000000000002</v>
      </c>
    </row>
    <row r="185" spans="2:19">
      <c r="F185" t="s">
        <v>3659</v>
      </c>
      <c r="G185" s="1">
        <v>1372.8</v>
      </c>
      <c r="P185" t="s">
        <v>3811</v>
      </c>
      <c r="Q185" s="1">
        <v>3042.55</v>
      </c>
    </row>
    <row r="186" spans="2:19">
      <c r="F186" t="s">
        <v>3699</v>
      </c>
      <c r="G186" s="1">
        <v>1439.49</v>
      </c>
      <c r="N186" t="s">
        <v>3774</v>
      </c>
      <c r="O186" s="61">
        <v>1729.49</v>
      </c>
      <c r="Q186" s="62">
        <f>SUM(Q183:Q185)</f>
        <v>21148.95</v>
      </c>
    </row>
    <row r="187" spans="2:19">
      <c r="G187" s="62">
        <f>SUM(G185:G186)</f>
        <v>2812.29</v>
      </c>
    </row>
    <row r="189" spans="2:19">
      <c r="B189" s="7" t="s">
        <v>5431</v>
      </c>
    </row>
    <row r="191" spans="2:19">
      <c r="B191" t="s">
        <v>2276</v>
      </c>
      <c r="C191" s="1">
        <v>10980.67</v>
      </c>
      <c r="D191" s="4">
        <v>10.67</v>
      </c>
      <c r="E191" t="s">
        <v>3839</v>
      </c>
      <c r="F191" s="1">
        <v>6923.52</v>
      </c>
      <c r="G191" t="s">
        <v>3845</v>
      </c>
      <c r="H191" s="1">
        <v>1470.6</v>
      </c>
      <c r="I191" t="s">
        <v>3872</v>
      </c>
      <c r="J191" s="1">
        <v>9345.48</v>
      </c>
      <c r="K191" t="s">
        <v>3842</v>
      </c>
      <c r="L191" s="1">
        <v>1671.32</v>
      </c>
    </row>
    <row r="192" spans="2:19">
      <c r="B192" t="s">
        <v>2318</v>
      </c>
      <c r="C192" s="1">
        <v>742.89</v>
      </c>
      <c r="E192" t="s">
        <v>3854</v>
      </c>
      <c r="F192" s="1">
        <v>1669.29</v>
      </c>
      <c r="G192" t="s">
        <v>3851</v>
      </c>
      <c r="H192" s="1">
        <v>5769</v>
      </c>
      <c r="I192" t="s">
        <v>3875</v>
      </c>
      <c r="J192" s="1">
        <v>2029.76</v>
      </c>
      <c r="K192" t="s">
        <v>3878</v>
      </c>
      <c r="L192" s="1">
        <v>5266.8</v>
      </c>
    </row>
    <row r="193" spans="2:12">
      <c r="B193" t="s">
        <v>3761</v>
      </c>
      <c r="C193" s="1">
        <v>10.45</v>
      </c>
      <c r="D193" s="75">
        <v>959.31</v>
      </c>
      <c r="E193" t="s">
        <v>3866</v>
      </c>
      <c r="F193" s="1">
        <v>6409.76</v>
      </c>
      <c r="H193" s="61">
        <f>SUM(H191:H192)</f>
        <v>7239.6</v>
      </c>
      <c r="I193" t="s">
        <v>3881</v>
      </c>
      <c r="J193" s="1">
        <v>12240.69</v>
      </c>
      <c r="L193" s="62">
        <f>SUM(L191:L192)</f>
        <v>6938.12</v>
      </c>
    </row>
    <row r="194" spans="2:12">
      <c r="B194" t="s">
        <v>3826</v>
      </c>
      <c r="C194" s="1">
        <v>26436.6</v>
      </c>
      <c r="F194" s="61">
        <f>SUM(F191:F193)</f>
        <v>15002.570000000002</v>
      </c>
      <c r="G194" s="6">
        <v>43412</v>
      </c>
      <c r="I194" t="s">
        <v>3884</v>
      </c>
      <c r="J194" s="1">
        <v>519.64</v>
      </c>
    </row>
    <row r="195" spans="2:12">
      <c r="B195" t="s">
        <v>3832</v>
      </c>
      <c r="C195" s="1">
        <v>2147.1</v>
      </c>
      <c r="G195" t="s">
        <v>3863</v>
      </c>
      <c r="H195" s="61">
        <v>4694.82</v>
      </c>
      <c r="I195" t="s">
        <v>3887</v>
      </c>
      <c r="J195" s="1">
        <v>1282.1500000000001</v>
      </c>
    </row>
    <row r="196" spans="2:12">
      <c r="B196" t="s">
        <v>3835</v>
      </c>
      <c r="C196" s="1">
        <v>3370.72</v>
      </c>
      <c r="I196" t="s">
        <v>3890</v>
      </c>
      <c r="J196" s="1">
        <v>5026.7299999999996</v>
      </c>
    </row>
    <row r="197" spans="2:12">
      <c r="B197" t="s">
        <v>3848</v>
      </c>
      <c r="C197" s="1">
        <v>1058</v>
      </c>
      <c r="J197" s="61">
        <f>SUM(J191:J196)</f>
        <v>30444.45</v>
      </c>
    </row>
    <row r="198" spans="2:12">
      <c r="C198" s="61">
        <f>SUM(C191:C197)</f>
        <v>44746.43</v>
      </c>
    </row>
    <row r="200" spans="2:12">
      <c r="B200" t="s">
        <v>2451</v>
      </c>
      <c r="C200" s="1">
        <v>2492.9</v>
      </c>
      <c r="D200" t="s">
        <v>2454</v>
      </c>
      <c r="E200" s="1">
        <v>1710.14</v>
      </c>
      <c r="F200" t="s">
        <v>2464</v>
      </c>
      <c r="G200" s="1">
        <v>4273.68</v>
      </c>
      <c r="H200" t="s">
        <v>2471</v>
      </c>
      <c r="I200" s="1">
        <v>7868.52</v>
      </c>
      <c r="J200" t="s">
        <v>2484</v>
      </c>
      <c r="K200" s="1">
        <v>1389.2</v>
      </c>
    </row>
    <row r="201" spans="2:12">
      <c r="B201" t="s">
        <v>2456</v>
      </c>
      <c r="C201" s="1">
        <v>298</v>
      </c>
      <c r="D201" t="s">
        <v>3823</v>
      </c>
      <c r="E201" s="1">
        <v>1484.2</v>
      </c>
      <c r="F201" t="s">
        <v>2467</v>
      </c>
      <c r="G201" s="1">
        <v>23617.599999999999</v>
      </c>
      <c r="H201" t="s">
        <v>2476</v>
      </c>
      <c r="I201" s="1">
        <v>6109</v>
      </c>
      <c r="J201" t="s">
        <v>2487</v>
      </c>
      <c r="K201" s="1">
        <v>3746.4</v>
      </c>
    </row>
    <row r="202" spans="2:12">
      <c r="B202" t="s">
        <v>2462</v>
      </c>
      <c r="C202" s="1">
        <v>16672.740000000002</v>
      </c>
      <c r="D202" t="s">
        <v>3829</v>
      </c>
      <c r="E202" s="1">
        <v>2189.2800000000002</v>
      </c>
      <c r="F202" t="s">
        <v>2473</v>
      </c>
      <c r="G202" s="1">
        <v>1629.45</v>
      </c>
      <c r="H202" t="s">
        <v>2479</v>
      </c>
      <c r="I202" s="1">
        <v>16026</v>
      </c>
      <c r="J202" t="s">
        <v>3927</v>
      </c>
      <c r="K202" s="1">
        <v>2997.12</v>
      </c>
    </row>
    <row r="203" spans="2:12">
      <c r="B203" t="s">
        <v>3857</v>
      </c>
      <c r="C203" s="1">
        <v>8140.68</v>
      </c>
      <c r="E203" s="61">
        <f>SUM(E200:E202)</f>
        <v>5383.6200000000008</v>
      </c>
      <c r="G203" s="61">
        <f>SUM(G200:G202)</f>
        <v>29520.73</v>
      </c>
      <c r="H203" t="s">
        <v>2482</v>
      </c>
      <c r="I203" s="1">
        <v>11493.76</v>
      </c>
      <c r="J203" t="s">
        <v>3930</v>
      </c>
      <c r="K203" s="1">
        <v>2997.12</v>
      </c>
    </row>
    <row r="204" spans="2:12">
      <c r="B204" t="s">
        <v>3893</v>
      </c>
      <c r="C204" s="1">
        <v>8682.4</v>
      </c>
      <c r="H204" t="s">
        <v>3860</v>
      </c>
      <c r="I204" s="1">
        <v>14230.32</v>
      </c>
      <c r="J204" t="s">
        <v>3933</v>
      </c>
      <c r="K204" s="1">
        <v>5558.4</v>
      </c>
    </row>
    <row r="205" spans="2:12">
      <c r="C205" s="61">
        <f>SUM(C200:C204)</f>
        <v>36286.720000000001</v>
      </c>
      <c r="I205" s="61">
        <f>SUM(I200:I204)</f>
        <v>55727.6</v>
      </c>
      <c r="J205" t="s">
        <v>3936</v>
      </c>
      <c r="K205" s="1">
        <v>4366</v>
      </c>
    </row>
    <row r="206" spans="2:12">
      <c r="J206" t="s">
        <v>3939</v>
      </c>
      <c r="K206" s="1">
        <v>4014.42</v>
      </c>
    </row>
    <row r="207" spans="2:12">
      <c r="J207" t="s">
        <v>3917</v>
      </c>
      <c r="K207" s="1">
        <v>11493.76</v>
      </c>
    </row>
    <row r="208" spans="2:12">
      <c r="J208" t="s">
        <v>3920</v>
      </c>
      <c r="K208" s="1">
        <v>11493.76</v>
      </c>
    </row>
    <row r="209" spans="2:11">
      <c r="J209" t="s">
        <v>3915</v>
      </c>
      <c r="K209" s="1">
        <v>11493.76</v>
      </c>
    </row>
    <row r="210" spans="2:11">
      <c r="J210" t="s">
        <v>3942</v>
      </c>
      <c r="K210" s="1">
        <v>2326.84</v>
      </c>
    </row>
    <row r="211" spans="2:11">
      <c r="J211" t="s">
        <v>3945</v>
      </c>
      <c r="K211" s="1">
        <v>14864.01</v>
      </c>
    </row>
    <row r="212" spans="2:11">
      <c r="J212" t="s">
        <v>3948</v>
      </c>
      <c r="K212" s="1">
        <v>21623.360000000001</v>
      </c>
    </row>
    <row r="213" spans="2:11">
      <c r="K213" s="61">
        <f>SUM(K200:K212)</f>
        <v>98364.15</v>
      </c>
    </row>
    <row r="214" spans="2:11">
      <c r="B214" s="7" t="s">
        <v>5432</v>
      </c>
      <c r="C214" s="7"/>
    </row>
    <row r="216" spans="2:11">
      <c r="B216" t="s">
        <v>3958</v>
      </c>
      <c r="C216" s="61">
        <v>2503.62</v>
      </c>
      <c r="D216" t="s">
        <v>3973</v>
      </c>
      <c r="E216" s="61">
        <v>2248.35</v>
      </c>
      <c r="F216" t="s">
        <v>4001</v>
      </c>
      <c r="G216" s="1">
        <v>25219.67</v>
      </c>
    </row>
    <row r="217" spans="2:11">
      <c r="F217" t="s">
        <v>3969</v>
      </c>
      <c r="G217" s="1">
        <v>3893.13</v>
      </c>
    </row>
    <row r="218" spans="2:11">
      <c r="B218" s="6">
        <v>43441</v>
      </c>
      <c r="G218" s="61">
        <f>SUM(G216:G217)</f>
        <v>29112.799999999999</v>
      </c>
    </row>
    <row r="219" spans="2:11">
      <c r="B219" t="s">
        <v>3951</v>
      </c>
      <c r="C219" s="1">
        <v>10684</v>
      </c>
    </row>
    <row r="220" spans="2:11">
      <c r="B220" t="s">
        <v>3964</v>
      </c>
      <c r="C220" s="1">
        <v>4288.54</v>
      </c>
      <c r="F220" t="s">
        <v>4005</v>
      </c>
      <c r="G220" s="61">
        <v>10125.64</v>
      </c>
    </row>
    <row r="221" spans="2:11">
      <c r="C221" s="61">
        <f>SUM(C219:C220)</f>
        <v>14972.54</v>
      </c>
    </row>
    <row r="222" spans="2:11">
      <c r="F222" t="s">
        <v>3996</v>
      </c>
      <c r="G222" s="1">
        <v>1941.55</v>
      </c>
    </row>
    <row r="223" spans="2:11">
      <c r="C223" s="1">
        <v>0</v>
      </c>
      <c r="F223" t="s">
        <v>4008</v>
      </c>
      <c r="G223" s="1">
        <v>7311.42</v>
      </c>
    </row>
    <row r="224" spans="2:11">
      <c r="B224" t="s">
        <v>3978</v>
      </c>
      <c r="C224" s="1">
        <v>16672</v>
      </c>
      <c r="D224" t="s">
        <v>3973</v>
      </c>
      <c r="E224" s="61">
        <v>2248.35</v>
      </c>
      <c r="F224" t="s">
        <v>5433</v>
      </c>
      <c r="G224" s="1">
        <v>17.57</v>
      </c>
    </row>
    <row r="225" spans="2:11">
      <c r="B225" t="s">
        <v>3961</v>
      </c>
      <c r="C225" s="1">
        <v>1453.92</v>
      </c>
      <c r="G225" s="61">
        <f>SUM(G222:G224)</f>
        <v>9270.5399999999991</v>
      </c>
    </row>
    <row r="226" spans="2:11">
      <c r="B226" t="s">
        <v>3869</v>
      </c>
      <c r="C226" s="181">
        <v>6450.29</v>
      </c>
      <c r="D226" t="s">
        <v>3987</v>
      </c>
      <c r="E226" s="1">
        <v>4623.66</v>
      </c>
      <c r="F226" t="s">
        <v>3984</v>
      </c>
      <c r="G226" s="1">
        <v>4623.66</v>
      </c>
    </row>
    <row r="227" spans="2:11">
      <c r="B227" t="s">
        <v>3966</v>
      </c>
      <c r="C227" s="1">
        <v>19978.560000000001</v>
      </c>
      <c r="D227" t="s">
        <v>3990</v>
      </c>
      <c r="E227" s="1">
        <v>5837.28</v>
      </c>
      <c r="F227" t="s">
        <v>2459</v>
      </c>
      <c r="G227" s="1">
        <v>15534.97</v>
      </c>
    </row>
    <row r="228" spans="2:11">
      <c r="C228" s="1"/>
      <c r="D228" t="s">
        <v>3976</v>
      </c>
      <c r="E228" s="1">
        <v>6362.1</v>
      </c>
      <c r="G228" s="61">
        <f>SUM(G226:G227)</f>
        <v>20158.629999999997</v>
      </c>
    </row>
    <row r="229" spans="2:11">
      <c r="B229" t="s">
        <v>3981</v>
      </c>
      <c r="C229" s="1">
        <v>16672</v>
      </c>
      <c r="D229" t="s">
        <v>3838</v>
      </c>
      <c r="E229" s="1">
        <v>1463.74</v>
      </c>
    </row>
    <row r="230" spans="2:11">
      <c r="C230" s="62">
        <f>SUM(C223:C229)</f>
        <v>61226.770000000004</v>
      </c>
      <c r="E230" s="61">
        <f>SUM(E226:E229)</f>
        <v>18286.780000000002</v>
      </c>
      <c r="G230" s="1">
        <v>11089.61</v>
      </c>
    </row>
    <row r="231" spans="2:11">
      <c r="G231" s="1">
        <v>6290.4</v>
      </c>
    </row>
    <row r="232" spans="2:11">
      <c r="B232" t="s">
        <v>4011</v>
      </c>
      <c r="C232" s="1">
        <v>15310.88</v>
      </c>
      <c r="D232" t="s">
        <v>3954</v>
      </c>
      <c r="E232" s="61">
        <v>5473.2</v>
      </c>
      <c r="G232" s="61">
        <f>SUM(G230:G231)</f>
        <v>17380.010000000002</v>
      </c>
    </row>
    <row r="233" spans="2:11">
      <c r="B233" t="s">
        <v>4020</v>
      </c>
      <c r="C233" s="1">
        <v>441.39</v>
      </c>
      <c r="G233" s="11"/>
    </row>
    <row r="234" spans="2:11">
      <c r="C234" s="62">
        <f>SUM(C232:C233)</f>
        <v>15752.269999999999</v>
      </c>
    </row>
    <row r="236" spans="2:11">
      <c r="B236" s="212">
        <v>43466</v>
      </c>
    </row>
    <row r="238" spans="2:11">
      <c r="B238" t="s">
        <v>4040</v>
      </c>
      <c r="C238" s="1">
        <v>7145.28</v>
      </c>
      <c r="D238" t="s">
        <v>4052</v>
      </c>
      <c r="E238" s="1">
        <v>5937.36</v>
      </c>
      <c r="G238" s="1"/>
      <c r="H238" t="s">
        <v>4150</v>
      </c>
      <c r="I238" s="1">
        <v>11546.7</v>
      </c>
      <c r="J238" t="s">
        <v>4111</v>
      </c>
      <c r="K238" s="1">
        <v>1.23</v>
      </c>
    </row>
    <row r="239" spans="2:11">
      <c r="B239" t="s">
        <v>4043</v>
      </c>
      <c r="C239" s="1">
        <v>7145.28</v>
      </c>
      <c r="D239" t="s">
        <v>4067</v>
      </c>
      <c r="E239" s="1">
        <v>3062.7</v>
      </c>
      <c r="G239" s="1"/>
      <c r="H239" t="s">
        <v>4156</v>
      </c>
      <c r="I239" s="1">
        <v>4435.38</v>
      </c>
      <c r="J239" t="s">
        <v>4169</v>
      </c>
      <c r="K239" s="1">
        <v>10056.42</v>
      </c>
    </row>
    <row r="240" spans="2:11">
      <c r="B240" t="s">
        <v>4046</v>
      </c>
      <c r="C240" s="1">
        <v>7294.14</v>
      </c>
      <c r="D240" t="s">
        <v>4081</v>
      </c>
      <c r="E240" s="1">
        <v>4509</v>
      </c>
      <c r="G240" s="1"/>
      <c r="H240" t="s">
        <v>4076</v>
      </c>
      <c r="I240" s="1">
        <v>926.48</v>
      </c>
      <c r="J240" t="s">
        <v>4176</v>
      </c>
      <c r="K240" s="1">
        <v>1274.49</v>
      </c>
    </row>
    <row r="241" spans="2:12">
      <c r="B241" t="s">
        <v>4049</v>
      </c>
      <c r="C241" s="1">
        <v>1422.72</v>
      </c>
      <c r="D241" t="s">
        <v>4099</v>
      </c>
      <c r="E241" s="1">
        <v>6597</v>
      </c>
      <c r="G241" s="1"/>
      <c r="H241" t="s">
        <v>4115</v>
      </c>
      <c r="I241" s="1">
        <v>483.77</v>
      </c>
      <c r="J241" t="s">
        <v>4179</v>
      </c>
      <c r="K241" s="1">
        <v>1074.26</v>
      </c>
    </row>
    <row r="242" spans="2:12">
      <c r="B242" t="s">
        <v>4055</v>
      </c>
      <c r="C242" s="1">
        <v>4910.1000000000004</v>
      </c>
      <c r="E242" s="62">
        <f>SUM(E238:E241)</f>
        <v>20106.059999999998</v>
      </c>
      <c r="G242" s="1"/>
      <c r="H242" t="s">
        <v>4124</v>
      </c>
      <c r="I242" s="1">
        <v>3587.25</v>
      </c>
      <c r="J242" t="s">
        <v>4183</v>
      </c>
      <c r="K242" s="1">
        <v>4894.83</v>
      </c>
    </row>
    <row r="243" spans="2:12">
      <c r="B243" t="s">
        <v>4058</v>
      </c>
      <c r="C243" s="1">
        <v>3414.16</v>
      </c>
      <c r="H243" t="s">
        <v>4109</v>
      </c>
      <c r="I243" s="1">
        <v>2971.36</v>
      </c>
      <c r="J243" t="s">
        <v>4185</v>
      </c>
      <c r="K243" s="1">
        <v>4966.5</v>
      </c>
    </row>
    <row r="244" spans="2:12">
      <c r="B244" t="s">
        <v>4061</v>
      </c>
      <c r="C244" s="1">
        <v>5974.2</v>
      </c>
      <c r="D244" t="s">
        <v>4078</v>
      </c>
      <c r="E244" s="170">
        <v>9661.75</v>
      </c>
      <c r="F244" t="s">
        <v>4111</v>
      </c>
      <c r="G244" s="1">
        <v>211.56</v>
      </c>
      <c r="H244" t="s">
        <v>4156</v>
      </c>
      <c r="I244" s="1">
        <v>3818.62</v>
      </c>
      <c r="K244" s="61">
        <f>SUM(K238:K243)</f>
        <v>22267.73</v>
      </c>
      <c r="L244" s="25"/>
    </row>
    <row r="245" spans="2:12">
      <c r="B245" t="s">
        <v>4070</v>
      </c>
      <c r="C245" s="1">
        <v>5216.37</v>
      </c>
      <c r="D245" t="s">
        <v>4105</v>
      </c>
      <c r="E245" s="1">
        <v>6937.35</v>
      </c>
      <c r="F245" t="s">
        <v>4121</v>
      </c>
      <c r="G245" s="1">
        <v>2950.5</v>
      </c>
      <c r="I245" s="61">
        <f>SUM(I238:I244)</f>
        <v>27769.56</v>
      </c>
      <c r="J245" t="s">
        <v>4187</v>
      </c>
      <c r="K245" s="1">
        <v>4598.88</v>
      </c>
    </row>
    <row r="246" spans="2:12">
      <c r="B246" t="s">
        <v>4073</v>
      </c>
      <c r="C246" s="1">
        <v>4518</v>
      </c>
      <c r="D246" t="s">
        <v>4096</v>
      </c>
      <c r="E246" s="1">
        <v>6597</v>
      </c>
      <c r="F246" t="s">
        <v>4127</v>
      </c>
      <c r="G246" s="1">
        <v>1513.89</v>
      </c>
      <c r="J246" t="s">
        <v>4196</v>
      </c>
      <c r="K246" s="1">
        <v>97</v>
      </c>
    </row>
    <row r="247" spans="2:12">
      <c r="B247" t="s">
        <v>4084</v>
      </c>
      <c r="C247" s="1">
        <v>6346</v>
      </c>
      <c r="D247" t="s">
        <v>4090</v>
      </c>
      <c r="E247" s="1">
        <v>4518</v>
      </c>
      <c r="F247" t="s">
        <v>4130</v>
      </c>
      <c r="G247" s="1">
        <v>2260.08</v>
      </c>
      <c r="H247" t="s">
        <v>4147</v>
      </c>
      <c r="I247" s="61">
        <v>8179.08</v>
      </c>
      <c r="J247" t="s">
        <v>3993</v>
      </c>
      <c r="K247" s="1">
        <v>1473.71</v>
      </c>
    </row>
    <row r="248" spans="2:12">
      <c r="B248" t="s">
        <v>3999</v>
      </c>
      <c r="C248" s="1">
        <v>1051.3599999999999</v>
      </c>
      <c r="D248" t="s">
        <v>4087</v>
      </c>
      <c r="E248" s="1">
        <v>4518</v>
      </c>
      <c r="F248" t="s">
        <v>4133</v>
      </c>
      <c r="G248" s="1">
        <v>4565.08</v>
      </c>
      <c r="K248" s="61">
        <f>SUM(K245:K247)</f>
        <v>6169.59</v>
      </c>
    </row>
    <row r="249" spans="2:12">
      <c r="B249" t="s">
        <v>4022</v>
      </c>
      <c r="C249" s="170">
        <v>954.87</v>
      </c>
      <c r="D249" t="s">
        <v>4101</v>
      </c>
      <c r="E249" s="1">
        <v>2909.28</v>
      </c>
      <c r="F249" t="s">
        <v>4137</v>
      </c>
      <c r="G249" s="1">
        <v>7638.24</v>
      </c>
      <c r="H249" t="s">
        <v>4160</v>
      </c>
      <c r="I249" s="1">
        <v>1904.11</v>
      </c>
      <c r="J249" s="6">
        <v>43503</v>
      </c>
    </row>
    <row r="250" spans="2:12">
      <c r="B250" t="s">
        <v>4024</v>
      </c>
      <c r="C250" s="1">
        <v>11399.28</v>
      </c>
      <c r="D250" t="s">
        <v>4113</v>
      </c>
      <c r="E250" s="1">
        <v>167.66</v>
      </c>
      <c r="F250" t="s">
        <v>4140</v>
      </c>
      <c r="G250" s="1">
        <v>4318.58</v>
      </c>
      <c r="H250" t="s">
        <v>4163</v>
      </c>
      <c r="I250" s="1">
        <v>1579.4</v>
      </c>
      <c r="J250" t="s">
        <v>4018</v>
      </c>
      <c r="K250" s="1">
        <v>2121.87</v>
      </c>
    </row>
    <row r="251" spans="2:12">
      <c r="B251" t="s">
        <v>4037</v>
      </c>
      <c r="C251" s="1">
        <v>20979.759999999998</v>
      </c>
      <c r="D251" t="s">
        <v>4118</v>
      </c>
      <c r="E251" s="1">
        <v>1277.07</v>
      </c>
      <c r="F251" t="s">
        <v>4144</v>
      </c>
      <c r="G251" s="1">
        <v>3115.84</v>
      </c>
      <c r="H251" t="s">
        <v>4166</v>
      </c>
      <c r="I251" s="1">
        <v>294</v>
      </c>
      <c r="J251" t="s">
        <v>4266</v>
      </c>
      <c r="K251" s="170">
        <v>997.38</v>
      </c>
    </row>
    <row r="252" spans="2:12">
      <c r="B252" t="s">
        <v>4027</v>
      </c>
      <c r="C252" s="11">
        <v>31793.040000000001</v>
      </c>
      <c r="D252" t="s">
        <v>4093</v>
      </c>
      <c r="E252" s="1">
        <v>6861.78</v>
      </c>
      <c r="F252" t="s">
        <v>4153</v>
      </c>
      <c r="G252" s="1">
        <v>2457</v>
      </c>
      <c r="I252" s="62">
        <f>SUM(I249:I251)</f>
        <v>3777.51</v>
      </c>
      <c r="J252" t="s">
        <v>4246</v>
      </c>
      <c r="K252" s="170">
        <v>4556</v>
      </c>
    </row>
    <row r="253" spans="2:12">
      <c r="C253" s="62">
        <f>SUM(C238:C252)</f>
        <v>119564.56</v>
      </c>
      <c r="E253" s="62">
        <f>SUM(E244:E252)</f>
        <v>43447.89</v>
      </c>
      <c r="F253" t="s">
        <v>3708</v>
      </c>
      <c r="G253" s="1">
        <v>6538.4</v>
      </c>
      <c r="J253" t="s">
        <v>4272</v>
      </c>
      <c r="K253" s="1">
        <v>2598.96</v>
      </c>
    </row>
    <row r="254" spans="2:12">
      <c r="G254" s="62">
        <f>SUM(G244:G253)</f>
        <v>35569.17</v>
      </c>
      <c r="H254" t="s">
        <v>4064</v>
      </c>
      <c r="I254" s="61">
        <v>4281.51</v>
      </c>
      <c r="J254" t="s">
        <v>4226</v>
      </c>
      <c r="K254" s="1">
        <v>1809.22</v>
      </c>
    </row>
    <row r="255" spans="2:12">
      <c r="D255" s="6">
        <v>43516</v>
      </c>
      <c r="H255" s="6">
        <v>43521</v>
      </c>
      <c r="J255" t="s">
        <v>4249</v>
      </c>
      <c r="K255" s="170">
        <v>4556</v>
      </c>
    </row>
    <row r="256" spans="2:12">
      <c r="B256" t="s">
        <v>4269</v>
      </c>
      <c r="C256" s="1">
        <v>1325.58</v>
      </c>
      <c r="D256" t="s">
        <v>4287</v>
      </c>
      <c r="E256" s="1">
        <v>6853</v>
      </c>
      <c r="F256" t="s">
        <v>4293</v>
      </c>
      <c r="G256" s="1">
        <v>7343.5</v>
      </c>
      <c r="H256" t="s">
        <v>4305</v>
      </c>
      <c r="I256">
        <v>6862.89</v>
      </c>
      <c r="J256" t="s">
        <v>4220</v>
      </c>
      <c r="K256" s="1">
        <v>9023.24</v>
      </c>
    </row>
    <row r="257" spans="2:11">
      <c r="B257" t="s">
        <v>4275</v>
      </c>
      <c r="C257" s="1">
        <v>9482.4</v>
      </c>
      <c r="D257" t="s">
        <v>4290</v>
      </c>
      <c r="E257" s="1">
        <v>11244.94</v>
      </c>
      <c r="F257" t="s">
        <v>4303</v>
      </c>
      <c r="G257" s="1">
        <v>2546.1</v>
      </c>
      <c r="H257" t="s">
        <v>4252</v>
      </c>
      <c r="I257" s="170">
        <v>192.96</v>
      </c>
      <c r="J257" t="s">
        <v>4223</v>
      </c>
      <c r="K257" s="1">
        <v>9023.24</v>
      </c>
    </row>
    <row r="258" spans="2:11">
      <c r="B258" t="s">
        <v>4278</v>
      </c>
      <c r="C258" s="1">
        <v>9417.1299999999992</v>
      </c>
      <c r="D258" t="s">
        <v>4296</v>
      </c>
      <c r="E258" s="1">
        <v>33825.279999999999</v>
      </c>
      <c r="F258" t="s">
        <v>4338</v>
      </c>
      <c r="G258" s="1">
        <v>902</v>
      </c>
      <c r="H258" t="s">
        <v>4335</v>
      </c>
      <c r="I258" s="1">
        <v>11545.65</v>
      </c>
      <c r="J258" t="s">
        <v>4205</v>
      </c>
      <c r="K258" s="1">
        <v>2516.5500000000002</v>
      </c>
    </row>
    <row r="259" spans="2:11">
      <c r="B259" t="s">
        <v>4281</v>
      </c>
      <c r="C259" s="1">
        <v>9790.83</v>
      </c>
      <c r="D259" t="s">
        <v>4300</v>
      </c>
      <c r="E259" s="1">
        <v>1108.5999999999999</v>
      </c>
      <c r="F259" t="s">
        <v>4313</v>
      </c>
      <c r="G259" s="1">
        <v>2826.92</v>
      </c>
      <c r="H259" t="s">
        <v>4323</v>
      </c>
      <c r="I259" s="1">
        <v>456.64</v>
      </c>
      <c r="J259" t="s">
        <v>4214</v>
      </c>
      <c r="K259" s="1">
        <v>7301.52</v>
      </c>
    </row>
    <row r="260" spans="2:11">
      <c r="B260" t="s">
        <v>4284</v>
      </c>
      <c r="C260" s="1">
        <v>4446.68</v>
      </c>
      <c r="D260" t="s">
        <v>4308</v>
      </c>
      <c r="E260" s="1">
        <v>5519.82</v>
      </c>
      <c r="F260" t="s">
        <v>4319</v>
      </c>
      <c r="G260" s="1">
        <v>3963</v>
      </c>
      <c r="H260" t="s">
        <v>4303</v>
      </c>
      <c r="I260" s="1">
        <v>3127.96</v>
      </c>
      <c r="J260" t="s">
        <v>4217</v>
      </c>
      <c r="K260" s="1">
        <v>5476.14</v>
      </c>
    </row>
    <row r="261" spans="2:11">
      <c r="C261" s="61">
        <f>SUM(C256:C260)</f>
        <v>34462.620000000003</v>
      </c>
      <c r="D261" t="s">
        <v>3380</v>
      </c>
      <c r="E261" s="1">
        <v>7312.8</v>
      </c>
      <c r="G261" s="61">
        <f>SUM(G256:G260)</f>
        <v>17581.52</v>
      </c>
      <c r="H261" t="s">
        <v>3776</v>
      </c>
      <c r="I261" s="1">
        <v>5299.65</v>
      </c>
      <c r="J261" t="s">
        <v>4190</v>
      </c>
      <c r="K261" s="1">
        <v>11106</v>
      </c>
    </row>
    <row r="262" spans="2:11">
      <c r="E262" s="61">
        <f>SUM(E256:E261)</f>
        <v>65864.44</v>
      </c>
      <c r="H262" t="s">
        <v>3781</v>
      </c>
      <c r="I262" s="1">
        <v>5299.65</v>
      </c>
      <c r="J262" t="s">
        <v>4254</v>
      </c>
      <c r="K262" s="170">
        <v>98.72</v>
      </c>
    </row>
    <row r="263" spans="2:11">
      <c r="C263" s="6">
        <v>43521</v>
      </c>
      <c r="F263" s="6">
        <v>43529</v>
      </c>
      <c r="H263" t="s">
        <v>4326</v>
      </c>
      <c r="I263" s="1">
        <v>2170.17</v>
      </c>
      <c r="J263" t="s">
        <v>4240</v>
      </c>
      <c r="K263" s="170">
        <v>4666.74</v>
      </c>
    </row>
    <row r="264" spans="2:11">
      <c r="B264" t="s">
        <v>4340</v>
      </c>
      <c r="C264" s="1">
        <v>2546</v>
      </c>
      <c r="E264" s="211">
        <v>43528</v>
      </c>
      <c r="F264" t="s">
        <v>4364</v>
      </c>
      <c r="G264" s="1">
        <v>26057.72</v>
      </c>
      <c r="H264" t="s">
        <v>4332</v>
      </c>
      <c r="I264" s="1">
        <v>5672.28</v>
      </c>
      <c r="J264" t="s">
        <v>4256</v>
      </c>
      <c r="K264" s="1">
        <v>5735.45</v>
      </c>
    </row>
    <row r="265" spans="2:11">
      <c r="B265" t="s">
        <v>4343</v>
      </c>
      <c r="C265" s="1">
        <v>2989.56</v>
      </c>
      <c r="D265" t="s">
        <v>4354</v>
      </c>
      <c r="E265" s="1">
        <v>5189.49</v>
      </c>
      <c r="F265" t="s">
        <v>4367</v>
      </c>
      <c r="G265" s="1">
        <v>6228.95</v>
      </c>
      <c r="I265" s="25">
        <f>SUM(I256:I264)</f>
        <v>40627.85</v>
      </c>
      <c r="J265" t="s">
        <v>4261</v>
      </c>
      <c r="K265" s="170">
        <v>672.12</v>
      </c>
    </row>
    <row r="266" spans="2:11">
      <c r="C266" s="1"/>
      <c r="D266" t="s">
        <v>4238</v>
      </c>
      <c r="E266" s="1">
        <v>3251</v>
      </c>
      <c r="F266" t="s">
        <v>4370</v>
      </c>
      <c r="G266" s="181">
        <v>9350.39</v>
      </c>
      <c r="J266" t="s">
        <v>4259</v>
      </c>
      <c r="K266" s="170">
        <v>879.84</v>
      </c>
    </row>
    <row r="267" spans="2:11">
      <c r="B267" t="s">
        <v>4329</v>
      </c>
      <c r="C267" s="1">
        <v>7565.11</v>
      </c>
      <c r="D267" t="s">
        <v>4346</v>
      </c>
      <c r="E267" s="1">
        <v>39.520000000000003</v>
      </c>
      <c r="F267" t="s">
        <v>4381</v>
      </c>
      <c r="G267" s="1">
        <v>2881.05</v>
      </c>
      <c r="J267" t="s">
        <v>4232</v>
      </c>
      <c r="K267" s="1">
        <v>1476.44</v>
      </c>
    </row>
    <row r="268" spans="2:11">
      <c r="C268" s="62">
        <f>SUM(C264:C267)</f>
        <v>13100.669999999998</v>
      </c>
      <c r="E268" s="61">
        <f>SUM(E265:E267)</f>
        <v>8480.01</v>
      </c>
      <c r="G268" s="62">
        <f>SUM(G264:G267)</f>
        <v>44518.11</v>
      </c>
      <c r="J268" t="s">
        <v>4263</v>
      </c>
      <c r="K268" s="1">
        <v>9168.06</v>
      </c>
    </row>
    <row r="269" spans="2:11">
      <c r="C269" s="6">
        <v>43530</v>
      </c>
      <c r="E269" s="6">
        <v>43531</v>
      </c>
      <c r="G269" s="6">
        <v>43535</v>
      </c>
      <c r="H269" s="6">
        <v>43536</v>
      </c>
      <c r="J269" t="s">
        <v>4243</v>
      </c>
      <c r="K269" s="170">
        <v>4666.74</v>
      </c>
    </row>
    <row r="270" spans="2:11">
      <c r="B270" t="s">
        <v>4373</v>
      </c>
      <c r="C270" s="1">
        <v>4164</v>
      </c>
      <c r="G270" t="s">
        <v>4399</v>
      </c>
      <c r="H270" s="1">
        <v>7010.4</v>
      </c>
      <c r="J270" t="s">
        <v>4235</v>
      </c>
      <c r="K270" s="1">
        <v>4407.6499999999996</v>
      </c>
    </row>
    <row r="271" spans="2:11">
      <c r="B271" t="s">
        <v>4388</v>
      </c>
      <c r="C271" s="1">
        <v>826</v>
      </c>
      <c r="G271" t="s">
        <v>4402</v>
      </c>
      <c r="H271" s="1">
        <v>18532.400000000001</v>
      </c>
      <c r="J271" t="s">
        <v>4211</v>
      </c>
      <c r="K271" s="1">
        <v>7301.52</v>
      </c>
    </row>
    <row r="272" spans="2:11">
      <c r="B272" t="s">
        <v>4390</v>
      </c>
      <c r="C272" s="1">
        <v>3990</v>
      </c>
      <c r="H272" s="62">
        <f>SUM(H270:H271)</f>
        <v>25542.800000000003</v>
      </c>
      <c r="J272" t="s">
        <v>4208</v>
      </c>
      <c r="K272" s="170">
        <v>669.44</v>
      </c>
    </row>
    <row r="273" spans="3:13">
      <c r="C273" s="61">
        <f>SUM(C270:C272)</f>
        <v>8980</v>
      </c>
      <c r="D273" t="s">
        <v>4376</v>
      </c>
      <c r="E273" s="61">
        <v>2088.8000000000002</v>
      </c>
      <c r="G273" s="75">
        <v>24840.45</v>
      </c>
      <c r="J273" t="s">
        <v>4229</v>
      </c>
      <c r="K273" s="1">
        <v>584.46</v>
      </c>
    </row>
    <row r="274" spans="3:13">
      <c r="G274" t="s">
        <v>4391</v>
      </c>
      <c r="H274" s="1">
        <v>3990</v>
      </c>
      <c r="J274" t="s">
        <v>4202</v>
      </c>
      <c r="K274" s="170">
        <v>1036.6199999999999</v>
      </c>
    </row>
    <row r="275" spans="3:13">
      <c r="C275" s="6">
        <v>43538</v>
      </c>
      <c r="G275" t="s">
        <v>4405</v>
      </c>
      <c r="H275" s="1">
        <v>3058</v>
      </c>
      <c r="K275" s="11">
        <f>SUM(K250:K274)</f>
        <v>102449.92</v>
      </c>
      <c r="L275">
        <v>105431.02</v>
      </c>
      <c r="M275" s="11">
        <f>L275-K277</f>
        <v>24.5</v>
      </c>
    </row>
    <row r="276" spans="3:13">
      <c r="C276" t="s">
        <v>4408</v>
      </c>
      <c r="D276" s="1">
        <v>2518.7800000000002</v>
      </c>
      <c r="G276" t="s">
        <v>4385</v>
      </c>
      <c r="H276" s="1">
        <v>5920.32</v>
      </c>
      <c r="J276" t="s">
        <v>3767</v>
      </c>
      <c r="K276" s="170">
        <v>2956.6</v>
      </c>
    </row>
    <row r="277" spans="3:13">
      <c r="C277" t="s">
        <v>4414</v>
      </c>
      <c r="D277" s="70">
        <v>1491.04</v>
      </c>
      <c r="G277" t="s">
        <v>4315</v>
      </c>
      <c r="H277" s="1">
        <v>538.4</v>
      </c>
      <c r="K277" s="62">
        <f>SUM(K275:K276)</f>
        <v>105406.52</v>
      </c>
    </row>
    <row r="278" spans="3:13">
      <c r="D278" s="62">
        <f>SUM(D276:D277)</f>
        <v>4009.82</v>
      </c>
      <c r="G278" t="s">
        <v>4394</v>
      </c>
      <c r="H278">
        <v>275.08</v>
      </c>
    </row>
    <row r="279" spans="3:13">
      <c r="G279" t="s">
        <v>4379</v>
      </c>
      <c r="H279" s="1">
        <v>469.38</v>
      </c>
    </row>
    <row r="280" spans="3:13">
      <c r="G280" t="s">
        <v>4396</v>
      </c>
      <c r="H280" s="1">
        <v>3667.14</v>
      </c>
    </row>
    <row r="281" spans="3:13">
      <c r="H281" s="1">
        <v>9168.7199999999993</v>
      </c>
    </row>
    <row r="282" spans="3:13">
      <c r="H282" s="11">
        <f>SUM(H274:H281)</f>
        <v>27087.040000000001</v>
      </c>
    </row>
  </sheetData>
  <pageMargins left="0.7" right="0.7" top="0.75" bottom="0.75" header="0.3" footer="0.3"/>
  <pageSetup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2:K30"/>
  <sheetViews>
    <sheetView workbookViewId="0"/>
  </sheetViews>
  <sheetFormatPr defaultRowHeight="15"/>
  <cols>
    <col min="2" max="2" width="17.7109375" customWidth="1"/>
    <col min="11" max="11" width="23" customWidth="1"/>
  </cols>
  <sheetData>
    <row r="2" spans="2:11">
      <c r="B2" t="s">
        <v>135</v>
      </c>
      <c r="C2" t="s">
        <v>644</v>
      </c>
    </row>
    <row r="3" spans="2:11">
      <c r="G3" t="s">
        <v>5434</v>
      </c>
    </row>
    <row r="4" spans="2:11">
      <c r="B4" t="s">
        <v>5435</v>
      </c>
      <c r="C4">
        <v>3</v>
      </c>
      <c r="D4">
        <v>189.83</v>
      </c>
      <c r="G4">
        <v>551.88</v>
      </c>
      <c r="H4">
        <v>2424.2399999999998</v>
      </c>
    </row>
    <row r="5" spans="2:11">
      <c r="C5">
        <v>4</v>
      </c>
      <c r="D5">
        <v>162.49</v>
      </c>
      <c r="G5">
        <v>693.16</v>
      </c>
      <c r="H5">
        <v>2130.54</v>
      </c>
    </row>
    <row r="6" spans="2:11">
      <c r="B6" t="s">
        <v>5436</v>
      </c>
      <c r="C6">
        <v>283</v>
      </c>
      <c r="D6">
        <v>46.76</v>
      </c>
      <c r="G6">
        <v>506.63</v>
      </c>
      <c r="H6">
        <v>1447.8</v>
      </c>
    </row>
    <row r="7" spans="2:11">
      <c r="B7" t="s">
        <v>5436</v>
      </c>
      <c r="C7">
        <v>264</v>
      </c>
      <c r="D7">
        <v>46.76</v>
      </c>
      <c r="G7">
        <v>2260.8000000000002</v>
      </c>
      <c r="H7">
        <f>SUM(H4:H6)</f>
        <v>6002.58</v>
      </c>
    </row>
    <row r="8" spans="2:11">
      <c r="G8">
        <v>1616.16</v>
      </c>
      <c r="K8" t="s">
        <v>5437</v>
      </c>
    </row>
    <row r="9" spans="2:11">
      <c r="B9" t="s">
        <v>5438</v>
      </c>
      <c r="C9">
        <v>2</v>
      </c>
      <c r="D9">
        <v>211.99</v>
      </c>
      <c r="G9">
        <v>90.73</v>
      </c>
      <c r="K9">
        <v>926338</v>
      </c>
    </row>
    <row r="10" spans="2:11">
      <c r="G10">
        <f>SUM(G4:G9)</f>
        <v>5719.36</v>
      </c>
    </row>
    <row r="11" spans="2:11">
      <c r="B11" t="s">
        <v>5439</v>
      </c>
      <c r="C11">
        <v>20</v>
      </c>
      <c r="D11">
        <v>66.13</v>
      </c>
    </row>
    <row r="12" spans="2:11" ht="15.75" customHeight="1">
      <c r="B12" t="s">
        <v>5439</v>
      </c>
      <c r="C12">
        <v>14</v>
      </c>
      <c r="D12">
        <v>95.66</v>
      </c>
      <c r="K12" s="165">
        <v>926338</v>
      </c>
    </row>
    <row r="13" spans="2:11">
      <c r="B13" t="s">
        <v>5439</v>
      </c>
      <c r="C13">
        <v>4</v>
      </c>
      <c r="D13">
        <v>133.5</v>
      </c>
    </row>
    <row r="15" spans="2:11">
      <c r="B15" t="s">
        <v>5440</v>
      </c>
      <c r="C15">
        <v>69</v>
      </c>
    </row>
    <row r="17" spans="2:4">
      <c r="B17" t="s">
        <v>4527</v>
      </c>
    </row>
    <row r="19" spans="2:4">
      <c r="B19" t="s">
        <v>5441</v>
      </c>
      <c r="C19">
        <v>13</v>
      </c>
    </row>
    <row r="21" spans="2:4">
      <c r="B21" t="s">
        <v>5442</v>
      </c>
      <c r="C21">
        <v>84</v>
      </c>
    </row>
    <row r="22" spans="2:4">
      <c r="B22" t="s">
        <v>5442</v>
      </c>
      <c r="C22">
        <v>16</v>
      </c>
      <c r="D22">
        <v>124.2</v>
      </c>
    </row>
    <row r="23" spans="2:4">
      <c r="B23" t="s">
        <v>5443</v>
      </c>
      <c r="C23">
        <v>20</v>
      </c>
      <c r="D23">
        <v>713.89</v>
      </c>
    </row>
    <row r="24" spans="2:4">
      <c r="B24" t="s">
        <v>5443</v>
      </c>
      <c r="C24">
        <v>15</v>
      </c>
      <c r="D24">
        <v>912.49</v>
      </c>
    </row>
    <row r="25" spans="2:4">
      <c r="B25" t="s">
        <v>5443</v>
      </c>
      <c r="C25">
        <v>90</v>
      </c>
      <c r="D25">
        <v>536.78</v>
      </c>
    </row>
    <row r="26" spans="2:4">
      <c r="B26" t="s">
        <v>5444</v>
      </c>
      <c r="C26">
        <v>13</v>
      </c>
      <c r="D26">
        <v>129.93</v>
      </c>
    </row>
    <row r="27" spans="2:4">
      <c r="C27">
        <v>26</v>
      </c>
      <c r="D27">
        <v>89.82</v>
      </c>
    </row>
    <row r="29" spans="2:4" ht="15.75" customHeight="1">
      <c r="B29" s="144" t="s">
        <v>5445</v>
      </c>
      <c r="C29">
        <v>16</v>
      </c>
      <c r="D29">
        <v>32.29</v>
      </c>
    </row>
    <row r="30" spans="2:4" ht="15.75" customHeight="1">
      <c r="B30" s="144" t="s">
        <v>5445</v>
      </c>
      <c r="C30">
        <v>20</v>
      </c>
      <c r="D30">
        <v>25.67</v>
      </c>
    </row>
  </sheetData>
  <pageMargins left="0.7" right="0.7" top="0.75" bottom="0.75" header="0.3" footer="0.3"/>
  <pageSetup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B1:G338"/>
  <sheetViews>
    <sheetView topLeftCell="A91" workbookViewId="0">
      <selection activeCell="B103" sqref="B103"/>
    </sheetView>
  </sheetViews>
  <sheetFormatPr defaultRowHeight="15"/>
  <cols>
    <col min="2" max="2" width="7.7109375" customWidth="1"/>
    <col min="3" max="3" width="51.5703125" customWidth="1"/>
    <col min="4" max="4" width="53.42578125" customWidth="1"/>
    <col min="5" max="5" width="37.7109375" customWidth="1"/>
    <col min="6" max="6" width="30.5703125" customWidth="1"/>
    <col min="7" max="7" width="68.85546875" customWidth="1"/>
  </cols>
  <sheetData>
    <row r="1" spans="2:7" ht="13.15" customHeight="1">
      <c r="B1" s="68" t="s">
        <v>4723</v>
      </c>
      <c r="C1" s="66" t="s">
        <v>4724</v>
      </c>
      <c r="D1" s="182" t="s">
        <v>5446</v>
      </c>
    </row>
    <row r="2" spans="2:7" ht="15.75" customHeight="1">
      <c r="B2" s="68" t="s">
        <v>4588</v>
      </c>
      <c r="C2" s="18" t="s">
        <v>123</v>
      </c>
      <c r="D2" s="18"/>
    </row>
    <row r="3" spans="2:7" ht="15.75" customHeight="1">
      <c r="B3" s="68" t="s">
        <v>4702</v>
      </c>
      <c r="C3" s="18" t="s">
        <v>4703</v>
      </c>
      <c r="D3" s="10" t="s">
        <v>4704</v>
      </c>
    </row>
    <row r="4" spans="2:7" ht="15.75" customHeight="1">
      <c r="B4" s="68" t="s">
        <v>4569</v>
      </c>
      <c r="C4" s="18" t="s">
        <v>4570</v>
      </c>
      <c r="D4" s="85" t="s">
        <v>4571</v>
      </c>
    </row>
    <row r="5" spans="2:7" ht="15.75" customHeight="1">
      <c r="B5" s="68" t="s">
        <v>5447</v>
      </c>
      <c r="C5" s="18" t="s">
        <v>5448</v>
      </c>
      <c r="D5" s="95" t="s">
        <v>5449</v>
      </c>
    </row>
    <row r="6" spans="2:7" ht="15.75" customHeight="1">
      <c r="B6" s="68" t="s">
        <v>4733</v>
      </c>
      <c r="C6" s="18" t="s">
        <v>4734</v>
      </c>
      <c r="D6" s="10" t="s">
        <v>5023</v>
      </c>
    </row>
    <row r="7" spans="2:7" ht="15.75" customHeight="1">
      <c r="B7" s="68" t="s">
        <v>4643</v>
      </c>
      <c r="C7" s="18" t="s">
        <v>4644</v>
      </c>
      <c r="D7" s="10" t="s">
        <v>4743</v>
      </c>
      <c r="E7" s="10" t="s">
        <v>4743</v>
      </c>
    </row>
    <row r="8" spans="2:7" ht="15.75" customHeight="1">
      <c r="B8" s="68" t="s">
        <v>4709</v>
      </c>
      <c r="C8" s="18" t="s">
        <v>4710</v>
      </c>
      <c r="D8" s="10"/>
    </row>
    <row r="9" spans="2:7" ht="90" customHeight="1">
      <c r="B9" s="68" t="s">
        <v>4609</v>
      </c>
      <c r="C9" s="66" t="s">
        <v>4610</v>
      </c>
      <c r="D9" s="10" t="s">
        <v>5450</v>
      </c>
      <c r="E9" s="183" t="s">
        <v>5451</v>
      </c>
      <c r="F9" t="s">
        <v>5452</v>
      </c>
      <c r="G9" s="131" t="s">
        <v>5453</v>
      </c>
    </row>
    <row r="10" spans="2:7" ht="15.75" customHeight="1">
      <c r="B10" s="68" t="s">
        <v>4793</v>
      </c>
      <c r="C10" s="18" t="s">
        <v>4794</v>
      </c>
      <c r="D10" s="10" t="s">
        <v>4795</v>
      </c>
    </row>
    <row r="11" spans="2:7" ht="15.75" customHeight="1">
      <c r="B11" s="68" t="s">
        <v>4693</v>
      </c>
      <c r="C11" s="18" t="s">
        <v>4694</v>
      </c>
      <c r="D11" s="85" t="s">
        <v>4815</v>
      </c>
    </row>
    <row r="12" spans="2:7" ht="15.75" customHeight="1">
      <c r="B12" s="68" t="s">
        <v>4655</v>
      </c>
      <c r="C12" s="18" t="s">
        <v>4656</v>
      </c>
      <c r="D12" s="18"/>
    </row>
    <row r="13" spans="2:7" ht="15.75" customHeight="1">
      <c r="B13" s="68">
        <v>71304</v>
      </c>
      <c r="C13" s="18" t="s">
        <v>5454</v>
      </c>
    </row>
    <row r="14" spans="2:7" ht="13.5" customHeight="1">
      <c r="B14" s="68">
        <v>65586</v>
      </c>
      <c r="C14" s="18" t="s">
        <v>4742</v>
      </c>
      <c r="D14" s="10" t="s">
        <v>5455</v>
      </c>
    </row>
    <row r="15" spans="2:7" ht="15.75" customHeight="1">
      <c r="B15" s="68" t="s">
        <v>4738</v>
      </c>
      <c r="C15" s="18" t="s">
        <v>4739</v>
      </c>
      <c r="D15" s="10" t="s">
        <v>4740</v>
      </c>
    </row>
    <row r="16" spans="2:7" ht="15.75" customHeight="1">
      <c r="B16" s="68" t="s">
        <v>4716</v>
      </c>
      <c r="C16" s="18" t="s">
        <v>4717</v>
      </c>
      <c r="D16" s="10" t="s">
        <v>4718</v>
      </c>
    </row>
    <row r="17" spans="2:5" ht="16.5" customHeight="1">
      <c r="B17" s="68" t="s">
        <v>5456</v>
      </c>
      <c r="C17" s="4" t="s">
        <v>5457</v>
      </c>
      <c r="D17" s="10" t="s">
        <v>5458</v>
      </c>
      <c r="E17" s="131" t="s">
        <v>5459</v>
      </c>
    </row>
    <row r="18" spans="2:5" ht="15.75" customHeight="1">
      <c r="B18" s="68" t="s">
        <v>4589</v>
      </c>
      <c r="C18" s="66" t="s">
        <v>121</v>
      </c>
      <c r="D18" s="18"/>
    </row>
    <row r="19" spans="2:5" ht="15.75" customHeight="1">
      <c r="B19" s="68" t="s">
        <v>4625</v>
      </c>
      <c r="C19" s="18" t="s">
        <v>4626</v>
      </c>
      <c r="D19" s="85" t="s">
        <v>4696</v>
      </c>
    </row>
    <row r="20" spans="2:5" ht="15.75" customHeight="1">
      <c r="B20" s="68" t="s">
        <v>4616</v>
      </c>
      <c r="C20" s="18" t="s">
        <v>4617</v>
      </c>
      <c r="D20" s="10"/>
    </row>
    <row r="21" spans="2:5" ht="15.75" customHeight="1">
      <c r="B21" s="68" t="s">
        <v>4564</v>
      </c>
      <c r="C21" s="66" t="s">
        <v>223</v>
      </c>
      <c r="D21" s="85" t="s">
        <v>4565</v>
      </c>
    </row>
    <row r="22" spans="2:5" ht="15.75" customHeight="1">
      <c r="B22" s="68" t="s">
        <v>4681</v>
      </c>
      <c r="C22" s="18" t="s">
        <v>4682</v>
      </c>
      <c r="D22" s="10" t="s">
        <v>4785</v>
      </c>
    </row>
    <row r="23" spans="2:5" ht="15.75" customHeight="1">
      <c r="B23" s="68" t="s">
        <v>4595</v>
      </c>
      <c r="C23" s="18" t="s">
        <v>4596</v>
      </c>
      <c r="D23" s="18" t="s">
        <v>4597</v>
      </c>
    </row>
    <row r="24" spans="2:5" ht="15.75" customHeight="1">
      <c r="B24" s="68" t="s">
        <v>4747</v>
      </c>
      <c r="C24" s="18" t="s">
        <v>4748</v>
      </c>
    </row>
    <row r="25" spans="2:5" ht="15.75" customHeight="1">
      <c r="B25" s="68" t="s">
        <v>4548</v>
      </c>
      <c r="C25" s="18" t="s">
        <v>131</v>
      </c>
      <c r="D25" s="10" t="s">
        <v>4549</v>
      </c>
    </row>
    <row r="26" spans="2:5" ht="15.75" customHeight="1">
      <c r="B26" s="68" t="s">
        <v>4639</v>
      </c>
      <c r="C26" s="66" t="s">
        <v>315</v>
      </c>
      <c r="D26" s="85" t="s">
        <v>4741</v>
      </c>
    </row>
    <row r="27" spans="2:5" ht="15.75" customHeight="1">
      <c r="B27" s="68" t="s">
        <v>4598</v>
      </c>
      <c r="C27" s="66" t="s">
        <v>4599</v>
      </c>
      <c r="D27" s="85" t="s">
        <v>4620</v>
      </c>
    </row>
    <row r="28" spans="2:5" ht="19.899999999999999" customHeight="1">
      <c r="B28" s="69" t="s">
        <v>4677</v>
      </c>
      <c r="C28" s="18" t="s">
        <v>4678</v>
      </c>
      <c r="D28" s="18" t="s">
        <v>4773</v>
      </c>
      <c r="E28" s="131" t="s">
        <v>5460</v>
      </c>
    </row>
    <row r="29" spans="2:5" ht="16.5" customHeight="1">
      <c r="B29" s="69">
        <v>51435</v>
      </c>
      <c r="C29" s="18" t="s">
        <v>4917</v>
      </c>
      <c r="D29" s="131" t="s">
        <v>5460</v>
      </c>
    </row>
    <row r="30" spans="2:5" ht="15" customHeight="1">
      <c r="B30" s="68" t="s">
        <v>4672</v>
      </c>
      <c r="C30" s="18" t="s">
        <v>4673</v>
      </c>
      <c r="D30" s="10" t="s">
        <v>4674</v>
      </c>
    </row>
    <row r="31" spans="2:5" ht="15.75" customHeight="1">
      <c r="B31" s="68">
        <v>83533</v>
      </c>
      <c r="C31" s="18" t="s">
        <v>4744</v>
      </c>
      <c r="D31" s="10" t="s">
        <v>4745</v>
      </c>
    </row>
    <row r="32" spans="2:5" ht="15.75" customHeight="1">
      <c r="B32" s="68" t="s">
        <v>5461</v>
      </c>
      <c r="C32" s="18" t="s">
        <v>5462</v>
      </c>
    </row>
    <row r="33" spans="2:5" ht="15.75" customHeight="1">
      <c r="B33" s="68" t="s">
        <v>4850</v>
      </c>
      <c r="C33" s="18" t="s">
        <v>4851</v>
      </c>
      <c r="D33" s="10" t="s">
        <v>5463</v>
      </c>
    </row>
    <row r="34" spans="2:5" ht="15.75" customHeight="1">
      <c r="B34" s="68" t="s">
        <v>4838</v>
      </c>
      <c r="C34" s="18" t="s">
        <v>4839</v>
      </c>
    </row>
    <row r="35" spans="2:5" ht="15.75" customHeight="1">
      <c r="B35" s="68" t="s">
        <v>4962</v>
      </c>
      <c r="C35" s="18" t="s">
        <v>4963</v>
      </c>
      <c r="D35" s="10" t="s">
        <v>4964</v>
      </c>
    </row>
    <row r="36" spans="2:5" ht="15.75" customHeight="1">
      <c r="B36" s="68" t="s">
        <v>5464</v>
      </c>
      <c r="C36" s="18" t="s">
        <v>5465</v>
      </c>
      <c r="D36" s="10" t="s">
        <v>5466</v>
      </c>
    </row>
    <row r="37" spans="2:5" ht="15.75" customHeight="1">
      <c r="B37" s="68" t="s">
        <v>4618</v>
      </c>
      <c r="C37" s="66" t="s">
        <v>129</v>
      </c>
      <c r="D37" s="18"/>
    </row>
    <row r="38" spans="2:5" ht="15.75" customHeight="1">
      <c r="B38" s="68" t="s">
        <v>5165</v>
      </c>
      <c r="C38" s="18" t="s">
        <v>5467</v>
      </c>
      <c r="D38" s="10" t="s">
        <v>5468</v>
      </c>
    </row>
    <row r="39" spans="2:5" ht="15.75" customHeight="1">
      <c r="B39" s="68" t="s">
        <v>5469</v>
      </c>
      <c r="C39" s="18" t="s">
        <v>5470</v>
      </c>
      <c r="D39" s="10" t="s">
        <v>5471</v>
      </c>
    </row>
    <row r="40" spans="2:5" ht="15.75" customHeight="1">
      <c r="B40" s="68" t="s">
        <v>4546</v>
      </c>
      <c r="C40" s="66" t="s">
        <v>135</v>
      </c>
      <c r="D40" s="10" t="s">
        <v>5472</v>
      </c>
    </row>
    <row r="41" spans="2:5" ht="15.75" customHeight="1">
      <c r="B41" s="68" t="s">
        <v>4714</v>
      </c>
      <c r="C41" s="18" t="s">
        <v>4715</v>
      </c>
      <c r="D41" s="10" t="s">
        <v>5473</v>
      </c>
    </row>
    <row r="42" spans="2:5" ht="18" customHeight="1">
      <c r="B42" s="68" t="s">
        <v>4650</v>
      </c>
      <c r="C42" s="66" t="s">
        <v>4651</v>
      </c>
      <c r="D42" s="86" t="s">
        <v>4749</v>
      </c>
    </row>
    <row r="43" spans="2:5" ht="15.75" customHeight="1">
      <c r="B43" s="68" t="s">
        <v>5474</v>
      </c>
      <c r="C43" s="18" t="s">
        <v>5475</v>
      </c>
      <c r="D43" s="10" t="s">
        <v>5476</v>
      </c>
    </row>
    <row r="44" spans="2:5" ht="16.5" customHeight="1">
      <c r="B44" s="68" t="s">
        <v>4848</v>
      </c>
      <c r="C44" s="66" t="s">
        <v>5477</v>
      </c>
      <c r="D44" s="10" t="s">
        <v>5478</v>
      </c>
      <c r="E44" s="184" t="s">
        <v>5479</v>
      </c>
    </row>
    <row r="45" spans="2:5" ht="15.75" customHeight="1">
      <c r="B45" s="68">
        <v>34914</v>
      </c>
      <c r="C45" s="185" t="s">
        <v>5480</v>
      </c>
      <c r="D45" s="10"/>
    </row>
    <row r="46" spans="2:5" ht="16.899999999999999" customHeight="1">
      <c r="B46" s="68" t="s">
        <v>4774</v>
      </c>
      <c r="C46" s="18" t="s">
        <v>4775</v>
      </c>
      <c r="D46" s="131" t="s">
        <v>4776</v>
      </c>
    </row>
    <row r="47" spans="2:5" ht="15.75" customHeight="1">
      <c r="B47" s="68" t="s">
        <v>4755</v>
      </c>
      <c r="C47" s="18" t="s">
        <v>4658</v>
      </c>
      <c r="D47" s="10" t="s">
        <v>4756</v>
      </c>
    </row>
    <row r="48" spans="2:5" ht="15.75" customHeight="1">
      <c r="B48" s="68" t="s">
        <v>4613</v>
      </c>
      <c r="C48" s="18" t="s">
        <v>4614</v>
      </c>
      <c r="D48" s="18"/>
    </row>
    <row r="49" spans="2:5" ht="15.75" customHeight="1">
      <c r="B49" s="69" t="s">
        <v>4820</v>
      </c>
      <c r="C49" s="66" t="s">
        <v>4821</v>
      </c>
      <c r="D49" s="85" t="s">
        <v>4822</v>
      </c>
      <c r="E49" s="10" t="s">
        <v>5481</v>
      </c>
    </row>
    <row r="50" spans="2:5" ht="15.75" customHeight="1">
      <c r="B50" s="68" t="s">
        <v>4844</v>
      </c>
      <c r="C50" s="18" t="s">
        <v>4845</v>
      </c>
    </row>
    <row r="51" spans="2:5" ht="15.75" customHeight="1">
      <c r="B51" s="68" t="s">
        <v>4711</v>
      </c>
      <c r="C51" s="18" t="s">
        <v>4712</v>
      </c>
      <c r="D51" s="18" t="s">
        <v>5482</v>
      </c>
    </row>
    <row r="52" spans="2:5" ht="15.75" customHeight="1">
      <c r="B52" s="68" t="s">
        <v>4729</v>
      </c>
      <c r="C52" s="18" t="s">
        <v>4730</v>
      </c>
      <c r="D52" s="10" t="s">
        <v>5006</v>
      </c>
    </row>
    <row r="53" spans="2:5" ht="16.5" customHeight="1">
      <c r="B53" s="68">
        <v>85213</v>
      </c>
      <c r="C53" s="18" t="s">
        <v>5101</v>
      </c>
      <c r="D53" s="131" t="s">
        <v>5483</v>
      </c>
    </row>
    <row r="54" spans="2:5" ht="15.75" customHeight="1">
      <c r="B54" s="69" t="s">
        <v>4697</v>
      </c>
      <c r="C54" s="66" t="s">
        <v>4698</v>
      </c>
      <c r="D54" s="10" t="s">
        <v>4699</v>
      </c>
    </row>
    <row r="55" spans="2:5" ht="15.75" customHeight="1">
      <c r="B55" s="68" t="s">
        <v>4923</v>
      </c>
      <c r="C55" s="18" t="s">
        <v>4924</v>
      </c>
      <c r="D55" s="18" t="s">
        <v>4925</v>
      </c>
    </row>
    <row r="56" spans="2:5" ht="15.75" customHeight="1">
      <c r="B56" s="68" t="s">
        <v>4576</v>
      </c>
      <c r="C56" s="18" t="s">
        <v>4577</v>
      </c>
      <c r="D56" s="18"/>
    </row>
    <row r="57" spans="2:5" ht="15.75" customHeight="1">
      <c r="B57" s="68">
        <v>60955</v>
      </c>
      <c r="C57" s="18" t="s">
        <v>5484</v>
      </c>
      <c r="D57" s="10" t="s">
        <v>5485</v>
      </c>
    </row>
    <row r="58" spans="2:5" ht="15.75" customHeight="1">
      <c r="B58" s="68" t="s">
        <v>4796</v>
      </c>
      <c r="C58" s="18" t="s">
        <v>4797</v>
      </c>
      <c r="D58" s="10" t="s">
        <v>4798</v>
      </c>
    </row>
    <row r="59" spans="2:5" ht="15.75" customHeight="1">
      <c r="B59" s="68" t="s">
        <v>5486</v>
      </c>
      <c r="C59" s="18" t="s">
        <v>5487</v>
      </c>
      <c r="D59" s="10" t="s">
        <v>5488</v>
      </c>
    </row>
    <row r="60" spans="2:5" ht="15.75" customHeight="1">
      <c r="B60" s="68" t="s">
        <v>4686</v>
      </c>
      <c r="C60" s="202" t="s">
        <v>4687</v>
      </c>
      <c r="D60" s="10" t="s">
        <v>4805</v>
      </c>
      <c r="E60" s="10" t="s">
        <v>5489</v>
      </c>
    </row>
    <row r="61" spans="2:5" ht="15.75" customHeight="1">
      <c r="B61" s="68" t="s">
        <v>5056</v>
      </c>
      <c r="C61" s="66" t="s">
        <v>5057</v>
      </c>
      <c r="D61" s="10" t="s">
        <v>5490</v>
      </c>
    </row>
    <row r="62" spans="2:5" ht="16.899999999999999" customHeight="1">
      <c r="B62" s="68" t="s">
        <v>4631</v>
      </c>
      <c r="C62" s="66" t="s">
        <v>4707</v>
      </c>
      <c r="D62" s="85" t="s">
        <v>4708</v>
      </c>
    </row>
    <row r="63" spans="2:5" ht="16.899999999999999" customHeight="1">
      <c r="B63" s="68">
        <v>32387</v>
      </c>
      <c r="C63" s="4" t="s">
        <v>5491</v>
      </c>
      <c r="D63" s="131" t="s">
        <v>5492</v>
      </c>
    </row>
    <row r="64" spans="2:5" ht="16.5" customHeight="1" thickBot="1">
      <c r="B64" s="68" t="s">
        <v>4688</v>
      </c>
      <c r="C64" s="66" t="s">
        <v>4689</v>
      </c>
      <c r="D64" s="10" t="s">
        <v>4690</v>
      </c>
    </row>
    <row r="65" spans="2:6" ht="16.5" customHeight="1" thickBot="1">
      <c r="B65" s="68" t="s">
        <v>5493</v>
      </c>
      <c r="C65" s="66" t="s">
        <v>5494</v>
      </c>
      <c r="D65" s="10"/>
      <c r="E65" s="186"/>
      <c r="F65" s="187"/>
    </row>
    <row r="66" spans="2:6" ht="15.75" customHeight="1">
      <c r="B66" s="68">
        <v>32245</v>
      </c>
      <c r="C66" t="s">
        <v>5495</v>
      </c>
    </row>
    <row r="67" spans="2:6" ht="15.75" customHeight="1">
      <c r="B67" s="68" t="s">
        <v>5496</v>
      </c>
      <c r="C67" t="s">
        <v>5497</v>
      </c>
      <c r="D67" s="10" t="s">
        <v>5498</v>
      </c>
    </row>
    <row r="68" spans="2:6" ht="15.75" customHeight="1">
      <c r="B68" s="68" t="s">
        <v>4789</v>
      </c>
      <c r="C68" s="4" t="s">
        <v>4790</v>
      </c>
      <c r="D68" s="10" t="s">
        <v>4791</v>
      </c>
    </row>
    <row r="69" spans="2:6" ht="15.75" customHeight="1">
      <c r="B69" s="68">
        <v>66087</v>
      </c>
      <c r="C69" t="s">
        <v>5499</v>
      </c>
      <c r="D69" s="10" t="s">
        <v>5500</v>
      </c>
    </row>
    <row r="70" spans="2:6" ht="15.75" customHeight="1">
      <c r="B70" s="68" t="s">
        <v>4786</v>
      </c>
      <c r="C70" s="4" t="s">
        <v>4787</v>
      </c>
      <c r="D70" s="10" t="s">
        <v>4788</v>
      </c>
    </row>
    <row r="71" spans="2:6" ht="15.75" customHeight="1">
      <c r="B71" s="68" t="s">
        <v>4813</v>
      </c>
      <c r="C71" s="25" t="s">
        <v>4814</v>
      </c>
    </row>
    <row r="72" spans="2:6" ht="15" customHeight="1">
      <c r="B72" s="68">
        <v>43321</v>
      </c>
      <c r="C72" s="4" t="s">
        <v>5501</v>
      </c>
    </row>
    <row r="73" spans="2:6" ht="15.75" customHeight="1">
      <c r="B73" s="68" t="s">
        <v>5120</v>
      </c>
      <c r="C73" s="66" t="s">
        <v>946</v>
      </c>
      <c r="D73" s="10" t="s">
        <v>5502</v>
      </c>
    </row>
    <row r="74" spans="2:6" ht="17.649999999999999" customHeight="1">
      <c r="B74" s="68" t="s">
        <v>4691</v>
      </c>
      <c r="C74" s="4" t="s">
        <v>4692</v>
      </c>
    </row>
    <row r="75" spans="2:6" ht="16.149999999999999" customHeight="1">
      <c r="B75" s="68">
        <v>32387</v>
      </c>
      <c r="C75" t="s">
        <v>5491</v>
      </c>
      <c r="D75" s="131" t="s">
        <v>5492</v>
      </c>
    </row>
    <row r="76" spans="2:6" ht="15.75" customHeight="1">
      <c r="B76" s="68" t="s">
        <v>4829</v>
      </c>
      <c r="C76" s="66" t="s">
        <v>4830</v>
      </c>
    </row>
    <row r="77" spans="2:6" ht="15.75" customHeight="1">
      <c r="B77" s="68"/>
      <c r="C77" s="18" t="s">
        <v>4781</v>
      </c>
    </row>
    <row r="78" spans="2:6" ht="15.75" customHeight="1">
      <c r="B78" s="68" t="s">
        <v>4635</v>
      </c>
      <c r="C78" s="66" t="s">
        <v>229</v>
      </c>
      <c r="D78" s="10" t="s">
        <v>5503</v>
      </c>
    </row>
    <row r="79" spans="2:6" ht="15.75" customHeight="1">
      <c r="B79" s="68">
        <v>59165</v>
      </c>
      <c r="C79" s="18" t="s">
        <v>4750</v>
      </c>
      <c r="D79" s="188" t="s">
        <v>4751</v>
      </c>
    </row>
    <row r="80" spans="2:6" ht="15.75" customHeight="1">
      <c r="B80" s="68" t="s">
        <v>4675</v>
      </c>
      <c r="C80" s="18" t="s">
        <v>4676</v>
      </c>
      <c r="D80" s="85" t="s">
        <v>4769</v>
      </c>
    </row>
    <row r="81" spans="2:5" ht="15.75" customHeight="1">
      <c r="B81" s="68">
        <v>34712</v>
      </c>
      <c r="C81" t="s">
        <v>5504</v>
      </c>
    </row>
    <row r="82" spans="2:5" ht="15.75" customHeight="1">
      <c r="B82" s="68">
        <v>15305</v>
      </c>
      <c r="C82" s="18" t="s">
        <v>5505</v>
      </c>
    </row>
    <row r="83" spans="2:5" ht="15.75" customHeight="1">
      <c r="B83" s="68" t="s">
        <v>4777</v>
      </c>
      <c r="C83" s="18" t="s">
        <v>4778</v>
      </c>
      <c r="D83" s="18" t="s">
        <v>4779</v>
      </c>
    </row>
    <row r="84" spans="2:5" ht="15" customHeight="1">
      <c r="B84" s="68" t="s">
        <v>4604</v>
      </c>
      <c r="C84" s="18" t="s">
        <v>4605</v>
      </c>
      <c r="D84" s="85" t="s">
        <v>4634</v>
      </c>
    </row>
    <row r="85" spans="2:5" ht="15.75" customHeight="1">
      <c r="B85" s="68" t="s">
        <v>4592</v>
      </c>
      <c r="C85" s="66" t="s">
        <v>139</v>
      </c>
      <c r="D85" s="85" t="s">
        <v>4612</v>
      </c>
    </row>
    <row r="86" spans="2:5" ht="15.75" customHeight="1">
      <c r="B86" s="68" t="s">
        <v>5506</v>
      </c>
      <c r="C86" s="66" t="s">
        <v>5507</v>
      </c>
      <c r="D86" s="10" t="s">
        <v>5508</v>
      </c>
    </row>
    <row r="87" spans="2:5" ht="15.75" customHeight="1">
      <c r="B87" s="68" t="s">
        <v>4662</v>
      </c>
      <c r="C87" s="66" t="s">
        <v>1676</v>
      </c>
      <c r="D87" s="10" t="s">
        <v>4760</v>
      </c>
    </row>
    <row r="88" spans="2:5" ht="17.649999999999999" customHeight="1">
      <c r="B88" s="68" t="s">
        <v>4719</v>
      </c>
      <c r="C88" s="66" t="s">
        <v>4720</v>
      </c>
      <c r="D88" s="10" t="s">
        <v>4882</v>
      </c>
      <c r="E88" s="131" t="s">
        <v>5509</v>
      </c>
    </row>
    <row r="89" spans="2:5" ht="15.75" customHeight="1">
      <c r="B89" s="68" t="s">
        <v>4757</v>
      </c>
      <c r="C89" s="18" t="s">
        <v>4758</v>
      </c>
      <c r="D89" s="10" t="s">
        <v>4759</v>
      </c>
    </row>
    <row r="90" spans="2:5" ht="18" customHeight="1">
      <c r="B90" s="68" t="s">
        <v>5510</v>
      </c>
      <c r="C90" s="18" t="s">
        <v>5511</v>
      </c>
      <c r="D90" s="10" t="s">
        <v>5512</v>
      </c>
    </row>
    <row r="91" spans="2:5" ht="15.75" customHeight="1">
      <c r="B91" s="68" t="s">
        <v>4669</v>
      </c>
      <c r="C91" s="66" t="s">
        <v>4670</v>
      </c>
      <c r="D91" s="85" t="s">
        <v>4766</v>
      </c>
    </row>
    <row r="92" spans="2:5" ht="15.75" customHeight="1">
      <c r="B92" s="68">
        <v>82199</v>
      </c>
      <c r="C92" s="66" t="s">
        <v>4801</v>
      </c>
      <c r="D92" s="10" t="s">
        <v>4802</v>
      </c>
    </row>
    <row r="93" spans="2:5" ht="21.6" customHeight="1">
      <c r="B93" s="68" t="s">
        <v>5513</v>
      </c>
      <c r="C93" s="202" t="s">
        <v>5514</v>
      </c>
      <c r="D93" s="131" t="s">
        <v>5515</v>
      </c>
    </row>
    <row r="94" spans="2:5" ht="15.75" customHeight="1">
      <c r="B94" s="68">
        <v>86835</v>
      </c>
      <c r="C94" t="s">
        <v>5516</v>
      </c>
      <c r="D94" s="10" t="s">
        <v>5517</v>
      </c>
    </row>
    <row r="95" spans="2:5" ht="15.75" customHeight="1">
      <c r="B95" s="68" t="s">
        <v>4584</v>
      </c>
      <c r="C95" s="66" t="s">
        <v>4585</v>
      </c>
      <c r="D95" s="85" t="s">
        <v>4603</v>
      </c>
    </row>
    <row r="96" spans="2:5" ht="15.75" customHeight="1">
      <c r="B96" s="68">
        <v>24602</v>
      </c>
      <c r="C96" s="95" t="s">
        <v>5518</v>
      </c>
      <c r="D96" s="10" t="s">
        <v>5519</v>
      </c>
    </row>
    <row r="97" spans="2:5" ht="15.75" customHeight="1">
      <c r="B97" s="68" t="s">
        <v>4700</v>
      </c>
      <c r="C97" s="18" t="s">
        <v>4701</v>
      </c>
      <c r="D97" s="189" t="s">
        <v>5520</v>
      </c>
    </row>
    <row r="98" spans="2:5" ht="15.75" customHeight="1">
      <c r="B98" s="68" t="s">
        <v>5521</v>
      </c>
      <c r="C98" s="18" t="s">
        <v>5522</v>
      </c>
      <c r="D98" s="10" t="s">
        <v>5523</v>
      </c>
    </row>
    <row r="99" spans="2:5" ht="22.15" customHeight="1">
      <c r="B99" s="68" t="s">
        <v>5524</v>
      </c>
      <c r="C99" s="18" t="s">
        <v>5525</v>
      </c>
      <c r="D99" s="86" t="s">
        <v>5526</v>
      </c>
    </row>
    <row r="100" spans="2:5" ht="15.75" customHeight="1">
      <c r="B100" s="68" t="s">
        <v>4721</v>
      </c>
      <c r="C100" s="18" t="s">
        <v>4722</v>
      </c>
      <c r="D100" s="18"/>
    </row>
    <row r="101" spans="2:5" ht="15.75" customHeight="1">
      <c r="B101" s="68" t="s">
        <v>4731</v>
      </c>
      <c r="C101" s="18" t="s">
        <v>4732</v>
      </c>
      <c r="D101" s="18"/>
    </row>
    <row r="102" spans="2:5" ht="15.75" customHeight="1">
      <c r="B102" s="68" t="s">
        <v>4735</v>
      </c>
      <c r="C102" s="18" t="s">
        <v>4736</v>
      </c>
      <c r="D102" s="10" t="s">
        <v>5060</v>
      </c>
      <c r="E102" s="75" t="s">
        <v>5527</v>
      </c>
    </row>
    <row r="103" spans="2:5" ht="15.75" customHeight="1">
      <c r="B103" s="68" t="s">
        <v>4840</v>
      </c>
      <c r="C103" s="66" t="s">
        <v>4841</v>
      </c>
      <c r="E103" s="10" t="s">
        <v>5528</v>
      </c>
    </row>
    <row r="104" spans="2:5" ht="15.75" customHeight="1">
      <c r="B104" s="68" t="s">
        <v>5529</v>
      </c>
      <c r="C104" s="18" t="s">
        <v>430</v>
      </c>
    </row>
    <row r="105" spans="2:5" ht="18" customHeight="1">
      <c r="B105" s="68" t="s">
        <v>5530</v>
      </c>
      <c r="C105" s="18" t="s">
        <v>5531</v>
      </c>
      <c r="D105" s="131" t="s">
        <v>5532</v>
      </c>
    </row>
    <row r="106" spans="2:5">
      <c r="B106" t="s">
        <v>5533</v>
      </c>
      <c r="C106" t="s">
        <v>5534</v>
      </c>
    </row>
    <row r="107" spans="2:5" ht="16.149999999999999" customHeight="1">
      <c r="B107" t="s">
        <v>5535</v>
      </c>
      <c r="C107" t="s">
        <v>5536</v>
      </c>
      <c r="D107" s="131" t="s">
        <v>5537</v>
      </c>
    </row>
    <row r="108" spans="2:5" ht="15.75" customHeight="1">
      <c r="B108" s="68" t="s">
        <v>4834</v>
      </c>
      <c r="C108" s="18" t="s">
        <v>4835</v>
      </c>
    </row>
    <row r="109" spans="2:5" ht="15.75" customHeight="1">
      <c r="B109" s="68">
        <v>13675</v>
      </c>
      <c r="C109" s="18" t="s">
        <v>4761</v>
      </c>
      <c r="D109" s="10" t="s">
        <v>4762</v>
      </c>
    </row>
    <row r="110" spans="2:5" ht="15.75" customHeight="1">
      <c r="B110" s="68" t="s">
        <v>4977</v>
      </c>
      <c r="C110" s="18" t="s">
        <v>4978</v>
      </c>
      <c r="D110" s="10" t="s">
        <v>4979</v>
      </c>
    </row>
    <row r="111" spans="2:5" ht="15.75" customHeight="1">
      <c r="B111" s="68" t="s">
        <v>4782</v>
      </c>
      <c r="C111" s="66" t="s">
        <v>4783</v>
      </c>
      <c r="D111" t="s">
        <v>4784</v>
      </c>
    </row>
    <row r="112" spans="2:5" ht="15.75" customHeight="1">
      <c r="B112" s="68" t="s">
        <v>5122</v>
      </c>
      <c r="C112" s="66" t="s">
        <v>5123</v>
      </c>
      <c r="D112" s="10" t="s">
        <v>5538</v>
      </c>
    </row>
    <row r="113" spans="2:5" ht="16.149999999999999" customHeight="1">
      <c r="B113" s="204" t="s">
        <v>5058</v>
      </c>
      <c r="C113" s="4" t="s">
        <v>5539</v>
      </c>
      <c r="D113" s="131" t="s">
        <v>5540</v>
      </c>
    </row>
    <row r="114" spans="2:5" ht="14.45" customHeight="1">
      <c r="B114" t="s">
        <v>5541</v>
      </c>
      <c r="C114" s="4" t="s">
        <v>5542</v>
      </c>
      <c r="D114" s="131" t="s">
        <v>5543</v>
      </c>
    </row>
    <row r="115" spans="2:5">
      <c r="B115" t="s">
        <v>4816</v>
      </c>
      <c r="C115" t="s">
        <v>5544</v>
      </c>
      <c r="D115" s="10" t="s">
        <v>5545</v>
      </c>
    </row>
    <row r="116" spans="2:5" ht="15.75" customHeight="1">
      <c r="B116" s="68">
        <v>25714</v>
      </c>
      <c r="C116" t="s">
        <v>5546</v>
      </c>
    </row>
    <row r="117" spans="2:5" ht="15.75" customHeight="1">
      <c r="B117" s="68">
        <v>44674</v>
      </c>
      <c r="C117" t="s">
        <v>5547</v>
      </c>
    </row>
    <row r="118" spans="2:5" ht="15.75" customHeight="1">
      <c r="B118" s="68">
        <v>53882</v>
      </c>
      <c r="C118" t="s">
        <v>4887</v>
      </c>
    </row>
    <row r="119" spans="2:5" ht="15.75" customHeight="1">
      <c r="B119" s="68">
        <v>43990</v>
      </c>
      <c r="C119" t="s">
        <v>5548</v>
      </c>
    </row>
    <row r="120" spans="2:5" ht="15.75" customHeight="1">
      <c r="B120" s="68">
        <v>14561</v>
      </c>
      <c r="C120" t="s">
        <v>5549</v>
      </c>
    </row>
    <row r="121" spans="2:5" ht="15.75" customHeight="1">
      <c r="B121" s="68">
        <v>9704</v>
      </c>
      <c r="C121" t="s">
        <v>5550</v>
      </c>
    </row>
    <row r="122" spans="2:5" ht="15.75" customHeight="1">
      <c r="B122" s="68" t="s">
        <v>5551</v>
      </c>
      <c r="C122" s="4" t="s">
        <v>5552</v>
      </c>
      <c r="D122" s="10" t="s">
        <v>5553</v>
      </c>
    </row>
    <row r="123" spans="2:5" ht="15.75" customHeight="1">
      <c r="B123" s="68" t="s">
        <v>5554</v>
      </c>
      <c r="C123" t="s">
        <v>5555</v>
      </c>
    </row>
    <row r="124" spans="2:5" ht="18" customHeight="1">
      <c r="B124" s="68" t="s">
        <v>5456</v>
      </c>
      <c r="C124" s="4" t="s">
        <v>5457</v>
      </c>
      <c r="D124" s="10" t="s">
        <v>5458</v>
      </c>
      <c r="E124" s="131" t="s">
        <v>5459</v>
      </c>
    </row>
    <row r="125" spans="2:5" ht="15.75" customHeight="1">
      <c r="B125" s="68" t="s">
        <v>4731</v>
      </c>
      <c r="C125" t="s">
        <v>5556</v>
      </c>
    </row>
    <row r="126" spans="2:5" ht="15.75" customHeight="1">
      <c r="B126" s="68">
        <v>22978</v>
      </c>
      <c r="C126" t="s">
        <v>5557</v>
      </c>
      <c r="D126" s="10" t="s">
        <v>5558</v>
      </c>
    </row>
    <row r="127" spans="2:5" ht="15.75" customHeight="1">
      <c r="B127" s="69" t="s">
        <v>4695</v>
      </c>
      <c r="C127" s="4" t="s">
        <v>4706</v>
      </c>
      <c r="D127" s="10"/>
    </row>
    <row r="128" spans="2:5" ht="15.75" customHeight="1">
      <c r="B128" s="68" t="s">
        <v>5559</v>
      </c>
      <c r="C128" s="4" t="s">
        <v>5560</v>
      </c>
      <c r="D128" s="10" t="s">
        <v>5561</v>
      </c>
    </row>
    <row r="129" spans="2:4" ht="15.75" customHeight="1">
      <c r="B129" s="68" t="s">
        <v>5562</v>
      </c>
      <c r="C129" s="105" t="s">
        <v>5563</v>
      </c>
      <c r="D129" s="190" t="s">
        <v>5564</v>
      </c>
    </row>
    <row r="130" spans="2:4" ht="15.75" customHeight="1">
      <c r="B130" s="68">
        <v>34914</v>
      </c>
      <c r="C130" s="185" t="s">
        <v>5480</v>
      </c>
      <c r="D130" s="188"/>
    </row>
    <row r="131" spans="2:4" ht="15.75" customHeight="1">
      <c r="B131" s="68">
        <v>7097</v>
      </c>
      <c r="C131" t="s">
        <v>5565</v>
      </c>
      <c r="D131" s="10" t="s">
        <v>5566</v>
      </c>
    </row>
    <row r="132" spans="2:4" ht="14.25" customHeight="1">
      <c r="B132" s="68" t="s">
        <v>5567</v>
      </c>
      <c r="C132" s="4" t="s">
        <v>5568</v>
      </c>
      <c r="D132" s="131" t="s">
        <v>5569</v>
      </c>
    </row>
    <row r="133" spans="2:4" ht="15.75" customHeight="1">
      <c r="B133" s="68" t="s">
        <v>5570</v>
      </c>
      <c r="C133" t="s">
        <v>5571</v>
      </c>
    </row>
    <row r="134" spans="2:4" ht="15.75" customHeight="1">
      <c r="B134" s="68" t="s">
        <v>5572</v>
      </c>
      <c r="C134" t="s">
        <v>5573</v>
      </c>
    </row>
    <row r="135" spans="2:4" ht="15.75" customHeight="1">
      <c r="B135" s="68">
        <v>13047</v>
      </c>
      <c r="C135" t="s">
        <v>4818</v>
      </c>
      <c r="D135" s="10" t="s">
        <v>5574</v>
      </c>
    </row>
    <row r="136" spans="2:4" ht="19.5" customHeight="1">
      <c r="B136" s="130" t="s">
        <v>4763</v>
      </c>
      <c r="C136" s="4" t="s">
        <v>4764</v>
      </c>
      <c r="D136" s="131" t="s">
        <v>4765</v>
      </c>
    </row>
    <row r="137" spans="2:4" ht="15.75" customHeight="1">
      <c r="B137" s="68" t="s">
        <v>5575</v>
      </c>
      <c r="C137" t="s">
        <v>5576</v>
      </c>
    </row>
    <row r="138" spans="2:4" ht="15.75" customHeight="1">
      <c r="B138" s="68" t="s">
        <v>5577</v>
      </c>
      <c r="C138" s="4" t="s">
        <v>5578</v>
      </c>
      <c r="D138" s="10" t="s">
        <v>5579</v>
      </c>
    </row>
    <row r="139" spans="2:4" ht="15.75" customHeight="1">
      <c r="B139" s="68">
        <v>64023</v>
      </c>
      <c r="C139" s="191" t="s">
        <v>5580</v>
      </c>
      <c r="D139" s="192" t="s">
        <v>5581</v>
      </c>
    </row>
    <row r="140" spans="2:4" ht="18" customHeight="1">
      <c r="B140" s="68" t="s">
        <v>5582</v>
      </c>
      <c r="C140" t="s">
        <v>5583</v>
      </c>
      <c r="D140" s="193" t="s">
        <v>5584</v>
      </c>
    </row>
    <row r="141" spans="2:4" ht="15.75" customHeight="1">
      <c r="B141" s="68" t="s">
        <v>5585</v>
      </c>
      <c r="C141" s="25" t="s">
        <v>5586</v>
      </c>
    </row>
    <row r="142" spans="2:4" ht="15.75" customHeight="1">
      <c r="B142" s="68"/>
      <c r="C142" t="s">
        <v>5587</v>
      </c>
    </row>
    <row r="143" spans="2:4" ht="15.75" customHeight="1">
      <c r="B143" s="68" t="s">
        <v>5551</v>
      </c>
      <c r="C143" s="4" t="s">
        <v>5588</v>
      </c>
      <c r="D143" s="10" t="s">
        <v>5589</v>
      </c>
    </row>
    <row r="144" spans="2:4" ht="15.75" customHeight="1">
      <c r="B144" s="68">
        <v>70508</v>
      </c>
      <c r="C144" t="s">
        <v>5020</v>
      </c>
    </row>
    <row r="145" spans="2:5" ht="15.75" customHeight="1">
      <c r="B145" s="68" t="s">
        <v>5590</v>
      </c>
      <c r="C145" t="s">
        <v>5591</v>
      </c>
    </row>
    <row r="146" spans="2:5" ht="15.75" customHeight="1">
      <c r="B146" s="68" t="s">
        <v>5592</v>
      </c>
      <c r="C146" t="s">
        <v>5593</v>
      </c>
    </row>
    <row r="147" spans="2:5" ht="15.75" customHeight="1">
      <c r="B147" s="68">
        <v>87009</v>
      </c>
      <c r="C147" s="4" t="s">
        <v>5594</v>
      </c>
      <c r="D147" s="10" t="s">
        <v>4612</v>
      </c>
    </row>
    <row r="148" spans="2:5" ht="19.5" customHeight="1">
      <c r="B148" s="68">
        <v>44256</v>
      </c>
      <c r="C148" s="4" t="s">
        <v>5595</v>
      </c>
      <c r="D148" s="182" t="s">
        <v>5596</v>
      </c>
    </row>
    <row r="149" spans="2:5" ht="17.25" customHeight="1">
      <c r="B149" s="68">
        <v>62727</v>
      </c>
      <c r="C149" t="s">
        <v>5597</v>
      </c>
      <c r="D149" s="131" t="s">
        <v>5598</v>
      </c>
    </row>
    <row r="150" spans="2:5" ht="15.75" customHeight="1">
      <c r="B150" s="68" t="s">
        <v>5599</v>
      </c>
      <c r="C150" t="s">
        <v>5600</v>
      </c>
      <c r="D150" s="194" t="s">
        <v>5601</v>
      </c>
    </row>
    <row r="151" spans="2:5" ht="15.75" customHeight="1">
      <c r="B151" s="68">
        <v>66647</v>
      </c>
      <c r="C151" s="4" t="s">
        <v>5602</v>
      </c>
      <c r="D151" s="10" t="s">
        <v>5603</v>
      </c>
    </row>
    <row r="152" spans="2:5" ht="15.75" customHeight="1">
      <c r="B152" s="68">
        <v>12066</v>
      </c>
      <c r="C152" t="s">
        <v>5604</v>
      </c>
    </row>
    <row r="153" spans="2:5" ht="15.75" customHeight="1">
      <c r="B153" s="68">
        <v>76588</v>
      </c>
      <c r="C153" t="s">
        <v>5105</v>
      </c>
    </row>
    <row r="154" spans="2:5" ht="15.75" customHeight="1">
      <c r="B154" s="68" t="s">
        <v>5605</v>
      </c>
      <c r="C154" s="4" t="s">
        <v>5606</v>
      </c>
      <c r="D154" s="131" t="s">
        <v>5607</v>
      </c>
      <c r="E154" s="10" t="s">
        <v>5608</v>
      </c>
    </row>
    <row r="155" spans="2:5" ht="15.75" customHeight="1">
      <c r="B155" s="68" t="s">
        <v>5590</v>
      </c>
      <c r="C155" t="s">
        <v>5609</v>
      </c>
    </row>
    <row r="156" spans="2:5" ht="15.75" customHeight="1">
      <c r="B156" s="68" t="s">
        <v>5610</v>
      </c>
      <c r="C156" t="s">
        <v>5611</v>
      </c>
    </row>
    <row r="157" spans="2:5" ht="15.75" customHeight="1">
      <c r="B157" s="68" t="s">
        <v>5050</v>
      </c>
      <c r="C157" s="4" t="s">
        <v>5612</v>
      </c>
      <c r="D157" s="10" t="s">
        <v>5613</v>
      </c>
    </row>
    <row r="158" spans="2:5" ht="15.75" customHeight="1">
      <c r="B158" s="68" t="s">
        <v>4782</v>
      </c>
      <c r="C158" s="4" t="s">
        <v>5614</v>
      </c>
      <c r="D158" s="10" t="s">
        <v>4784</v>
      </c>
    </row>
    <row r="159" spans="2:5" ht="15.75" customHeight="1">
      <c r="B159" s="68" t="s">
        <v>5615</v>
      </c>
      <c r="C159" s="4" t="s">
        <v>5616</v>
      </c>
      <c r="D159" s="10" t="s">
        <v>5617</v>
      </c>
    </row>
    <row r="160" spans="2:5" ht="15.75" customHeight="1">
      <c r="B160" s="68">
        <v>98376</v>
      </c>
      <c r="C160" t="s">
        <v>5162</v>
      </c>
    </row>
    <row r="161" spans="2:4" ht="15.75" customHeight="1">
      <c r="B161" s="68">
        <v>95368</v>
      </c>
      <c r="C161" t="s">
        <v>5618</v>
      </c>
      <c r="D161" s="10" t="s">
        <v>5619</v>
      </c>
    </row>
    <row r="162" spans="2:4" ht="15.75" customHeight="1">
      <c r="B162" s="68">
        <v>91663</v>
      </c>
      <c r="C162" t="s">
        <v>5620</v>
      </c>
    </row>
    <row r="163" spans="2:4" ht="15.75" customHeight="1">
      <c r="B163" s="68">
        <v>81815</v>
      </c>
      <c r="C163" t="s">
        <v>5621</v>
      </c>
    </row>
    <row r="164" spans="2:4" ht="15.75" customHeight="1">
      <c r="B164" s="68" t="s">
        <v>5622</v>
      </c>
      <c r="C164" t="s">
        <v>5623</v>
      </c>
    </row>
    <row r="165" spans="2:4" ht="15.75" customHeight="1">
      <c r="B165" s="68">
        <v>33152</v>
      </c>
      <c r="C165" t="s">
        <v>5624</v>
      </c>
    </row>
    <row r="166" spans="2:4" ht="15.75" customHeight="1">
      <c r="B166" s="68">
        <v>57771</v>
      </c>
      <c r="C166" t="s">
        <v>5625</v>
      </c>
    </row>
    <row r="167" spans="2:4" ht="15.75" customHeight="1">
      <c r="B167" s="68" t="s">
        <v>5626</v>
      </c>
      <c r="C167" t="s">
        <v>5627</v>
      </c>
    </row>
    <row r="168" spans="2:4" ht="15.75" customHeight="1">
      <c r="B168" s="68" t="s">
        <v>5628</v>
      </c>
      <c r="C168" t="s">
        <v>5629</v>
      </c>
    </row>
    <row r="169" spans="2:4" ht="15.75" customHeight="1">
      <c r="B169" s="68" t="s">
        <v>5630</v>
      </c>
      <c r="C169" t="s">
        <v>5631</v>
      </c>
    </row>
    <row r="170" spans="2:4" ht="15.75" customHeight="1">
      <c r="B170" s="68" t="s">
        <v>5632</v>
      </c>
      <c r="C170" t="s">
        <v>5633</v>
      </c>
    </row>
    <row r="171" spans="2:4" ht="15.75" customHeight="1">
      <c r="B171" s="68">
        <v>61796</v>
      </c>
      <c r="C171" t="s">
        <v>5012</v>
      </c>
    </row>
    <row r="172" spans="2:4" ht="15.75" customHeight="1">
      <c r="B172" s="68">
        <v>1843</v>
      </c>
      <c r="C172" s="4" t="s">
        <v>5634</v>
      </c>
    </row>
    <row r="173" spans="2:4" ht="15.75" customHeight="1">
      <c r="B173" s="68" t="s">
        <v>5635</v>
      </c>
      <c r="C173" t="s">
        <v>5636</v>
      </c>
    </row>
    <row r="174" spans="2:4" ht="15.75" customHeight="1">
      <c r="B174" s="68">
        <v>90031</v>
      </c>
      <c r="C174" t="s">
        <v>5637</v>
      </c>
    </row>
    <row r="175" spans="2:4" ht="15.75" customHeight="1">
      <c r="B175" s="68" t="s">
        <v>5638</v>
      </c>
      <c r="C175" t="s">
        <v>5639</v>
      </c>
    </row>
    <row r="176" spans="2:4" ht="15.75" customHeight="1">
      <c r="B176" s="68">
        <v>66618</v>
      </c>
      <c r="C176" t="s">
        <v>5640</v>
      </c>
    </row>
    <row r="177" spans="2:5" ht="15.75" customHeight="1">
      <c r="B177" s="68" t="s">
        <v>5641</v>
      </c>
      <c r="C177" t="s">
        <v>5642</v>
      </c>
    </row>
    <row r="178" spans="2:5" ht="15.75" customHeight="1">
      <c r="B178" s="68" t="s">
        <v>5643</v>
      </c>
      <c r="C178" t="s">
        <v>5644</v>
      </c>
    </row>
    <row r="179" spans="2:5" ht="15.75" customHeight="1">
      <c r="B179" s="68">
        <v>11243</v>
      </c>
      <c r="C179" t="s">
        <v>5645</v>
      </c>
    </row>
    <row r="180" spans="2:5" ht="18" customHeight="1">
      <c r="B180" s="68">
        <v>76096</v>
      </c>
      <c r="C180" s="4" t="s">
        <v>5646</v>
      </c>
      <c r="D180" s="195" t="s">
        <v>5647</v>
      </c>
      <c r="E180" s="131" t="s">
        <v>5648</v>
      </c>
    </row>
    <row r="181" spans="2:5" ht="15.75" customHeight="1">
      <c r="B181" s="68">
        <v>95368</v>
      </c>
      <c r="C181" t="s">
        <v>5649</v>
      </c>
      <c r="D181" s="10" t="s">
        <v>5650</v>
      </c>
    </row>
    <row r="182" spans="2:5" ht="15.75" customHeight="1">
      <c r="B182" s="68" t="s">
        <v>5651</v>
      </c>
      <c r="C182" t="s">
        <v>5652</v>
      </c>
    </row>
    <row r="183" spans="2:5" ht="15.75" customHeight="1">
      <c r="B183" s="68" t="s">
        <v>5653</v>
      </c>
      <c r="C183" t="s">
        <v>5654</v>
      </c>
    </row>
    <row r="184" spans="2:5" ht="15.75" customHeight="1">
      <c r="B184" s="68" t="s">
        <v>5655</v>
      </c>
      <c r="C184" t="s">
        <v>5656</v>
      </c>
    </row>
    <row r="185" spans="2:5" ht="15.75" customHeight="1">
      <c r="B185" s="68">
        <v>62727</v>
      </c>
      <c r="C185" t="s">
        <v>5074</v>
      </c>
    </row>
    <row r="186" spans="2:5" ht="15.75" customHeight="1">
      <c r="B186" s="68" t="s">
        <v>5657</v>
      </c>
      <c r="C186" t="s">
        <v>5658</v>
      </c>
    </row>
    <row r="187" spans="2:5" ht="15.75" customHeight="1">
      <c r="B187" s="68">
        <v>61141</v>
      </c>
      <c r="C187" t="s">
        <v>5659</v>
      </c>
    </row>
    <row r="188" spans="2:5" ht="15.75" customHeight="1">
      <c r="B188" s="68">
        <v>64413</v>
      </c>
      <c r="C188" t="s">
        <v>5660</v>
      </c>
    </row>
    <row r="189" spans="2:5" ht="15.75" customHeight="1">
      <c r="B189" s="68">
        <v>12021</v>
      </c>
      <c r="C189" t="s">
        <v>5661</v>
      </c>
    </row>
    <row r="190" spans="2:5" ht="15.75" customHeight="1">
      <c r="B190" s="68">
        <v>17798</v>
      </c>
      <c r="C190" t="s">
        <v>5662</v>
      </c>
    </row>
    <row r="191" spans="2:5" ht="15.75" customHeight="1">
      <c r="B191" s="68" t="s">
        <v>5486</v>
      </c>
      <c r="C191" t="s">
        <v>5663</v>
      </c>
    </row>
    <row r="192" spans="2:5" ht="15.75" customHeight="1">
      <c r="B192" s="68">
        <v>70508</v>
      </c>
      <c r="C192" s="4" t="s">
        <v>5664</v>
      </c>
      <c r="D192" s="10" t="s">
        <v>5665</v>
      </c>
    </row>
    <row r="193" spans="2:5" ht="13.5" customHeight="1">
      <c r="B193" s="68" t="s">
        <v>5666</v>
      </c>
      <c r="C193" s="203" t="s">
        <v>5667</v>
      </c>
      <c r="D193" s="10" t="s">
        <v>5668</v>
      </c>
      <c r="E193" s="131" t="s">
        <v>5669</v>
      </c>
    </row>
    <row r="194" spans="2:5" ht="15.75" customHeight="1">
      <c r="B194" s="68" t="s">
        <v>5670</v>
      </c>
      <c r="C194" s="25" t="s">
        <v>5671</v>
      </c>
    </row>
    <row r="195" spans="2:5" ht="17.45" customHeight="1">
      <c r="B195" s="68">
        <v>64411</v>
      </c>
      <c r="C195" s="4" t="s">
        <v>5672</v>
      </c>
      <c r="D195" s="131" t="s">
        <v>5673</v>
      </c>
    </row>
    <row r="196" spans="2:5" ht="17.25" customHeight="1">
      <c r="B196" s="68" t="s">
        <v>5674</v>
      </c>
      <c r="C196" s="4" t="s">
        <v>5675</v>
      </c>
      <c r="D196" s="131" t="s">
        <v>5676</v>
      </c>
      <c r="E196" s="194" t="s">
        <v>5677</v>
      </c>
    </row>
    <row r="197" spans="2:5" ht="15.75" customHeight="1">
      <c r="B197" s="68" t="s">
        <v>5670</v>
      </c>
      <c r="C197" t="s">
        <v>5678</v>
      </c>
    </row>
    <row r="198" spans="2:5" ht="19.5" customHeight="1">
      <c r="B198" s="68">
        <v>57715</v>
      </c>
      <c r="C198" s="205" t="s">
        <v>5679</v>
      </c>
      <c r="D198" s="196" t="s">
        <v>5680</v>
      </c>
    </row>
    <row r="199" spans="2:5" ht="15.75" customHeight="1">
      <c r="B199" s="68">
        <v>30169</v>
      </c>
      <c r="C199" t="s">
        <v>5681</v>
      </c>
    </row>
    <row r="200" spans="2:5" ht="15.75" customHeight="1">
      <c r="B200" s="68">
        <v>73680</v>
      </c>
      <c r="C200" t="s">
        <v>5682</v>
      </c>
    </row>
    <row r="201" spans="2:5" ht="15.75" customHeight="1">
      <c r="B201" s="68" t="s">
        <v>4695</v>
      </c>
      <c r="C201" s="4" t="s">
        <v>4706</v>
      </c>
    </row>
    <row r="202" spans="2:5" ht="15.75" customHeight="1">
      <c r="B202" s="68">
        <v>66618</v>
      </c>
      <c r="C202" t="s">
        <v>5683</v>
      </c>
      <c r="D202" s="10" t="s">
        <v>5684</v>
      </c>
      <c r="E202" s="10" t="s">
        <v>5685</v>
      </c>
    </row>
    <row r="203" spans="2:5" ht="15.75" customHeight="1">
      <c r="B203" s="68"/>
    </row>
    <row r="204" spans="2:5" ht="15.75" customHeight="1">
      <c r="B204" s="68" t="s">
        <v>5686</v>
      </c>
      <c r="C204" t="s">
        <v>5687</v>
      </c>
    </row>
    <row r="205" spans="2:5" ht="15.75" customHeight="1">
      <c r="B205" s="68" t="s">
        <v>5011</v>
      </c>
      <c r="C205" t="s">
        <v>5012</v>
      </c>
    </row>
    <row r="206" spans="2:5" ht="15.75" customHeight="1">
      <c r="B206" s="68" t="s">
        <v>5688</v>
      </c>
      <c r="C206" t="s">
        <v>5689</v>
      </c>
    </row>
    <row r="207" spans="2:5" ht="15.75" customHeight="1">
      <c r="B207" s="68" t="s">
        <v>5690</v>
      </c>
      <c r="C207" t="s">
        <v>5691</v>
      </c>
    </row>
    <row r="208" spans="2:5" ht="15.75" customHeight="1">
      <c r="B208" s="68" t="s">
        <v>5692</v>
      </c>
      <c r="C208" t="s">
        <v>5693</v>
      </c>
    </row>
    <row r="209" spans="2:4" ht="15.75" customHeight="1">
      <c r="B209" s="68">
        <v>11707</v>
      </c>
      <c r="C209" t="s">
        <v>5694</v>
      </c>
    </row>
    <row r="210" spans="2:4" ht="15.75" customHeight="1">
      <c r="B210" s="68" t="s">
        <v>5695</v>
      </c>
      <c r="C210" t="s">
        <v>5696</v>
      </c>
    </row>
    <row r="211" spans="2:4" ht="15.75" customHeight="1">
      <c r="B211" s="68" t="s">
        <v>5093</v>
      </c>
      <c r="C211" t="s">
        <v>5094</v>
      </c>
    </row>
    <row r="212" spans="2:4" ht="18.75" customHeight="1">
      <c r="B212" s="68" t="s">
        <v>5697</v>
      </c>
      <c r="C212" t="s">
        <v>5698</v>
      </c>
      <c r="D212" s="131" t="s">
        <v>5699</v>
      </c>
    </row>
    <row r="213" spans="2:4" ht="15.75" customHeight="1">
      <c r="B213" s="68" t="s">
        <v>5007</v>
      </c>
      <c r="C213" t="s">
        <v>5700</v>
      </c>
    </row>
    <row r="214" spans="2:4" ht="18" customHeight="1">
      <c r="B214" s="68" t="s">
        <v>5203</v>
      </c>
      <c r="C214" s="4" t="s">
        <v>5204</v>
      </c>
      <c r="D214" s="131" t="s">
        <v>5701</v>
      </c>
    </row>
    <row r="215" spans="2:4" ht="15.75" customHeight="1">
      <c r="B215" s="68">
        <v>29019</v>
      </c>
      <c r="C215" t="s">
        <v>5702</v>
      </c>
    </row>
    <row r="216" spans="2:4" ht="15.75" customHeight="1">
      <c r="B216" s="68">
        <v>12066</v>
      </c>
      <c r="C216" t="s">
        <v>5604</v>
      </c>
    </row>
    <row r="217" spans="2:4" ht="15.75" customHeight="1">
      <c r="B217" s="68" t="s">
        <v>5703</v>
      </c>
      <c r="C217" s="4" t="s">
        <v>5704</v>
      </c>
    </row>
    <row r="218" spans="2:4" ht="15.75" customHeight="1">
      <c r="B218" s="68">
        <v>76588</v>
      </c>
      <c r="C218" t="s">
        <v>5105</v>
      </c>
    </row>
    <row r="219" spans="2:4" ht="15.75" customHeight="1">
      <c r="B219" s="68" t="s">
        <v>5705</v>
      </c>
      <c r="C219" t="s">
        <v>5706</v>
      </c>
    </row>
    <row r="220" spans="2:4" ht="15.75" customHeight="1">
      <c r="B220" s="68" t="s">
        <v>5707</v>
      </c>
      <c r="C220" t="s">
        <v>5708</v>
      </c>
    </row>
    <row r="221" spans="2:4" ht="15.75" customHeight="1">
      <c r="B221" s="68" t="s">
        <v>5709</v>
      </c>
      <c r="C221" t="s">
        <v>5710</v>
      </c>
    </row>
    <row r="222" spans="2:4" ht="15.75" customHeight="1">
      <c r="B222" s="68" t="s">
        <v>5711</v>
      </c>
      <c r="C222" t="s">
        <v>5712</v>
      </c>
    </row>
    <row r="223" spans="2:4" ht="15.75" customHeight="1">
      <c r="B223" s="68">
        <v>48104</v>
      </c>
      <c r="C223" t="s">
        <v>5713</v>
      </c>
    </row>
    <row r="224" spans="2:4">
      <c r="B224" t="s">
        <v>5714</v>
      </c>
      <c r="C224" t="s">
        <v>5715</v>
      </c>
    </row>
    <row r="225" spans="2:3">
      <c r="B225">
        <v>41592</v>
      </c>
      <c r="C225" t="s">
        <v>5716</v>
      </c>
    </row>
    <row r="226" spans="2:3" ht="15.75" customHeight="1">
      <c r="B226">
        <v>10988</v>
      </c>
      <c r="C226" s="18" t="s">
        <v>5717</v>
      </c>
    </row>
    <row r="227" spans="2:3">
      <c r="B227" t="s">
        <v>5718</v>
      </c>
      <c r="C227" t="s">
        <v>5719</v>
      </c>
    </row>
    <row r="228" spans="2:3">
      <c r="B228">
        <v>25714</v>
      </c>
      <c r="C228" t="s">
        <v>5720</v>
      </c>
    </row>
    <row r="229" spans="2:3">
      <c r="B229" t="s">
        <v>5721</v>
      </c>
      <c r="C229" t="s">
        <v>5722</v>
      </c>
    </row>
    <row r="230" spans="2:3">
      <c r="B230">
        <v>33476</v>
      </c>
      <c r="C230" t="s">
        <v>5723</v>
      </c>
    </row>
    <row r="231" spans="2:3">
      <c r="B231" s="15" t="s">
        <v>5724</v>
      </c>
      <c r="C231" t="s">
        <v>5725</v>
      </c>
    </row>
    <row r="232" spans="2:3">
      <c r="B232" s="15" t="s">
        <v>5726</v>
      </c>
      <c r="C232" t="s">
        <v>5727</v>
      </c>
    </row>
    <row r="233" spans="2:3">
      <c r="B233" s="15" t="s">
        <v>4894</v>
      </c>
      <c r="C233" t="s">
        <v>5728</v>
      </c>
    </row>
    <row r="234" spans="2:3">
      <c r="B234">
        <v>82402</v>
      </c>
      <c r="C234" t="s">
        <v>5729</v>
      </c>
    </row>
    <row r="235" spans="2:3">
      <c r="B235" t="s">
        <v>5582</v>
      </c>
      <c r="C235" t="s">
        <v>5583</v>
      </c>
    </row>
    <row r="236" spans="2:3">
      <c r="B236" t="s">
        <v>5730</v>
      </c>
      <c r="C236" t="s">
        <v>5731</v>
      </c>
    </row>
    <row r="237" spans="2:3">
      <c r="B237">
        <v>52406</v>
      </c>
      <c r="C237" t="s">
        <v>5170</v>
      </c>
    </row>
    <row r="238" spans="2:3">
      <c r="B238" t="s">
        <v>5732</v>
      </c>
      <c r="C238" t="s">
        <v>5733</v>
      </c>
    </row>
    <row r="239" spans="2:3">
      <c r="B239" t="s">
        <v>5734</v>
      </c>
      <c r="C239" t="s">
        <v>5735</v>
      </c>
    </row>
    <row r="240" spans="2:3">
      <c r="B240" s="25" t="s">
        <v>5736</v>
      </c>
      <c r="C240" s="25" t="s">
        <v>5737</v>
      </c>
    </row>
    <row r="241" spans="2:4">
      <c r="B241" s="25" t="s">
        <v>5738</v>
      </c>
      <c r="C241" s="25" t="s">
        <v>5739</v>
      </c>
    </row>
    <row r="242" spans="2:4">
      <c r="B242" t="s">
        <v>5740</v>
      </c>
      <c r="C242" t="s">
        <v>5741</v>
      </c>
    </row>
    <row r="243" spans="2:4">
      <c r="B243" t="s">
        <v>5742</v>
      </c>
      <c r="C243" t="s">
        <v>5743</v>
      </c>
    </row>
    <row r="244" spans="2:4">
      <c r="B244" t="s">
        <v>5177</v>
      </c>
      <c r="C244" t="s">
        <v>5178</v>
      </c>
    </row>
    <row r="245" spans="2:4">
      <c r="B245" t="s">
        <v>5744</v>
      </c>
      <c r="C245" t="s">
        <v>5745</v>
      </c>
    </row>
    <row r="246" spans="2:4">
      <c r="B246">
        <v>59529</v>
      </c>
      <c r="C246" t="s">
        <v>5746</v>
      </c>
    </row>
    <row r="247" spans="2:4">
      <c r="B247">
        <v>66774</v>
      </c>
      <c r="C247" t="s">
        <v>5747</v>
      </c>
    </row>
    <row r="248" spans="2:4">
      <c r="B248">
        <v>58860</v>
      </c>
      <c r="C248" s="4" t="s">
        <v>5710</v>
      </c>
      <c r="D248" s="10" t="s">
        <v>5748</v>
      </c>
    </row>
    <row r="249" spans="2:4">
      <c r="B249">
        <v>61141</v>
      </c>
      <c r="C249" t="s">
        <v>5659</v>
      </c>
    </row>
    <row r="250" spans="2:4">
      <c r="B250" t="s">
        <v>5730</v>
      </c>
      <c r="C250" t="s">
        <v>5731</v>
      </c>
    </row>
    <row r="251" spans="2:4">
      <c r="B251" t="s">
        <v>5749</v>
      </c>
      <c r="C251" t="s">
        <v>5750</v>
      </c>
    </row>
    <row r="252" spans="2:4">
      <c r="B252" t="s">
        <v>5751</v>
      </c>
      <c r="C252" t="s">
        <v>5752</v>
      </c>
    </row>
    <row r="253" spans="2:4">
      <c r="B253">
        <v>38664</v>
      </c>
      <c r="C253" t="s">
        <v>5753</v>
      </c>
      <c r="D253">
        <v>4455</v>
      </c>
    </row>
    <row r="254" spans="2:4">
      <c r="B254" t="s">
        <v>5754</v>
      </c>
      <c r="C254" t="s">
        <v>5755</v>
      </c>
    </row>
    <row r="255" spans="2:4">
      <c r="B255">
        <v>38881</v>
      </c>
      <c r="C255" t="s">
        <v>5756</v>
      </c>
    </row>
    <row r="256" spans="2:4">
      <c r="B256">
        <v>59529</v>
      </c>
      <c r="C256" t="s">
        <v>5746</v>
      </c>
    </row>
    <row r="257" spans="2:4">
      <c r="B257">
        <v>1518</v>
      </c>
      <c r="C257" t="s">
        <v>5727</v>
      </c>
    </row>
    <row r="258" spans="2:4">
      <c r="C258" s="4" t="s">
        <v>5757</v>
      </c>
      <c r="D258" s="197" t="s">
        <v>5758</v>
      </c>
    </row>
    <row r="259" spans="2:4" ht="15.75" customHeight="1">
      <c r="B259" s="68" t="s">
        <v>5666</v>
      </c>
      <c r="C259" t="s">
        <v>5759</v>
      </c>
    </row>
    <row r="260" spans="2:4" ht="16.5" customHeight="1" thickBot="1">
      <c r="B260" s="68" t="s">
        <v>5670</v>
      </c>
      <c r="C260" t="s">
        <v>5760</v>
      </c>
    </row>
    <row r="261" spans="2:4" ht="16.5" customHeight="1" thickBot="1">
      <c r="B261" s="207" t="s">
        <v>5761</v>
      </c>
      <c r="C261" s="198" t="s">
        <v>5762</v>
      </c>
    </row>
    <row r="262" spans="2:4" ht="15.75" customHeight="1">
      <c r="B262" s="68">
        <v>64411</v>
      </c>
      <c r="C262" t="s">
        <v>5763</v>
      </c>
    </row>
    <row r="263" spans="2:4">
      <c r="B263">
        <v>87009</v>
      </c>
      <c r="C263" t="s">
        <v>5764</v>
      </c>
    </row>
    <row r="264" spans="2:4">
      <c r="B264" t="s">
        <v>5765</v>
      </c>
      <c r="C264" t="s">
        <v>5766</v>
      </c>
    </row>
    <row r="265" spans="2:4">
      <c r="B265">
        <v>66144</v>
      </c>
      <c r="C265" t="s">
        <v>5767</v>
      </c>
    </row>
    <row r="266" spans="2:4">
      <c r="B266" t="s">
        <v>5768</v>
      </c>
      <c r="C266" t="s">
        <v>5769</v>
      </c>
    </row>
    <row r="267" spans="2:4">
      <c r="B267">
        <v>98991</v>
      </c>
      <c r="C267" t="s">
        <v>4861</v>
      </c>
    </row>
    <row r="268" spans="2:4">
      <c r="B268" t="s">
        <v>5770</v>
      </c>
      <c r="C268" s="4" t="s">
        <v>5771</v>
      </c>
    </row>
    <row r="269" spans="2:4">
      <c r="B269" t="s">
        <v>5772</v>
      </c>
      <c r="C269" t="s">
        <v>5773</v>
      </c>
    </row>
    <row r="270" spans="2:4">
      <c r="B270" t="s">
        <v>5774</v>
      </c>
      <c r="C270" t="s">
        <v>5775</v>
      </c>
    </row>
    <row r="271" spans="2:4">
      <c r="B271">
        <v>63266</v>
      </c>
      <c r="C271" t="s">
        <v>5776</v>
      </c>
    </row>
    <row r="272" spans="2:4">
      <c r="B272">
        <v>6090</v>
      </c>
      <c r="C272" t="s">
        <v>5777</v>
      </c>
    </row>
    <row r="273" spans="2:4">
      <c r="B273" t="s">
        <v>5778</v>
      </c>
      <c r="C273" t="s">
        <v>5779</v>
      </c>
    </row>
    <row r="274" spans="2:4" ht="15.75" customHeight="1">
      <c r="B274" t="s">
        <v>5063</v>
      </c>
      <c r="C274" t="s">
        <v>5780</v>
      </c>
      <c r="D274" s="131" t="s">
        <v>5781</v>
      </c>
    </row>
    <row r="275" spans="2:4">
      <c r="B275">
        <v>86928</v>
      </c>
      <c r="C275" t="s">
        <v>5782</v>
      </c>
    </row>
    <row r="276" spans="2:4">
      <c r="B276">
        <v>52213</v>
      </c>
      <c r="C276" t="s">
        <v>5783</v>
      </c>
    </row>
    <row r="277" spans="2:4">
      <c r="B277" t="s">
        <v>5784</v>
      </c>
      <c r="C277" t="s">
        <v>5785</v>
      </c>
    </row>
    <row r="278" spans="2:4" ht="30" customHeight="1">
      <c r="B278">
        <v>86044</v>
      </c>
      <c r="C278" t="s">
        <v>5786</v>
      </c>
      <c r="D278" s="131" t="s">
        <v>5787</v>
      </c>
    </row>
    <row r="279" spans="2:4">
      <c r="B279" t="s">
        <v>5788</v>
      </c>
      <c r="C279" t="s">
        <v>5789</v>
      </c>
    </row>
    <row r="280" spans="2:4">
      <c r="B280">
        <v>71670</v>
      </c>
      <c r="C280" t="s">
        <v>5790</v>
      </c>
    </row>
    <row r="281" spans="2:4">
      <c r="B281">
        <v>15939</v>
      </c>
      <c r="C281" t="s">
        <v>5791</v>
      </c>
    </row>
    <row r="282" spans="2:4">
      <c r="B282">
        <v>78359</v>
      </c>
      <c r="C282" t="s">
        <v>5792</v>
      </c>
    </row>
    <row r="283" spans="2:4">
      <c r="B283" t="s">
        <v>5590</v>
      </c>
      <c r="C283" t="s">
        <v>5609</v>
      </c>
    </row>
    <row r="284" spans="2:4">
      <c r="B284" t="s">
        <v>5793</v>
      </c>
      <c r="C284" s="4" t="s">
        <v>5794</v>
      </c>
    </row>
    <row r="285" spans="2:4">
      <c r="B285" t="s">
        <v>5707</v>
      </c>
      <c r="C285" t="s">
        <v>5795</v>
      </c>
    </row>
    <row r="286" spans="2:4">
      <c r="B286">
        <v>25281</v>
      </c>
      <c r="C286" t="s">
        <v>5796</v>
      </c>
    </row>
    <row r="287" spans="2:4">
      <c r="B287" t="s">
        <v>5797</v>
      </c>
      <c r="C287" t="s">
        <v>5798</v>
      </c>
    </row>
    <row r="288" spans="2:4">
      <c r="B288" t="s">
        <v>5799</v>
      </c>
      <c r="C288" t="s">
        <v>5800</v>
      </c>
    </row>
    <row r="289" spans="2:4">
      <c r="B289">
        <v>95094</v>
      </c>
      <c r="C289" t="s">
        <v>5801</v>
      </c>
    </row>
    <row r="290" spans="2:4">
      <c r="B290" t="s">
        <v>5802</v>
      </c>
      <c r="C290" t="s">
        <v>5803</v>
      </c>
    </row>
    <row r="291" spans="2:4">
      <c r="B291">
        <v>60955</v>
      </c>
      <c r="C291" t="s">
        <v>5484</v>
      </c>
      <c r="D291" s="11"/>
    </row>
    <row r="292" spans="2:4">
      <c r="B292" t="s">
        <v>5152</v>
      </c>
      <c r="C292" t="s">
        <v>5153</v>
      </c>
      <c r="D292" s="11"/>
    </row>
    <row r="293" spans="2:4">
      <c r="B293" t="s">
        <v>5804</v>
      </c>
      <c r="C293" t="s">
        <v>5805</v>
      </c>
      <c r="D293" s="11"/>
    </row>
    <row r="294" spans="2:4">
      <c r="B294" t="s">
        <v>5806</v>
      </c>
      <c r="C294" t="s">
        <v>5807</v>
      </c>
      <c r="D294" s="11"/>
    </row>
    <row r="295" spans="2:4">
      <c r="B295">
        <v>82689</v>
      </c>
      <c r="C295" t="s">
        <v>5808</v>
      </c>
      <c r="D295" s="11"/>
    </row>
    <row r="296" spans="2:4">
      <c r="D296" s="11"/>
    </row>
    <row r="297" spans="2:4">
      <c r="B297">
        <v>91643</v>
      </c>
      <c r="C297" t="s">
        <v>5809</v>
      </c>
      <c r="D297" s="11"/>
    </row>
    <row r="298" spans="2:4">
      <c r="B298" t="s">
        <v>5810</v>
      </c>
      <c r="C298" t="s">
        <v>5811</v>
      </c>
    </row>
    <row r="300" spans="2:4">
      <c r="B300">
        <v>71670</v>
      </c>
      <c r="C300" t="s">
        <v>5812</v>
      </c>
    </row>
    <row r="301" spans="2:4">
      <c r="B301" t="s">
        <v>5813</v>
      </c>
      <c r="C301" t="s">
        <v>5814</v>
      </c>
    </row>
    <row r="302" spans="2:4">
      <c r="B302" t="s">
        <v>5815</v>
      </c>
      <c r="C302" t="s">
        <v>5816</v>
      </c>
      <c r="D302" s="11">
        <v>2448.1</v>
      </c>
    </row>
    <row r="303" spans="2:4">
      <c r="B303" t="s">
        <v>5817</v>
      </c>
      <c r="C303" t="s">
        <v>5818</v>
      </c>
      <c r="D303" s="11">
        <v>5360</v>
      </c>
    </row>
    <row r="304" spans="2:4">
      <c r="B304">
        <v>54119</v>
      </c>
      <c r="C304" t="s">
        <v>5819</v>
      </c>
      <c r="D304" s="11">
        <v>9876.16</v>
      </c>
    </row>
    <row r="305" spans="2:4">
      <c r="B305" t="s">
        <v>5820</v>
      </c>
      <c r="C305" t="s">
        <v>5821</v>
      </c>
      <c r="D305" s="11">
        <v>3527.2</v>
      </c>
    </row>
    <row r="306" spans="2:4">
      <c r="B306" t="s">
        <v>5813</v>
      </c>
      <c r="C306" t="s">
        <v>5814</v>
      </c>
      <c r="D306" s="11">
        <v>2226</v>
      </c>
    </row>
    <row r="307" spans="2:4">
      <c r="B307">
        <v>80756</v>
      </c>
      <c r="C307" t="s">
        <v>5822</v>
      </c>
      <c r="D307" s="11">
        <v>14615.37</v>
      </c>
    </row>
    <row r="308" spans="2:4">
      <c r="B308" t="s">
        <v>5823</v>
      </c>
      <c r="C308" t="s">
        <v>5824</v>
      </c>
      <c r="D308" s="11">
        <f>SUM(D302:D307)</f>
        <v>38052.83</v>
      </c>
    </row>
    <row r="309" spans="2:4">
      <c r="B309" t="s">
        <v>5825</v>
      </c>
      <c r="C309" t="s">
        <v>5826</v>
      </c>
    </row>
    <row r="310" spans="2:4">
      <c r="B310">
        <v>63282</v>
      </c>
      <c r="C310" t="s">
        <v>5827</v>
      </c>
    </row>
    <row r="311" spans="2:4">
      <c r="B311">
        <v>26136</v>
      </c>
      <c r="C311" t="s">
        <v>5828</v>
      </c>
    </row>
    <row r="312" spans="2:4">
      <c r="B312" t="s">
        <v>5829</v>
      </c>
      <c r="C312" t="s">
        <v>5830</v>
      </c>
    </row>
    <row r="313" spans="2:4">
      <c r="B313" t="s">
        <v>5751</v>
      </c>
      <c r="C313" t="s">
        <v>5752</v>
      </c>
    </row>
    <row r="315" spans="2:4">
      <c r="B315" s="214" t="s">
        <v>5831</v>
      </c>
      <c r="C315" t="s">
        <v>5832</v>
      </c>
    </row>
    <row r="316" spans="2:4">
      <c r="B316" s="4">
        <v>91663</v>
      </c>
      <c r="C316" s="4" t="s">
        <v>5833</v>
      </c>
    </row>
    <row r="317" spans="2:4">
      <c r="C317" t="s">
        <v>5834</v>
      </c>
    </row>
    <row r="318" spans="2:4">
      <c r="C318" t="s">
        <v>5835</v>
      </c>
    </row>
    <row r="319" spans="2:4">
      <c r="C319" t="s">
        <v>5836</v>
      </c>
    </row>
    <row r="320" spans="2:4" ht="30" customHeight="1">
      <c r="B320" t="s">
        <v>5837</v>
      </c>
      <c r="C320" s="4" t="s">
        <v>5838</v>
      </c>
      <c r="D320" s="131" t="s">
        <v>5839</v>
      </c>
    </row>
    <row r="321" spans="2:3">
      <c r="B321" t="s">
        <v>5840</v>
      </c>
      <c r="C321" t="s">
        <v>5841</v>
      </c>
    </row>
    <row r="322" spans="2:3">
      <c r="B322" t="s">
        <v>5842</v>
      </c>
      <c r="C322" t="s">
        <v>5843</v>
      </c>
    </row>
    <row r="323" spans="2:3">
      <c r="B323">
        <v>63208</v>
      </c>
      <c r="C323" t="s">
        <v>5844</v>
      </c>
    </row>
    <row r="324" spans="2:3">
      <c r="B324" t="s">
        <v>5845</v>
      </c>
      <c r="C324" t="s">
        <v>5846</v>
      </c>
    </row>
    <row r="325" spans="2:3">
      <c r="B325">
        <v>12190</v>
      </c>
      <c r="C325" t="s">
        <v>5847</v>
      </c>
    </row>
    <row r="326" spans="2:3">
      <c r="B326" t="s">
        <v>5848</v>
      </c>
      <c r="C326" t="s">
        <v>5849</v>
      </c>
    </row>
    <row r="327" spans="2:3">
      <c r="B327">
        <v>15645</v>
      </c>
      <c r="C327" t="s">
        <v>5850</v>
      </c>
    </row>
    <row r="328" spans="2:3">
      <c r="B328">
        <v>71985</v>
      </c>
      <c r="C328" t="s">
        <v>5851</v>
      </c>
    </row>
    <row r="329" spans="2:3">
      <c r="B329" t="s">
        <v>5852</v>
      </c>
      <c r="C329" t="s">
        <v>5853</v>
      </c>
    </row>
    <row r="330" spans="2:3">
      <c r="B330" t="s">
        <v>5854</v>
      </c>
      <c r="C330" t="s">
        <v>5855</v>
      </c>
    </row>
    <row r="331" spans="2:3">
      <c r="B331" t="s">
        <v>5820</v>
      </c>
      <c r="C331" t="s">
        <v>5821</v>
      </c>
    </row>
    <row r="332" spans="2:3">
      <c r="B332" s="15" t="s">
        <v>5856</v>
      </c>
      <c r="C332" t="s">
        <v>5857</v>
      </c>
    </row>
    <row r="333" spans="2:3">
      <c r="B333" s="15" t="s">
        <v>5858</v>
      </c>
      <c r="C333" t="s">
        <v>5859</v>
      </c>
    </row>
    <row r="334" spans="2:3">
      <c r="B334">
        <v>26136</v>
      </c>
      <c r="C334" t="s">
        <v>5828</v>
      </c>
    </row>
    <row r="335" spans="2:3">
      <c r="B335">
        <v>54584</v>
      </c>
      <c r="C335" t="s">
        <v>5860</v>
      </c>
    </row>
    <row r="336" spans="2:3">
      <c r="B336" t="s">
        <v>5861</v>
      </c>
      <c r="C336" t="s">
        <v>5862</v>
      </c>
    </row>
    <row r="337" spans="2:3">
      <c r="B337" t="s">
        <v>5863</v>
      </c>
      <c r="C337" t="s">
        <v>5864</v>
      </c>
    </row>
    <row r="338" spans="2:3">
      <c r="B338">
        <v>28818</v>
      </c>
      <c r="C338" t="s">
        <v>5865</v>
      </c>
    </row>
  </sheetData>
  <hyperlinks>
    <hyperlink ref="D1" r:id="rId1" display="arojas@aerofit.com" xr:uid="{00000000-0004-0000-1000-000000000000}"/>
    <hyperlink ref="D3" r:id="rId2" xr:uid="{00000000-0004-0000-1000-000001000000}"/>
    <hyperlink ref="D4" r:id="rId3" xr:uid="{00000000-0004-0000-1000-000002000000}"/>
    <hyperlink ref="D5" r:id="rId4" xr:uid="{00000000-0004-0000-1000-000003000000}"/>
    <hyperlink ref="D6" r:id="rId5" xr:uid="{00000000-0004-0000-1000-000004000000}"/>
    <hyperlink ref="D7" r:id="rId6" xr:uid="{00000000-0004-0000-1000-000005000000}"/>
    <hyperlink ref="E7" r:id="rId7" xr:uid="{00000000-0004-0000-1000-000006000000}"/>
    <hyperlink ref="D9" r:id="rId8" xr:uid="{00000000-0004-0000-1000-000007000000}"/>
    <hyperlink ref="D10" r:id="rId9" xr:uid="{00000000-0004-0000-1000-000008000000}"/>
    <hyperlink ref="D11" r:id="rId10" xr:uid="{00000000-0004-0000-1000-000009000000}"/>
    <hyperlink ref="D14" r:id="rId11" xr:uid="{00000000-0004-0000-1000-00000A000000}"/>
    <hyperlink ref="D15" r:id="rId12" xr:uid="{00000000-0004-0000-1000-00000B000000}"/>
    <hyperlink ref="D16" r:id="rId13" xr:uid="{00000000-0004-0000-1000-00000C000000}"/>
    <hyperlink ref="D17" r:id="rId14" xr:uid="{00000000-0004-0000-1000-00000D000000}"/>
    <hyperlink ref="D19" r:id="rId15" xr:uid="{00000000-0004-0000-1000-00000E000000}"/>
    <hyperlink ref="D21" r:id="rId16" xr:uid="{00000000-0004-0000-1000-00000F000000}"/>
    <hyperlink ref="D22" r:id="rId17" xr:uid="{00000000-0004-0000-1000-000010000000}"/>
    <hyperlink ref="D25" r:id="rId18" xr:uid="{00000000-0004-0000-1000-000011000000}"/>
    <hyperlink ref="D26" r:id="rId19" xr:uid="{00000000-0004-0000-1000-000012000000}"/>
    <hyperlink ref="D27" r:id="rId20" xr:uid="{00000000-0004-0000-1000-000013000000}"/>
    <hyperlink ref="D30" r:id="rId21" xr:uid="{00000000-0004-0000-1000-000014000000}"/>
    <hyperlink ref="D31" r:id="rId22" xr:uid="{00000000-0004-0000-1000-000015000000}"/>
    <hyperlink ref="D33" r:id="rId23" xr:uid="{00000000-0004-0000-1000-000016000000}"/>
    <hyperlink ref="D35" r:id="rId24" xr:uid="{00000000-0004-0000-1000-000017000000}"/>
    <hyperlink ref="D36" r:id="rId25" xr:uid="{00000000-0004-0000-1000-000018000000}"/>
    <hyperlink ref="D38" r:id="rId26" xr:uid="{00000000-0004-0000-1000-000019000000}"/>
    <hyperlink ref="D39" r:id="rId27" xr:uid="{00000000-0004-0000-1000-00001A000000}"/>
    <hyperlink ref="D40" r:id="rId28" xr:uid="{00000000-0004-0000-1000-00001B000000}"/>
    <hyperlink ref="D41" r:id="rId29" xr:uid="{00000000-0004-0000-1000-00001C000000}"/>
    <hyperlink ref="D43" r:id="rId30" xr:uid="{00000000-0004-0000-1000-00001D000000}"/>
    <hyperlink ref="D44" r:id="rId31" xr:uid="{00000000-0004-0000-1000-00001E000000}"/>
    <hyperlink ref="D47" r:id="rId32" xr:uid="{00000000-0004-0000-1000-00001F000000}"/>
    <hyperlink ref="D49" r:id="rId33" xr:uid="{00000000-0004-0000-1000-000020000000}"/>
    <hyperlink ref="E49" r:id="rId34" xr:uid="{00000000-0004-0000-1000-000021000000}"/>
    <hyperlink ref="D52" r:id="rId35" xr:uid="{00000000-0004-0000-1000-000022000000}"/>
    <hyperlink ref="D54" r:id="rId36" xr:uid="{00000000-0004-0000-1000-000023000000}"/>
    <hyperlink ref="D57" r:id="rId37" xr:uid="{00000000-0004-0000-1000-000024000000}"/>
    <hyperlink ref="D58" r:id="rId38" xr:uid="{00000000-0004-0000-1000-000025000000}"/>
    <hyperlink ref="D59" r:id="rId39" xr:uid="{00000000-0004-0000-1000-000026000000}"/>
    <hyperlink ref="D60" r:id="rId40" xr:uid="{00000000-0004-0000-1000-000027000000}"/>
    <hyperlink ref="E60" r:id="rId41" xr:uid="{00000000-0004-0000-1000-000028000000}"/>
    <hyperlink ref="D61" r:id="rId42" xr:uid="{00000000-0004-0000-1000-000029000000}"/>
    <hyperlink ref="D62" r:id="rId43" xr:uid="{00000000-0004-0000-1000-00002A000000}"/>
    <hyperlink ref="D64" r:id="rId44" xr:uid="{00000000-0004-0000-1000-00002B000000}"/>
    <hyperlink ref="D67" r:id="rId45" xr:uid="{00000000-0004-0000-1000-00002C000000}"/>
    <hyperlink ref="D68" r:id="rId46" xr:uid="{00000000-0004-0000-1000-00002D000000}"/>
    <hyperlink ref="D69" r:id="rId47" xr:uid="{00000000-0004-0000-1000-00002E000000}"/>
    <hyperlink ref="D70" r:id="rId48" display="mailto:parts@KTSDI.com" xr:uid="{00000000-0004-0000-1000-00002F000000}"/>
    <hyperlink ref="D73" r:id="rId49" xr:uid="{00000000-0004-0000-1000-000030000000}"/>
    <hyperlink ref="D78" r:id="rId50" xr:uid="{00000000-0004-0000-1000-000031000000}"/>
    <hyperlink ref="D80" r:id="rId51" xr:uid="{00000000-0004-0000-1000-000032000000}"/>
    <hyperlink ref="D84" r:id="rId52" xr:uid="{00000000-0004-0000-1000-000033000000}"/>
    <hyperlink ref="D85" r:id="rId53" xr:uid="{00000000-0004-0000-1000-000034000000}"/>
    <hyperlink ref="D86" r:id="rId54" xr:uid="{00000000-0004-0000-1000-000035000000}"/>
    <hyperlink ref="D87" r:id="rId55" xr:uid="{00000000-0004-0000-1000-000036000000}"/>
    <hyperlink ref="D88" r:id="rId56" xr:uid="{00000000-0004-0000-1000-000037000000}"/>
    <hyperlink ref="D89" r:id="rId57" xr:uid="{00000000-0004-0000-1000-000038000000}"/>
    <hyperlink ref="D90" r:id="rId58" xr:uid="{00000000-0004-0000-1000-000039000000}"/>
    <hyperlink ref="D91" r:id="rId59" xr:uid="{00000000-0004-0000-1000-00003A000000}"/>
    <hyperlink ref="D92" r:id="rId60" xr:uid="{00000000-0004-0000-1000-00003B000000}"/>
    <hyperlink ref="D94" r:id="rId61" xr:uid="{00000000-0004-0000-1000-00003C000000}"/>
    <hyperlink ref="D95" r:id="rId62" xr:uid="{00000000-0004-0000-1000-00003D000000}"/>
    <hyperlink ref="D96" r:id="rId63" xr:uid="{00000000-0004-0000-1000-00003E000000}"/>
    <hyperlink ref="D97" r:id="rId64" xr:uid="{00000000-0004-0000-1000-00003F000000}"/>
    <hyperlink ref="D98" r:id="rId65" xr:uid="{00000000-0004-0000-1000-000040000000}"/>
    <hyperlink ref="D102" r:id="rId66" xr:uid="{00000000-0004-0000-1000-000041000000}"/>
    <hyperlink ref="E103" r:id="rId67" xr:uid="{00000000-0004-0000-1000-000042000000}"/>
    <hyperlink ref="D109" r:id="rId68" xr:uid="{00000000-0004-0000-1000-000043000000}"/>
    <hyperlink ref="D110" r:id="rId69" xr:uid="{00000000-0004-0000-1000-000044000000}"/>
    <hyperlink ref="C111" r:id="rId70" display="sgalla@worldmagnetics.com" xr:uid="{00000000-0004-0000-1000-000045000000}"/>
    <hyperlink ref="D112" r:id="rId71" xr:uid="{00000000-0004-0000-1000-000046000000}"/>
    <hyperlink ref="D115" r:id="rId72" xr:uid="{00000000-0004-0000-1000-000047000000}"/>
    <hyperlink ref="D122" r:id="rId73" xr:uid="{00000000-0004-0000-1000-000048000000}"/>
    <hyperlink ref="D124" r:id="rId74" xr:uid="{00000000-0004-0000-1000-000049000000}"/>
    <hyperlink ref="D126" r:id="rId75" xr:uid="{00000000-0004-0000-1000-00004A000000}"/>
    <hyperlink ref="D128" r:id="rId76" display="mailto:ht.navymail@xyleminc.com" xr:uid="{00000000-0004-0000-1000-00004B000000}"/>
    <hyperlink ref="D131" r:id="rId77" xr:uid="{00000000-0004-0000-1000-00004C000000}"/>
    <hyperlink ref="D135" r:id="rId78" xr:uid="{00000000-0004-0000-1000-00004D000000}"/>
    <hyperlink ref="D138" r:id="rId79" xr:uid="{00000000-0004-0000-1000-00004E000000}"/>
    <hyperlink ref="D143" r:id="rId80" display="mailto:DGeren@indeeco.com" xr:uid="{00000000-0004-0000-1000-00004F000000}"/>
    <hyperlink ref="D147" r:id="rId81" xr:uid="{00000000-0004-0000-1000-000050000000}"/>
    <hyperlink ref="D151" r:id="rId82" xr:uid="{00000000-0004-0000-1000-000051000000}"/>
    <hyperlink ref="E154" r:id="rId83" xr:uid="{00000000-0004-0000-1000-000052000000}"/>
    <hyperlink ref="D157" r:id="rId84" xr:uid="{00000000-0004-0000-1000-000053000000}"/>
    <hyperlink ref="D158" r:id="rId85" xr:uid="{00000000-0004-0000-1000-000054000000}"/>
    <hyperlink ref="D159" r:id="rId86" xr:uid="{00000000-0004-0000-1000-000055000000}"/>
    <hyperlink ref="D161" r:id="rId87" xr:uid="{00000000-0004-0000-1000-000056000000}"/>
    <hyperlink ref="D181" r:id="rId88" xr:uid="{00000000-0004-0000-1000-000057000000}"/>
    <hyperlink ref="D192" r:id="rId89" xr:uid="{00000000-0004-0000-1000-000058000000}"/>
    <hyperlink ref="D193" r:id="rId90" xr:uid="{00000000-0004-0000-1000-000059000000}"/>
    <hyperlink ref="D198" r:id="rId91" xr:uid="{00000000-0004-0000-1000-00005A000000}"/>
    <hyperlink ref="D202" r:id="rId92" xr:uid="{00000000-0004-0000-1000-00005B000000}"/>
    <hyperlink ref="E202" r:id="rId93" xr:uid="{00000000-0004-0000-1000-00005C000000}"/>
    <hyperlink ref="D248" r:id="rId94" xr:uid="{00000000-0004-0000-1000-00005D000000}"/>
  </hyperlinks>
  <pageMargins left="0.7" right="0.7" top="0.75" bottom="0.75" header="0.3" footer="0.3"/>
  <pageSetup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4:B7"/>
  <sheetViews>
    <sheetView workbookViewId="0">
      <selection activeCell="B8" sqref="B8"/>
    </sheetView>
  </sheetViews>
  <sheetFormatPr defaultRowHeight="15"/>
  <cols>
    <col min="2" max="2" width="81.42578125" customWidth="1"/>
  </cols>
  <sheetData>
    <row r="4" spans="2:2" ht="17.25" customHeight="1">
      <c r="B4" s="216" t="s">
        <v>5866</v>
      </c>
    </row>
    <row r="5" spans="2:2" ht="17.25" customHeight="1">
      <c r="B5" s="217" t="s">
        <v>5867</v>
      </c>
    </row>
    <row r="6" spans="2:2" ht="17.25" customHeight="1">
      <c r="B6" s="217" t="s">
        <v>5868</v>
      </c>
    </row>
    <row r="7" spans="2:2" ht="17.25" customHeight="1">
      <c r="B7" s="217" t="s">
        <v>5869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O56"/>
  <sheetViews>
    <sheetView workbookViewId="0">
      <selection activeCell="C13" sqref="C13"/>
    </sheetView>
  </sheetViews>
  <sheetFormatPr defaultRowHeight="15"/>
  <cols>
    <col min="1" max="1" width="13.7109375" bestFit="1" customWidth="1"/>
    <col min="3" max="3" width="31.85546875" customWidth="1"/>
    <col min="4" max="4" width="23.28515625" customWidth="1"/>
    <col min="5" max="5" width="24.85546875" customWidth="1"/>
    <col min="6" max="6" width="11" customWidth="1"/>
    <col min="7" max="7" width="23.5703125" customWidth="1"/>
    <col min="8" max="8" width="18.5703125" customWidth="1"/>
    <col min="9" max="9" width="11.5703125" bestFit="1" customWidth="1"/>
    <col min="10" max="10" width="11.7109375" bestFit="1" customWidth="1"/>
    <col min="11" max="11" width="13" customWidth="1"/>
    <col min="12" max="13" width="11.5703125" bestFit="1" customWidth="1"/>
    <col min="14" max="14" width="13.7109375" customWidth="1"/>
    <col min="15" max="15" width="11.5703125" bestFit="1" customWidth="1"/>
  </cols>
  <sheetData>
    <row r="3" spans="1:8" ht="15.75" customHeight="1">
      <c r="C3" t="s">
        <v>6</v>
      </c>
      <c r="D3" s="161" t="s">
        <v>7</v>
      </c>
      <c r="E3" s="18"/>
      <c r="F3" s="18"/>
      <c r="G3" s="18"/>
    </row>
    <row r="4" spans="1:8">
      <c r="C4" t="s">
        <v>8</v>
      </c>
      <c r="D4">
        <v>4929944</v>
      </c>
      <c r="E4">
        <v>4681</v>
      </c>
    </row>
    <row r="5" spans="1:8" ht="20.25" customHeight="1">
      <c r="C5" t="s">
        <v>9</v>
      </c>
      <c r="D5" t="s">
        <v>10</v>
      </c>
      <c r="H5" s="215" t="s">
        <v>11</v>
      </c>
    </row>
    <row r="6" spans="1:8">
      <c r="C6" t="s">
        <v>12</v>
      </c>
      <c r="D6" s="15" t="s">
        <v>13</v>
      </c>
      <c r="E6" s="15" t="s">
        <v>14</v>
      </c>
      <c r="G6" s="25" t="s">
        <v>15</v>
      </c>
    </row>
    <row r="7" spans="1:8">
      <c r="C7" t="s">
        <v>16</v>
      </c>
      <c r="D7" s="15" t="s">
        <v>17</v>
      </c>
      <c r="E7" s="15" t="s">
        <v>18</v>
      </c>
    </row>
    <row r="8" spans="1:8">
      <c r="D8" s="15"/>
      <c r="E8" s="15"/>
    </row>
    <row r="9" spans="1:8">
      <c r="A9" t="s">
        <v>19</v>
      </c>
      <c r="B9" t="s">
        <v>20</v>
      </c>
      <c r="C9" t="s">
        <v>21</v>
      </c>
      <c r="D9" s="6">
        <v>43046</v>
      </c>
      <c r="E9" s="15" t="s">
        <v>22</v>
      </c>
      <c r="F9" s="25" t="s">
        <v>23</v>
      </c>
      <c r="G9" s="25" t="s">
        <v>24</v>
      </c>
    </row>
    <row r="10" spans="1:8">
      <c r="A10" s="4" t="s">
        <v>25</v>
      </c>
      <c r="B10" s="4"/>
      <c r="C10" s="95" t="s">
        <v>26</v>
      </c>
      <c r="D10" s="4" t="s">
        <v>27</v>
      </c>
    </row>
    <row r="11" spans="1:8">
      <c r="A11" t="s">
        <v>28</v>
      </c>
      <c r="C11" s="10" t="s">
        <v>29</v>
      </c>
      <c r="D11" t="s">
        <v>30</v>
      </c>
      <c r="E11" t="s">
        <v>31</v>
      </c>
    </row>
    <row r="12" spans="1:8" ht="18.75" customHeight="1">
      <c r="C12" t="s">
        <v>32</v>
      </c>
      <c r="D12" s="137" t="s">
        <v>33</v>
      </c>
      <c r="E12" t="s">
        <v>34</v>
      </c>
    </row>
    <row r="13" spans="1:8">
      <c r="A13" t="s">
        <v>35</v>
      </c>
      <c r="B13" t="s">
        <v>36</v>
      </c>
      <c r="C13" t="s">
        <v>37</v>
      </c>
      <c r="D13" s="138" t="s">
        <v>38</v>
      </c>
      <c r="E13" s="10" t="s">
        <v>39</v>
      </c>
    </row>
    <row r="14" spans="1:8">
      <c r="A14" t="s">
        <v>40</v>
      </c>
      <c r="C14" t="s">
        <v>41</v>
      </c>
      <c r="D14" s="138"/>
      <c r="E14" s="10" t="s">
        <v>42</v>
      </c>
    </row>
    <row r="15" spans="1:8">
      <c r="A15" t="s">
        <v>12</v>
      </c>
      <c r="C15" s="10" t="s">
        <v>26</v>
      </c>
      <c r="D15" s="138" t="s">
        <v>43</v>
      </c>
      <c r="E15" t="s">
        <v>44</v>
      </c>
    </row>
    <row r="16" spans="1:8">
      <c r="A16" t="s">
        <v>45</v>
      </c>
      <c r="C16">
        <v>969646592</v>
      </c>
      <c r="D16" s="138">
        <v>8002255345</v>
      </c>
    </row>
    <row r="17" spans="1:15">
      <c r="A17" t="s">
        <v>46</v>
      </c>
      <c r="C17" t="s">
        <v>47</v>
      </c>
    </row>
    <row r="19" spans="1:15">
      <c r="A19" t="s">
        <v>48</v>
      </c>
      <c r="C19" t="s">
        <v>49</v>
      </c>
      <c r="D19" t="s">
        <v>50</v>
      </c>
      <c r="E19" t="s">
        <v>51</v>
      </c>
    </row>
    <row r="20" spans="1:15">
      <c r="A20" t="s">
        <v>52</v>
      </c>
      <c r="C20" t="s">
        <v>53</v>
      </c>
      <c r="D20" t="s">
        <v>43</v>
      </c>
    </row>
    <row r="21" spans="1:15">
      <c r="A21" t="s">
        <v>54</v>
      </c>
      <c r="C21" t="s">
        <v>55</v>
      </c>
      <c r="D21" t="s">
        <v>43</v>
      </c>
      <c r="G21" t="s">
        <v>56</v>
      </c>
    </row>
    <row r="22" spans="1:15">
      <c r="A22" s="7" t="s">
        <v>57</v>
      </c>
      <c r="C22" t="s">
        <v>58</v>
      </c>
      <c r="G22" s="6">
        <v>43251</v>
      </c>
      <c r="H22" s="6">
        <v>43255</v>
      </c>
      <c r="I22" s="6">
        <v>43280</v>
      </c>
      <c r="J22" s="6">
        <v>43314</v>
      </c>
      <c r="K22" s="6">
        <v>43321</v>
      </c>
      <c r="L22" s="6">
        <v>43328</v>
      </c>
      <c r="M22" s="6">
        <v>43335</v>
      </c>
      <c r="N22" s="6">
        <v>43342</v>
      </c>
      <c r="O22" s="6">
        <v>43361</v>
      </c>
    </row>
    <row r="23" spans="1:15">
      <c r="A23" t="s">
        <v>59</v>
      </c>
      <c r="C23" t="s">
        <v>60</v>
      </c>
      <c r="G23" s="1">
        <v>81946.48</v>
      </c>
      <c r="H23" s="1">
        <v>81768.61</v>
      </c>
      <c r="I23" s="1">
        <v>78652</v>
      </c>
      <c r="J23" s="5">
        <v>83027</v>
      </c>
      <c r="K23" s="1">
        <v>85320</v>
      </c>
      <c r="L23" s="1">
        <v>85859</v>
      </c>
      <c r="M23" s="1">
        <v>77535</v>
      </c>
      <c r="N23" s="1">
        <v>79604</v>
      </c>
      <c r="O23" s="1">
        <v>72195</v>
      </c>
    </row>
    <row r="24" spans="1:15">
      <c r="A24" t="s">
        <v>61</v>
      </c>
      <c r="I24" s="11">
        <f>G23-I23</f>
        <v>3294.4799999999959</v>
      </c>
      <c r="M24" s="11">
        <f>+L23-M23</f>
        <v>8324</v>
      </c>
      <c r="N24" s="11"/>
    </row>
    <row r="25" spans="1:15">
      <c r="A25" t="s">
        <v>62</v>
      </c>
      <c r="G25" s="6">
        <v>43375</v>
      </c>
      <c r="H25" s="1">
        <v>76437</v>
      </c>
      <c r="I25" s="6">
        <v>43381</v>
      </c>
      <c r="J25" s="1">
        <v>71000</v>
      </c>
    </row>
    <row r="26" spans="1:15">
      <c r="A26" t="s">
        <v>63</v>
      </c>
      <c r="G26" s="6">
        <v>43397</v>
      </c>
      <c r="H26" s="1">
        <v>63831</v>
      </c>
    </row>
    <row r="27" spans="1:15">
      <c r="A27" t="s">
        <v>64</v>
      </c>
      <c r="G27" s="6">
        <v>43399</v>
      </c>
      <c r="H27" s="1">
        <v>64122</v>
      </c>
    </row>
    <row r="28" spans="1:15">
      <c r="A28" t="s">
        <v>65</v>
      </c>
      <c r="G28" s="6">
        <v>43402</v>
      </c>
      <c r="H28" s="1">
        <v>64683</v>
      </c>
    </row>
    <row r="29" spans="1:15">
      <c r="C29" t="s">
        <v>66</v>
      </c>
      <c r="G29" t="s">
        <v>67</v>
      </c>
      <c r="H29" s="1">
        <v>65419</v>
      </c>
    </row>
    <row r="30" spans="1:15">
      <c r="C30" t="s">
        <v>68</v>
      </c>
      <c r="G30" s="6">
        <v>43405</v>
      </c>
      <c r="H30" s="1">
        <v>65552</v>
      </c>
    </row>
    <row r="31" spans="1:15">
      <c r="A31" t="s">
        <v>69</v>
      </c>
      <c r="C31" t="s">
        <v>70</v>
      </c>
      <c r="H31" s="1">
        <v>65862</v>
      </c>
    </row>
    <row r="32" spans="1:15">
      <c r="G32" s="6">
        <v>43413</v>
      </c>
      <c r="H32" s="1">
        <v>66159</v>
      </c>
    </row>
    <row r="33" spans="1:8" ht="16.5" customHeight="1">
      <c r="A33" t="s">
        <v>71</v>
      </c>
      <c r="C33" s="147" t="s">
        <v>72</v>
      </c>
      <c r="G33" s="6">
        <v>43418</v>
      </c>
      <c r="H33" s="1">
        <v>66553</v>
      </c>
    </row>
    <row r="34" spans="1:8">
      <c r="E34" t="s">
        <v>43</v>
      </c>
      <c r="G34" s="6">
        <v>43419</v>
      </c>
      <c r="H34" s="1">
        <v>67655</v>
      </c>
    </row>
    <row r="35" spans="1:8">
      <c r="A35" t="s">
        <v>73</v>
      </c>
      <c r="C35" s="10" t="s">
        <v>74</v>
      </c>
      <c r="D35" t="s">
        <v>75</v>
      </c>
      <c r="G35" s="6">
        <v>43425</v>
      </c>
      <c r="H35" s="1">
        <v>62000</v>
      </c>
    </row>
    <row r="36" spans="1:8">
      <c r="A36" t="s">
        <v>76</v>
      </c>
      <c r="C36" t="s">
        <v>77</v>
      </c>
      <c r="G36" s="6">
        <v>43432</v>
      </c>
      <c r="H36" s="1">
        <v>68942</v>
      </c>
    </row>
    <row r="37" spans="1:8">
      <c r="A37" t="s">
        <v>78</v>
      </c>
      <c r="C37" t="s">
        <v>79</v>
      </c>
      <c r="G37" s="6">
        <v>43434</v>
      </c>
      <c r="H37" s="1">
        <v>68588</v>
      </c>
    </row>
    <row r="38" spans="1:8">
      <c r="G38" s="6">
        <v>43441</v>
      </c>
      <c r="H38" s="1">
        <v>59720</v>
      </c>
    </row>
    <row r="39" spans="1:8">
      <c r="A39" t="s">
        <v>80</v>
      </c>
      <c r="C39" s="10" t="s">
        <v>26</v>
      </c>
      <c r="D39" t="s">
        <v>43</v>
      </c>
      <c r="G39" s="6">
        <v>43460</v>
      </c>
      <c r="H39" s="1"/>
    </row>
    <row r="40" spans="1:8">
      <c r="G40" s="6">
        <v>43462</v>
      </c>
      <c r="H40" s="1">
        <v>52458</v>
      </c>
    </row>
    <row r="41" spans="1:8">
      <c r="A41" t="s">
        <v>45</v>
      </c>
      <c r="C41" t="s">
        <v>81</v>
      </c>
      <c r="G41" s="6">
        <v>43473</v>
      </c>
      <c r="H41" s="1">
        <v>48371</v>
      </c>
    </row>
    <row r="42" spans="1:8">
      <c r="A42" t="s">
        <v>82</v>
      </c>
      <c r="C42" t="s">
        <v>83</v>
      </c>
      <c r="D42" t="s">
        <v>43</v>
      </c>
      <c r="G42" s="6">
        <v>43496</v>
      </c>
      <c r="H42" s="1">
        <v>50684</v>
      </c>
    </row>
    <row r="43" spans="1:8">
      <c r="G43" s="6">
        <v>43497</v>
      </c>
      <c r="H43" s="1">
        <v>54645</v>
      </c>
    </row>
    <row r="44" spans="1:8">
      <c r="E44" s="162" t="s">
        <v>84</v>
      </c>
      <c r="G44" s="6">
        <v>43509</v>
      </c>
      <c r="H44" s="1">
        <v>52575</v>
      </c>
    </row>
    <row r="45" spans="1:8" ht="19.5" customHeight="1">
      <c r="A45" t="s">
        <v>85</v>
      </c>
      <c r="C45" t="s">
        <v>86</v>
      </c>
      <c r="E45" s="163" t="s">
        <v>87</v>
      </c>
    </row>
    <row r="46" spans="1:8">
      <c r="C46" t="s">
        <v>88</v>
      </c>
      <c r="E46" s="163" t="s">
        <v>89</v>
      </c>
    </row>
    <row r="47" spans="1:8">
      <c r="A47" t="s">
        <v>90</v>
      </c>
      <c r="B47">
        <v>8966</v>
      </c>
      <c r="E47" s="163" t="s">
        <v>91</v>
      </c>
    </row>
    <row r="48" spans="1:8">
      <c r="A48" t="s">
        <v>92</v>
      </c>
      <c r="C48" t="s">
        <v>43</v>
      </c>
      <c r="E48" s="163" t="s">
        <v>93</v>
      </c>
    </row>
    <row r="50" spans="1:5">
      <c r="A50" t="s">
        <v>94</v>
      </c>
      <c r="C50" t="s">
        <v>95</v>
      </c>
    </row>
    <row r="51" spans="1:5">
      <c r="A51" t="s">
        <v>96</v>
      </c>
      <c r="C51" s="10" t="s">
        <v>26</v>
      </c>
    </row>
    <row r="53" spans="1:5">
      <c r="A53" t="s">
        <v>97</v>
      </c>
      <c r="C53" t="s">
        <v>98</v>
      </c>
    </row>
    <row r="55" spans="1:5">
      <c r="A55" t="s">
        <v>99</v>
      </c>
      <c r="C55" t="s">
        <v>100</v>
      </c>
      <c r="D55" t="s">
        <v>18</v>
      </c>
    </row>
    <row r="56" spans="1:5">
      <c r="A56" t="s">
        <v>101</v>
      </c>
      <c r="C56" t="s">
        <v>102</v>
      </c>
      <c r="D56" t="s">
        <v>103</v>
      </c>
      <c r="E56" s="6">
        <v>43531</v>
      </c>
    </row>
  </sheetData>
  <hyperlinks>
    <hyperlink ref="C10" r:id="rId1" xr:uid="{00000000-0004-0000-0100-000000000000}"/>
    <hyperlink ref="E13" r:id="rId2" xr:uid="{00000000-0004-0000-0100-000001000000}"/>
    <hyperlink ref="C15" r:id="rId3" xr:uid="{00000000-0004-0000-0100-000002000000}"/>
    <hyperlink ref="C35" r:id="rId4" xr:uid="{00000000-0004-0000-0100-000003000000}"/>
    <hyperlink ref="C39" r:id="rId5" xr:uid="{00000000-0004-0000-0100-000004000000}"/>
    <hyperlink ref="C51" r:id="rId6" xr:uid="{00000000-0004-0000-0100-000005000000}"/>
  </hyperlink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948"/>
  <sheetViews>
    <sheetView tabSelected="1" topLeftCell="A922" zoomScale="80" zoomScaleNormal="80" workbookViewId="0">
      <selection activeCell="M951" sqref="M951"/>
    </sheetView>
  </sheetViews>
  <sheetFormatPr defaultRowHeight="15"/>
  <cols>
    <col min="1" max="1" width="7.5703125" customWidth="1"/>
    <col min="2" max="2" width="18.140625" customWidth="1"/>
    <col min="3" max="3" width="4" hidden="1" customWidth="1"/>
    <col min="4" max="4" width="18.5703125" style="219" customWidth="1"/>
    <col min="5" max="5" width="5.7109375" customWidth="1"/>
    <col min="6" max="6" width="19.85546875" customWidth="1"/>
    <col min="7" max="7" width="11.85546875" customWidth="1"/>
    <col min="8" max="8" width="12.140625" customWidth="1"/>
    <col min="9" max="9" width="9.42578125" customWidth="1"/>
    <col min="10" max="10" width="5.7109375" customWidth="1"/>
    <col min="11" max="11" width="14.7109375" bestFit="1" customWidth="1"/>
    <col min="12" max="12" width="15.140625" customWidth="1"/>
    <col min="13" max="13" width="14.28515625" customWidth="1"/>
    <col min="14" max="14" width="16.140625" customWidth="1"/>
    <col min="15" max="15" width="15.28515625" customWidth="1"/>
    <col min="16" max="16" width="11.140625" customWidth="1"/>
    <col min="17" max="17" width="20.42578125" customWidth="1"/>
    <col min="18" max="18" width="10.42578125" customWidth="1"/>
    <col min="19" max="19" width="32.85546875" customWidth="1"/>
  </cols>
  <sheetData>
    <row r="1" spans="1:20" hidden="1">
      <c r="A1" s="7" t="s">
        <v>104</v>
      </c>
      <c r="B1" s="7" t="s">
        <v>105</v>
      </c>
      <c r="C1" s="7" t="s">
        <v>104</v>
      </c>
      <c r="D1" s="220"/>
      <c r="E1" s="7" t="s">
        <v>106</v>
      </c>
      <c r="F1" s="7" t="s">
        <v>107</v>
      </c>
      <c r="G1" s="7" t="s">
        <v>108</v>
      </c>
      <c r="H1" s="7" t="s">
        <v>109</v>
      </c>
      <c r="I1" s="7" t="s">
        <v>110</v>
      </c>
      <c r="J1" s="7" t="s">
        <v>111</v>
      </c>
      <c r="K1" s="7" t="s">
        <v>112</v>
      </c>
      <c r="L1" s="7" t="s">
        <v>113</v>
      </c>
      <c r="M1" s="7" t="s">
        <v>114</v>
      </c>
      <c r="N1" s="7" t="s">
        <v>115</v>
      </c>
      <c r="Q1" s="7"/>
      <c r="R1" s="7"/>
      <c r="S1" s="7"/>
      <c r="T1" s="7"/>
    </row>
    <row r="2" spans="1:20" hidden="1">
      <c r="A2">
        <v>1</v>
      </c>
      <c r="B2" t="s">
        <v>116</v>
      </c>
      <c r="C2">
        <v>1</v>
      </c>
      <c r="E2">
        <v>7</v>
      </c>
      <c r="F2" s="73" t="s">
        <v>117</v>
      </c>
      <c r="G2" s="6">
        <v>42585</v>
      </c>
      <c r="H2" s="6"/>
      <c r="I2" s="6"/>
      <c r="J2" s="6"/>
      <c r="K2" s="61">
        <v>29253.21</v>
      </c>
      <c r="L2" s="1">
        <v>29225</v>
      </c>
      <c r="M2" s="1">
        <f t="shared" ref="M2:M10" si="0">K2-L2</f>
        <v>28.209999999999127</v>
      </c>
      <c r="N2" s="5">
        <v>29.82</v>
      </c>
      <c r="O2" s="11">
        <f t="shared" ref="O2:O19" si="1">M2-N2</f>
        <v>-1.6100000000008734</v>
      </c>
    </row>
    <row r="3" spans="1:20" hidden="1">
      <c r="A3">
        <v>2</v>
      </c>
      <c r="C3">
        <v>2</v>
      </c>
      <c r="E3">
        <v>19</v>
      </c>
      <c r="F3" s="73" t="s">
        <v>118</v>
      </c>
      <c r="G3" s="6">
        <v>42619</v>
      </c>
      <c r="H3" s="6"/>
      <c r="I3" s="6"/>
      <c r="J3" s="6"/>
      <c r="K3" s="63">
        <v>59722.89</v>
      </c>
      <c r="L3" s="5">
        <v>59299.87</v>
      </c>
      <c r="M3" s="1">
        <f t="shared" si="0"/>
        <v>423.0199999999968</v>
      </c>
      <c r="N3">
        <v>13.58</v>
      </c>
      <c r="O3" s="11">
        <f t="shared" si="1"/>
        <v>409.43999999999681</v>
      </c>
      <c r="P3" s="24">
        <f t="shared" ref="P3:P10" si="2">(K3/L3)-1</f>
        <v>7.1335738172781937E-3</v>
      </c>
    </row>
    <row r="4" spans="1:20" hidden="1">
      <c r="A4">
        <v>3</v>
      </c>
      <c r="B4" t="s">
        <v>119</v>
      </c>
      <c r="C4">
        <v>3</v>
      </c>
      <c r="E4">
        <v>4</v>
      </c>
      <c r="F4" s="73" t="s">
        <v>117</v>
      </c>
      <c r="G4" s="6">
        <v>42646</v>
      </c>
      <c r="H4" s="6"/>
      <c r="I4" s="6"/>
      <c r="J4" s="6"/>
      <c r="K4" s="61">
        <v>16952</v>
      </c>
      <c r="L4" s="1">
        <v>16700</v>
      </c>
      <c r="M4" s="1">
        <f t="shared" si="0"/>
        <v>252</v>
      </c>
      <c r="N4" s="1">
        <v>29.82</v>
      </c>
      <c r="O4" s="11">
        <f t="shared" si="1"/>
        <v>222.18</v>
      </c>
      <c r="P4" s="24">
        <f t="shared" si="2"/>
        <v>1.5089820359281525E-2</v>
      </c>
    </row>
    <row r="5" spans="1:20" hidden="1">
      <c r="A5">
        <v>4</v>
      </c>
      <c r="C5">
        <v>4</v>
      </c>
      <c r="E5">
        <v>25</v>
      </c>
      <c r="F5" s="73" t="s">
        <v>120</v>
      </c>
      <c r="G5" s="6">
        <v>42656</v>
      </c>
      <c r="H5" s="6"/>
      <c r="I5" s="6"/>
      <c r="J5" s="6"/>
      <c r="K5" s="63">
        <v>4019.25</v>
      </c>
      <c r="L5" s="1">
        <v>3950</v>
      </c>
      <c r="M5" s="1">
        <f t="shared" si="0"/>
        <v>69.25</v>
      </c>
      <c r="N5">
        <v>13</v>
      </c>
      <c r="O5" s="11">
        <f t="shared" si="1"/>
        <v>56.25</v>
      </c>
      <c r="P5" s="24">
        <f t="shared" si="2"/>
        <v>1.7531645569620169E-2</v>
      </c>
    </row>
    <row r="6" spans="1:20" hidden="1">
      <c r="A6">
        <v>5</v>
      </c>
      <c r="C6">
        <v>5</v>
      </c>
      <c r="E6">
        <v>41</v>
      </c>
      <c r="F6" s="73" t="s">
        <v>121</v>
      </c>
      <c r="G6" s="6">
        <v>42654</v>
      </c>
      <c r="H6" s="6"/>
      <c r="I6" s="6"/>
      <c r="J6" s="6"/>
      <c r="K6" s="63">
        <v>15748.51</v>
      </c>
      <c r="L6" s="1">
        <v>15251.52</v>
      </c>
      <c r="M6" s="1">
        <f t="shared" si="0"/>
        <v>496.98999999999978</v>
      </c>
      <c r="N6">
        <f>152.8+19.11</f>
        <v>171.91000000000003</v>
      </c>
      <c r="O6" s="11">
        <f t="shared" si="1"/>
        <v>325.07999999999976</v>
      </c>
      <c r="P6" s="24">
        <f t="shared" si="2"/>
        <v>3.258626025471556E-2</v>
      </c>
    </row>
    <row r="7" spans="1:20" hidden="1">
      <c r="A7">
        <v>6</v>
      </c>
      <c r="B7" t="s">
        <v>122</v>
      </c>
      <c r="C7">
        <v>6</v>
      </c>
      <c r="F7" s="73" t="s">
        <v>123</v>
      </c>
      <c r="G7" s="6">
        <v>42664</v>
      </c>
      <c r="H7" s="6"/>
      <c r="K7" s="63">
        <v>4547.3599999999997</v>
      </c>
      <c r="L7" s="1">
        <v>4479.2</v>
      </c>
      <c r="M7" s="1">
        <f t="shared" si="0"/>
        <v>68.159999999999854</v>
      </c>
      <c r="N7">
        <v>14.25</v>
      </c>
      <c r="O7" s="11">
        <f t="shared" si="1"/>
        <v>53.909999999999854</v>
      </c>
      <c r="P7" s="24">
        <f t="shared" si="2"/>
        <v>1.5217003036256394E-2</v>
      </c>
    </row>
    <row r="8" spans="1:20" hidden="1">
      <c r="C8">
        <v>7</v>
      </c>
      <c r="E8">
        <v>4</v>
      </c>
      <c r="F8" s="73" t="s">
        <v>124</v>
      </c>
      <c r="G8" s="6">
        <v>42684</v>
      </c>
      <c r="H8" s="6"/>
      <c r="I8" s="6"/>
      <c r="J8" s="6"/>
      <c r="K8" s="63">
        <v>8595.08</v>
      </c>
      <c r="L8" s="1">
        <v>8144</v>
      </c>
      <c r="M8" s="1">
        <f t="shared" si="0"/>
        <v>451.07999999999993</v>
      </c>
      <c r="N8">
        <v>0</v>
      </c>
      <c r="O8" s="11">
        <f t="shared" si="1"/>
        <v>451.07999999999993</v>
      </c>
      <c r="P8" s="24">
        <f t="shared" si="2"/>
        <v>5.5388015717092287E-2</v>
      </c>
    </row>
    <row r="9" spans="1:20" hidden="1">
      <c r="C9">
        <v>8</v>
      </c>
      <c r="E9">
        <v>100</v>
      </c>
      <c r="F9" s="73" t="s">
        <v>125</v>
      </c>
      <c r="G9" s="6">
        <v>42704</v>
      </c>
      <c r="H9" s="6"/>
      <c r="I9" s="6"/>
      <c r="J9" s="6"/>
      <c r="K9" s="63">
        <v>4337</v>
      </c>
      <c r="L9" s="1">
        <v>4239</v>
      </c>
      <c r="M9" s="1">
        <f t="shared" si="0"/>
        <v>98</v>
      </c>
      <c r="O9" s="11">
        <f t="shared" si="1"/>
        <v>98</v>
      </c>
      <c r="P9" s="24">
        <f t="shared" si="2"/>
        <v>2.3118660061335117E-2</v>
      </c>
    </row>
    <row r="10" spans="1:20" hidden="1">
      <c r="C10">
        <v>9</v>
      </c>
      <c r="E10">
        <v>388</v>
      </c>
      <c r="F10" s="73" t="s">
        <v>126</v>
      </c>
      <c r="G10" s="6">
        <v>42711</v>
      </c>
      <c r="H10" s="6"/>
      <c r="I10" s="6"/>
      <c r="J10" s="6"/>
      <c r="K10" s="63">
        <v>5505.72</v>
      </c>
      <c r="L10" s="1">
        <v>5432</v>
      </c>
      <c r="M10" s="1">
        <f t="shared" si="0"/>
        <v>73.720000000000255</v>
      </c>
      <c r="N10">
        <v>71.150000000000006</v>
      </c>
      <c r="O10" s="11">
        <f t="shared" si="1"/>
        <v>2.570000000000249</v>
      </c>
      <c r="P10" s="24">
        <f t="shared" si="2"/>
        <v>1.3571428571428568E-2</v>
      </c>
    </row>
    <row r="11" spans="1:20" hidden="1">
      <c r="C11">
        <v>10</v>
      </c>
      <c r="E11">
        <v>13</v>
      </c>
      <c r="F11" s="74" t="s">
        <v>118</v>
      </c>
      <c r="G11" s="6">
        <v>42720</v>
      </c>
      <c r="H11" s="6"/>
      <c r="K11" s="9">
        <v>0</v>
      </c>
      <c r="L11" s="11">
        <v>0</v>
      </c>
      <c r="M11" s="1">
        <v>0</v>
      </c>
      <c r="N11">
        <v>0</v>
      </c>
      <c r="O11" s="11">
        <f t="shared" si="1"/>
        <v>0</v>
      </c>
    </row>
    <row r="12" spans="1:20" hidden="1">
      <c r="C12">
        <v>11</v>
      </c>
      <c r="E12">
        <v>100</v>
      </c>
      <c r="F12" s="73" t="s">
        <v>127</v>
      </c>
      <c r="G12" s="6">
        <v>42727</v>
      </c>
      <c r="H12" s="6" t="s">
        <v>128</v>
      </c>
      <c r="K12" s="62">
        <v>2117</v>
      </c>
      <c r="L12" s="11">
        <v>2021.8</v>
      </c>
      <c r="M12" s="1">
        <f>K12-L12</f>
        <v>95.200000000000045</v>
      </c>
      <c r="N12">
        <v>28.06</v>
      </c>
      <c r="O12" s="11">
        <f t="shared" si="1"/>
        <v>67.140000000000043</v>
      </c>
      <c r="P12" s="24">
        <f t="shared" ref="P12:P38" si="3">(K12/L12)-1</f>
        <v>4.7086754377287487E-2</v>
      </c>
    </row>
    <row r="13" spans="1:20" hidden="1">
      <c r="C13">
        <v>12</v>
      </c>
      <c r="E13">
        <v>6</v>
      </c>
      <c r="F13" s="73" t="s">
        <v>129</v>
      </c>
      <c r="G13" s="6">
        <v>42734</v>
      </c>
      <c r="H13" t="s">
        <v>130</v>
      </c>
      <c r="K13" s="63">
        <v>5532.66</v>
      </c>
      <c r="L13" s="110">
        <v>5445.26</v>
      </c>
      <c r="M13" s="1">
        <f>K13-L13</f>
        <v>87.399999999999636</v>
      </c>
      <c r="O13" s="11">
        <f t="shared" si="1"/>
        <v>87.399999999999636</v>
      </c>
      <c r="P13" s="24">
        <f t="shared" si="3"/>
        <v>1.6050656901598792E-2</v>
      </c>
    </row>
    <row r="14" spans="1:20" hidden="1">
      <c r="C14">
        <v>13</v>
      </c>
      <c r="E14">
        <v>26</v>
      </c>
      <c r="F14" s="73" t="s">
        <v>131</v>
      </c>
      <c r="G14" s="6">
        <v>42734</v>
      </c>
      <c r="H14" t="s">
        <v>132</v>
      </c>
      <c r="K14" s="63">
        <v>1270.6199999999999</v>
      </c>
      <c r="L14" s="11">
        <v>1225.9000000000001</v>
      </c>
      <c r="M14" s="1">
        <f>K14-L14</f>
        <v>44.7199999999998</v>
      </c>
      <c r="N14">
        <v>22.91</v>
      </c>
      <c r="O14" s="11">
        <f t="shared" si="1"/>
        <v>21.8099999999998</v>
      </c>
      <c r="P14" s="24">
        <f t="shared" si="3"/>
        <v>3.6479321314952129E-2</v>
      </c>
    </row>
    <row r="15" spans="1:20" hidden="1">
      <c r="F15" s="73"/>
      <c r="G15" s="6"/>
      <c r="K15" s="26">
        <f>SUM(K2:K14)</f>
        <v>157601.29999999999</v>
      </c>
      <c r="L15" s="26">
        <f>SUM(L2:L14)</f>
        <v>155413.54999999999</v>
      </c>
      <c r="M15" s="5">
        <f>SUM(M2:M14)</f>
        <v>2187.749999999995</v>
      </c>
      <c r="N15" s="11">
        <f>SUM(N2:N14)</f>
        <v>394.5</v>
      </c>
      <c r="O15" s="11">
        <f t="shared" si="1"/>
        <v>1793.249999999995</v>
      </c>
      <c r="P15" s="24">
        <f t="shared" si="3"/>
        <v>1.4076957897171782E-2</v>
      </c>
    </row>
    <row r="16" spans="1:20" hidden="1">
      <c r="C16">
        <v>14</v>
      </c>
      <c r="E16">
        <v>2</v>
      </c>
      <c r="F16" s="73" t="s">
        <v>133</v>
      </c>
      <c r="G16" s="6">
        <v>42744</v>
      </c>
      <c r="H16" t="s">
        <v>134</v>
      </c>
      <c r="K16" s="63">
        <v>7555.12</v>
      </c>
      <c r="L16" s="11">
        <v>6329.83</v>
      </c>
      <c r="M16" s="1">
        <f>K16-L16</f>
        <v>1225.29</v>
      </c>
      <c r="N16">
        <v>130</v>
      </c>
      <c r="O16" s="11">
        <f t="shared" si="1"/>
        <v>1095.29</v>
      </c>
      <c r="P16" s="24">
        <f t="shared" si="3"/>
        <v>0.1935739190467991</v>
      </c>
    </row>
    <row r="17" spans="2:16" hidden="1">
      <c r="C17">
        <v>15</v>
      </c>
      <c r="E17">
        <v>77</v>
      </c>
      <c r="F17" s="73" t="s">
        <v>135</v>
      </c>
      <c r="G17" s="6">
        <v>42760</v>
      </c>
      <c r="H17">
        <v>30</v>
      </c>
      <c r="K17" s="63">
        <v>6678.21</v>
      </c>
      <c r="L17" s="11">
        <v>6615.07</v>
      </c>
      <c r="M17" s="1">
        <f>K17-L17</f>
        <v>63.140000000000327</v>
      </c>
      <c r="N17">
        <v>21.66</v>
      </c>
      <c r="O17" s="11">
        <f t="shared" si="1"/>
        <v>41.480000000000331</v>
      </c>
      <c r="P17" s="24">
        <f t="shared" si="3"/>
        <v>9.5448725410314239E-3</v>
      </c>
    </row>
    <row r="18" spans="2:16" hidden="1">
      <c r="C18">
        <v>16</v>
      </c>
      <c r="E18">
        <v>14</v>
      </c>
      <c r="F18" s="73" t="s">
        <v>129</v>
      </c>
      <c r="G18" s="6">
        <v>42768</v>
      </c>
      <c r="H18">
        <v>100</v>
      </c>
      <c r="K18" s="63">
        <v>12808.18</v>
      </c>
      <c r="L18" s="115">
        <v>12696.82</v>
      </c>
      <c r="M18" s="1">
        <f>K18-L18</f>
        <v>111.36000000000058</v>
      </c>
      <c r="N18">
        <v>26.72</v>
      </c>
      <c r="O18" s="11">
        <f t="shared" si="1"/>
        <v>84.640000000000583</v>
      </c>
      <c r="P18" s="24">
        <f t="shared" si="3"/>
        <v>8.7707000650556477E-3</v>
      </c>
    </row>
    <row r="19" spans="2:16" hidden="1">
      <c r="B19" t="s">
        <v>136</v>
      </c>
      <c r="C19">
        <v>17</v>
      </c>
      <c r="E19">
        <v>2</v>
      </c>
      <c r="F19" s="73" t="s">
        <v>137</v>
      </c>
      <c r="G19" s="6">
        <v>42778</v>
      </c>
      <c r="H19">
        <v>40</v>
      </c>
      <c r="K19" s="61">
        <v>2286</v>
      </c>
      <c r="L19" s="11">
        <v>2200</v>
      </c>
      <c r="M19" s="1">
        <f>K19-L19</f>
        <v>86</v>
      </c>
      <c r="N19" s="1">
        <v>34.479999999999997</v>
      </c>
      <c r="O19" s="11">
        <f t="shared" si="1"/>
        <v>51.52</v>
      </c>
      <c r="P19" s="24">
        <f t="shared" si="3"/>
        <v>3.9090909090909065E-2</v>
      </c>
    </row>
    <row r="20" spans="2:16" hidden="1">
      <c r="F20" s="72"/>
      <c r="G20" s="6"/>
      <c r="K20" s="65">
        <f>SUM(K16:K19)</f>
        <v>29327.510000000002</v>
      </c>
      <c r="L20" s="11">
        <f>SUM(L16:L19)</f>
        <v>27841.72</v>
      </c>
      <c r="M20" s="5">
        <f>SUM(M16:M19)</f>
        <v>1485.7900000000009</v>
      </c>
      <c r="N20" s="1"/>
      <c r="O20" s="11"/>
      <c r="P20" s="24">
        <f t="shared" si="3"/>
        <v>5.3365596665723158E-2</v>
      </c>
    </row>
    <row r="21" spans="2:16" hidden="1">
      <c r="B21" t="s">
        <v>138</v>
      </c>
      <c r="C21">
        <v>18</v>
      </c>
      <c r="E21">
        <v>1</v>
      </c>
      <c r="F21" s="73" t="s">
        <v>139</v>
      </c>
      <c r="G21" s="6">
        <v>42797</v>
      </c>
      <c r="H21">
        <v>100</v>
      </c>
      <c r="K21" s="63">
        <v>13033.44</v>
      </c>
      <c r="L21" s="11">
        <v>12668</v>
      </c>
      <c r="M21" s="1">
        <f t="shared" ref="M21:M28" si="4">K21-L21</f>
        <v>365.44000000000051</v>
      </c>
      <c r="N21">
        <v>52.49</v>
      </c>
      <c r="O21" s="11">
        <f t="shared" ref="O21:O37" si="5">M21-N21</f>
        <v>312.9500000000005</v>
      </c>
      <c r="P21" s="24">
        <f t="shared" si="3"/>
        <v>2.8847489737922283E-2</v>
      </c>
    </row>
    <row r="22" spans="2:16" hidden="1">
      <c r="B22" t="s">
        <v>140</v>
      </c>
      <c r="C22">
        <v>19</v>
      </c>
      <c r="E22">
        <v>8</v>
      </c>
      <c r="F22" s="73" t="s">
        <v>129</v>
      </c>
      <c r="G22" s="6">
        <v>42798</v>
      </c>
      <c r="H22">
        <v>60</v>
      </c>
      <c r="K22" s="63">
        <v>2834.32</v>
      </c>
      <c r="L22" s="110">
        <v>2766</v>
      </c>
      <c r="M22" s="1">
        <f t="shared" si="4"/>
        <v>68.320000000000164</v>
      </c>
      <c r="N22">
        <v>52.49</v>
      </c>
      <c r="O22" s="11">
        <f t="shared" si="5"/>
        <v>15.830000000000162</v>
      </c>
      <c r="P22" s="24">
        <f t="shared" si="3"/>
        <v>2.469992769342011E-2</v>
      </c>
    </row>
    <row r="23" spans="2:16" hidden="1">
      <c r="B23" t="s">
        <v>141</v>
      </c>
      <c r="C23">
        <v>20</v>
      </c>
      <c r="E23">
        <v>16</v>
      </c>
      <c r="F23" s="73" t="s">
        <v>142</v>
      </c>
      <c r="G23" s="6">
        <v>42801</v>
      </c>
      <c r="H23">
        <v>190</v>
      </c>
      <c r="I23" t="s">
        <v>143</v>
      </c>
      <c r="K23" s="63">
        <v>17787.68</v>
      </c>
      <c r="L23" s="11">
        <v>17594</v>
      </c>
      <c r="M23" s="1">
        <f t="shared" si="4"/>
        <v>193.68000000000029</v>
      </c>
      <c r="N23">
        <v>11.87</v>
      </c>
      <c r="O23" s="11">
        <f t="shared" si="5"/>
        <v>181.81000000000029</v>
      </c>
      <c r="P23" s="24">
        <f t="shared" si="3"/>
        <v>1.1008298283505802E-2</v>
      </c>
    </row>
    <row r="24" spans="2:16" hidden="1">
      <c r="B24" t="s">
        <v>144</v>
      </c>
      <c r="C24">
        <v>21</v>
      </c>
      <c r="E24">
        <v>6</v>
      </c>
      <c r="F24" s="73" t="s">
        <v>129</v>
      </c>
      <c r="G24" s="6">
        <v>42801</v>
      </c>
      <c r="H24">
        <v>120</v>
      </c>
      <c r="I24" t="s">
        <v>145</v>
      </c>
      <c r="K24" s="63">
        <v>4300.68</v>
      </c>
      <c r="L24" s="115">
        <v>4242.5</v>
      </c>
      <c r="M24" s="1">
        <f t="shared" si="4"/>
        <v>58.180000000000291</v>
      </c>
      <c r="N24">
        <f>13.76</f>
        <v>13.76</v>
      </c>
      <c r="O24" s="11">
        <f t="shared" si="5"/>
        <v>44.420000000000293</v>
      </c>
      <c r="P24" s="24">
        <f t="shared" si="3"/>
        <v>1.3713612256924135E-2</v>
      </c>
    </row>
    <row r="25" spans="2:16" hidden="1">
      <c r="B25" t="s">
        <v>146</v>
      </c>
      <c r="C25">
        <v>22</v>
      </c>
      <c r="E25">
        <v>4</v>
      </c>
      <c r="F25" s="73" t="s">
        <v>147</v>
      </c>
      <c r="G25" s="6">
        <v>42803</v>
      </c>
      <c r="H25">
        <v>90</v>
      </c>
      <c r="I25" t="s">
        <v>148</v>
      </c>
      <c r="K25" s="61">
        <v>9393.56</v>
      </c>
      <c r="L25" s="11">
        <v>9268</v>
      </c>
      <c r="M25" s="1">
        <f t="shared" si="4"/>
        <v>125.55999999999949</v>
      </c>
      <c r="N25" s="1">
        <v>10.55</v>
      </c>
      <c r="O25" s="11">
        <f t="shared" si="5"/>
        <v>115.00999999999949</v>
      </c>
      <c r="P25" s="24">
        <f t="shared" si="3"/>
        <v>1.3547690979715199E-2</v>
      </c>
    </row>
    <row r="26" spans="2:16" hidden="1">
      <c r="B26" t="s">
        <v>149</v>
      </c>
      <c r="C26">
        <v>23</v>
      </c>
      <c r="E26">
        <v>3</v>
      </c>
      <c r="F26" s="73" t="s">
        <v>150</v>
      </c>
      <c r="G26" s="6">
        <v>42814</v>
      </c>
      <c r="H26">
        <v>90</v>
      </c>
      <c r="I26" t="s">
        <v>151</v>
      </c>
      <c r="K26" s="62">
        <v>813</v>
      </c>
      <c r="L26" s="11">
        <v>792</v>
      </c>
      <c r="M26" s="11">
        <f t="shared" si="4"/>
        <v>21</v>
      </c>
      <c r="N26">
        <v>11.43</v>
      </c>
      <c r="O26" s="11">
        <f t="shared" si="5"/>
        <v>9.57</v>
      </c>
      <c r="P26" s="24">
        <f t="shared" si="3"/>
        <v>2.6515151515151603E-2</v>
      </c>
    </row>
    <row r="27" spans="2:16" hidden="1">
      <c r="B27" t="s">
        <v>152</v>
      </c>
      <c r="C27">
        <v>24</v>
      </c>
      <c r="E27">
        <v>6</v>
      </c>
      <c r="F27" s="73" t="s">
        <v>131</v>
      </c>
      <c r="G27" s="6">
        <v>42817</v>
      </c>
      <c r="H27">
        <v>60</v>
      </c>
      <c r="I27" t="s">
        <v>153</v>
      </c>
      <c r="K27" s="63">
        <v>408</v>
      </c>
      <c r="L27" s="11">
        <v>369.96</v>
      </c>
      <c r="M27" s="9">
        <f t="shared" si="4"/>
        <v>38.04000000000002</v>
      </c>
      <c r="N27">
        <v>16.329999999999998</v>
      </c>
      <c r="O27" s="11">
        <f t="shared" si="5"/>
        <v>21.710000000000022</v>
      </c>
      <c r="P27" s="24">
        <f t="shared" si="3"/>
        <v>0.10282192669477785</v>
      </c>
    </row>
    <row r="28" spans="2:16" hidden="1">
      <c r="B28" t="s">
        <v>154</v>
      </c>
      <c r="C28">
        <v>25</v>
      </c>
      <c r="E28">
        <v>6</v>
      </c>
      <c r="F28" t="s">
        <v>155</v>
      </c>
      <c r="G28" s="6">
        <v>42824</v>
      </c>
      <c r="H28">
        <v>240</v>
      </c>
      <c r="I28" t="s">
        <v>156</v>
      </c>
      <c r="K28" s="63">
        <v>3192</v>
      </c>
      <c r="L28" s="11">
        <v>3173.38</v>
      </c>
      <c r="M28" s="11">
        <f t="shared" si="4"/>
        <v>18.619999999999891</v>
      </c>
      <c r="N28">
        <v>12.26</v>
      </c>
      <c r="O28" s="11">
        <f t="shared" si="5"/>
        <v>6.3599999999998911</v>
      </c>
      <c r="P28" s="24">
        <f t="shared" si="3"/>
        <v>5.8675607711651256E-3</v>
      </c>
    </row>
    <row r="29" spans="2:16" hidden="1">
      <c r="G29" s="6"/>
      <c r="K29" s="64">
        <f>SUM(K21:K28)</f>
        <v>51762.68</v>
      </c>
      <c r="L29" s="9">
        <f>SUM(L21:L28)</f>
        <v>50873.84</v>
      </c>
      <c r="M29" s="64">
        <f>SUM(M21:M28)</f>
        <v>888.8400000000006</v>
      </c>
      <c r="O29" s="11">
        <f t="shared" si="5"/>
        <v>888.8400000000006</v>
      </c>
      <c r="P29" s="24">
        <f t="shared" si="3"/>
        <v>1.7471454877398651E-2</v>
      </c>
    </row>
    <row r="30" spans="2:16" hidden="1">
      <c r="B30" t="s">
        <v>157</v>
      </c>
      <c r="C30">
        <v>1</v>
      </c>
      <c r="E30">
        <v>6</v>
      </c>
      <c r="F30" t="s">
        <v>155</v>
      </c>
      <c r="G30" s="6">
        <v>42829</v>
      </c>
      <c r="H30">
        <v>240</v>
      </c>
      <c r="I30" t="s">
        <v>158</v>
      </c>
      <c r="K30" s="9">
        <v>8053.26</v>
      </c>
      <c r="L30" s="11">
        <v>7976.16</v>
      </c>
      <c r="M30" s="11">
        <f t="shared" ref="M30:M37" si="6">K30-L30</f>
        <v>77.100000000000364</v>
      </c>
      <c r="O30" s="11">
        <f t="shared" si="5"/>
        <v>77.100000000000364</v>
      </c>
      <c r="P30" s="24">
        <f t="shared" si="3"/>
        <v>9.6663055906602846E-3</v>
      </c>
    </row>
    <row r="31" spans="2:16" hidden="1">
      <c r="B31" t="s">
        <v>159</v>
      </c>
      <c r="C31">
        <v>2</v>
      </c>
      <c r="E31">
        <v>1</v>
      </c>
      <c r="F31" t="s">
        <v>150</v>
      </c>
      <c r="G31" s="6">
        <v>42832</v>
      </c>
      <c r="H31">
        <v>200</v>
      </c>
      <c r="I31" t="s">
        <v>160</v>
      </c>
      <c r="K31" s="9">
        <v>1111.77</v>
      </c>
      <c r="L31" s="11">
        <v>1085.5</v>
      </c>
      <c r="M31" s="11">
        <f t="shared" si="6"/>
        <v>26.269999999999982</v>
      </c>
      <c r="O31" s="11">
        <f t="shared" si="5"/>
        <v>26.269999999999982</v>
      </c>
      <c r="P31" s="24">
        <f t="shared" si="3"/>
        <v>2.4200829111008737E-2</v>
      </c>
    </row>
    <row r="32" spans="2:16" hidden="1">
      <c r="B32" t="s">
        <v>161</v>
      </c>
      <c r="C32">
        <v>3</v>
      </c>
      <c r="E32">
        <v>1</v>
      </c>
      <c r="F32" s="73" t="s">
        <v>139</v>
      </c>
      <c r="G32" s="6">
        <v>42836</v>
      </c>
      <c r="H32">
        <v>110</v>
      </c>
      <c r="I32" t="s">
        <v>160</v>
      </c>
      <c r="K32" s="78">
        <v>3497</v>
      </c>
      <c r="L32" s="11">
        <v>3448</v>
      </c>
      <c r="M32" s="11">
        <f t="shared" si="6"/>
        <v>49</v>
      </c>
      <c r="N32">
        <v>16.989999999999998</v>
      </c>
      <c r="O32" s="11">
        <f t="shared" si="5"/>
        <v>32.010000000000005</v>
      </c>
      <c r="P32" s="24">
        <f t="shared" si="3"/>
        <v>1.4211136890951215E-2</v>
      </c>
    </row>
    <row r="33" spans="2:17" hidden="1">
      <c r="B33" t="s">
        <v>162</v>
      </c>
      <c r="C33">
        <v>4</v>
      </c>
      <c r="E33">
        <v>1</v>
      </c>
      <c r="F33" s="73" t="s">
        <v>131</v>
      </c>
      <c r="G33" s="6">
        <v>42836</v>
      </c>
      <c r="H33">
        <v>80</v>
      </c>
      <c r="I33" t="s">
        <v>163</v>
      </c>
      <c r="K33" s="63">
        <v>599.84</v>
      </c>
      <c r="L33" s="11">
        <v>562.84</v>
      </c>
      <c r="M33" s="11">
        <f t="shared" si="6"/>
        <v>37</v>
      </c>
      <c r="N33">
        <v>26.72</v>
      </c>
      <c r="O33" s="11">
        <f t="shared" si="5"/>
        <v>10.280000000000001</v>
      </c>
      <c r="P33" s="24">
        <f t="shared" si="3"/>
        <v>6.5738042783028972E-2</v>
      </c>
    </row>
    <row r="34" spans="2:17" hidden="1">
      <c r="B34" t="s">
        <v>164</v>
      </c>
      <c r="C34">
        <v>5</v>
      </c>
      <c r="E34">
        <v>24</v>
      </c>
      <c r="F34" s="28" t="s">
        <v>150</v>
      </c>
      <c r="G34" s="6">
        <v>42837</v>
      </c>
      <c r="H34">
        <v>210</v>
      </c>
      <c r="I34" t="s">
        <v>165</v>
      </c>
      <c r="K34" s="1">
        <v>6386.64</v>
      </c>
      <c r="L34" s="11">
        <v>6286.8</v>
      </c>
      <c r="M34" s="11">
        <f t="shared" si="6"/>
        <v>99.840000000000146</v>
      </c>
      <c r="O34" s="11">
        <f t="shared" si="5"/>
        <v>99.840000000000146</v>
      </c>
      <c r="P34" s="24">
        <f t="shared" si="3"/>
        <v>1.5880893300248111E-2</v>
      </c>
    </row>
    <row r="35" spans="2:17" hidden="1">
      <c r="B35" t="s">
        <v>166</v>
      </c>
      <c r="C35">
        <v>6</v>
      </c>
      <c r="E35">
        <v>4</v>
      </c>
      <c r="F35" s="73" t="s">
        <v>139</v>
      </c>
      <c r="G35" s="6">
        <v>42842</v>
      </c>
      <c r="H35">
        <v>120</v>
      </c>
      <c r="I35" t="s">
        <v>167</v>
      </c>
      <c r="K35" s="63">
        <v>18328</v>
      </c>
      <c r="L35" s="11">
        <v>17712</v>
      </c>
      <c r="M35" s="11">
        <f t="shared" si="6"/>
        <v>616</v>
      </c>
      <c r="O35" s="11">
        <f t="shared" si="5"/>
        <v>616</v>
      </c>
      <c r="P35" s="24">
        <f t="shared" si="3"/>
        <v>3.4778681120144483E-2</v>
      </c>
      <c r="Q35" s="9"/>
    </row>
    <row r="36" spans="2:17" hidden="1">
      <c r="B36" t="s">
        <v>168</v>
      </c>
      <c r="C36">
        <v>7</v>
      </c>
      <c r="E36">
        <v>8</v>
      </c>
      <c r="F36" s="73" t="s">
        <v>139</v>
      </c>
      <c r="G36" s="6">
        <v>42843</v>
      </c>
      <c r="H36">
        <v>120</v>
      </c>
      <c r="I36" t="s">
        <v>169</v>
      </c>
      <c r="K36" s="78">
        <v>4686.24</v>
      </c>
      <c r="L36" s="11">
        <v>4592</v>
      </c>
      <c r="M36" s="11">
        <f t="shared" si="6"/>
        <v>94.239999999999782</v>
      </c>
      <c r="N36">
        <f>63.85+54.76</f>
        <v>118.61</v>
      </c>
      <c r="O36" s="11">
        <f t="shared" si="5"/>
        <v>-24.370000000000218</v>
      </c>
      <c r="P36" s="24">
        <f t="shared" si="3"/>
        <v>2.0522648083623585E-2</v>
      </c>
    </row>
    <row r="37" spans="2:17" hidden="1">
      <c r="B37" t="s">
        <v>170</v>
      </c>
      <c r="C37">
        <v>8</v>
      </c>
      <c r="E37">
        <v>3</v>
      </c>
      <c r="F37" t="s">
        <v>150</v>
      </c>
      <c r="G37" s="6">
        <v>42850</v>
      </c>
      <c r="H37">
        <v>100</v>
      </c>
      <c r="I37" t="s">
        <v>171</v>
      </c>
      <c r="K37" s="63">
        <v>1517.31</v>
      </c>
      <c r="L37" s="11">
        <v>1477.5</v>
      </c>
      <c r="M37" s="11">
        <f t="shared" si="6"/>
        <v>39.809999999999945</v>
      </c>
      <c r="N37">
        <v>11.4</v>
      </c>
      <c r="O37" s="11">
        <f t="shared" si="5"/>
        <v>28.409999999999947</v>
      </c>
      <c r="P37" s="24">
        <f t="shared" si="3"/>
        <v>2.6944162436548291E-2</v>
      </c>
    </row>
    <row r="38" spans="2:17" hidden="1">
      <c r="K38" s="64">
        <f>SUM(K30:K37)</f>
        <v>44180.06</v>
      </c>
      <c r="L38" s="9">
        <f>SUM(L30:L37)</f>
        <v>43140.800000000003</v>
      </c>
      <c r="M38" s="64">
        <f>SUM(M30:M37)</f>
        <v>1039.2600000000002</v>
      </c>
      <c r="P38" s="24">
        <f t="shared" si="3"/>
        <v>2.4089956607202367E-2</v>
      </c>
    </row>
    <row r="39" spans="2:17" hidden="1"/>
    <row r="40" spans="2:17" hidden="1">
      <c r="B40" t="s">
        <v>172</v>
      </c>
      <c r="C40">
        <v>1</v>
      </c>
      <c r="E40">
        <v>1</v>
      </c>
      <c r="F40" t="s">
        <v>129</v>
      </c>
      <c r="G40" s="6">
        <v>42860</v>
      </c>
      <c r="H40">
        <v>110</v>
      </c>
      <c r="I40" t="s">
        <v>173</v>
      </c>
      <c r="K40" s="63">
        <v>1031</v>
      </c>
      <c r="L40" s="115">
        <v>995</v>
      </c>
      <c r="M40" s="11">
        <f t="shared" ref="M40:M45" si="7">K40-L40</f>
        <v>36</v>
      </c>
      <c r="N40">
        <v>11.87</v>
      </c>
      <c r="P40" s="24">
        <f t="shared" ref="P40:P67" si="8">(K40/L40)-1</f>
        <v>3.6180904522613133E-2</v>
      </c>
    </row>
    <row r="41" spans="2:17" hidden="1">
      <c r="B41" t="s">
        <v>174</v>
      </c>
      <c r="C41">
        <v>2</v>
      </c>
      <c r="E41">
        <v>8</v>
      </c>
      <c r="F41" s="73" t="s">
        <v>175</v>
      </c>
      <c r="G41" s="6">
        <v>42863</v>
      </c>
      <c r="H41">
        <v>120</v>
      </c>
      <c r="I41" t="s">
        <v>143</v>
      </c>
      <c r="K41" s="63">
        <v>663.04</v>
      </c>
      <c r="L41" s="11">
        <v>600</v>
      </c>
      <c r="M41" s="11">
        <f t="shared" si="7"/>
        <v>63.039999999999964</v>
      </c>
      <c r="N41">
        <v>10.76</v>
      </c>
      <c r="O41" s="11">
        <f t="shared" ref="O41:O58" si="9">M41-N41</f>
        <v>52.279999999999966</v>
      </c>
      <c r="P41" s="24">
        <f t="shared" si="8"/>
        <v>0.10506666666666664</v>
      </c>
    </row>
    <row r="42" spans="2:17" hidden="1">
      <c r="B42" t="s">
        <v>176</v>
      </c>
      <c r="C42">
        <v>3</v>
      </c>
      <c r="E42">
        <v>36</v>
      </c>
      <c r="F42" s="73" t="s">
        <v>121</v>
      </c>
      <c r="G42" s="6">
        <v>42866</v>
      </c>
      <c r="H42">
        <v>90</v>
      </c>
      <c r="I42" t="s">
        <v>145</v>
      </c>
      <c r="K42" s="63">
        <v>10951.56</v>
      </c>
      <c r="L42" s="11">
        <v>10643.62</v>
      </c>
      <c r="M42" s="11">
        <f t="shared" si="7"/>
        <v>307.93999999999869</v>
      </c>
      <c r="N42">
        <v>11.87</v>
      </c>
      <c r="O42" s="11">
        <f t="shared" si="9"/>
        <v>296.06999999999869</v>
      </c>
      <c r="P42" s="24">
        <f t="shared" si="8"/>
        <v>2.8931885956093861E-2</v>
      </c>
    </row>
    <row r="43" spans="2:17" hidden="1">
      <c r="B43" t="s">
        <v>177</v>
      </c>
      <c r="C43">
        <v>4</v>
      </c>
      <c r="E43">
        <v>1</v>
      </c>
      <c r="F43" s="73" t="s">
        <v>129</v>
      </c>
      <c r="G43" s="6">
        <v>42872</v>
      </c>
      <c r="H43">
        <v>110</v>
      </c>
      <c r="I43" t="s">
        <v>148</v>
      </c>
      <c r="K43" s="63">
        <v>4744</v>
      </c>
      <c r="L43" s="110">
        <v>4665</v>
      </c>
      <c r="M43" s="11">
        <f t="shared" si="7"/>
        <v>79</v>
      </c>
      <c r="N43">
        <f>17.35+14.64</f>
        <v>31.990000000000002</v>
      </c>
      <c r="O43" s="11">
        <f t="shared" si="9"/>
        <v>47.01</v>
      </c>
      <c r="P43" s="24">
        <f t="shared" si="8"/>
        <v>1.6934619506966841E-2</v>
      </c>
    </row>
    <row r="44" spans="2:17" hidden="1">
      <c r="B44" t="s">
        <v>178</v>
      </c>
      <c r="C44">
        <v>5</v>
      </c>
      <c r="E44">
        <v>1</v>
      </c>
      <c r="F44" t="s">
        <v>129</v>
      </c>
      <c r="G44" s="6">
        <v>42873</v>
      </c>
      <c r="H44">
        <v>100</v>
      </c>
      <c r="I44" t="s">
        <v>151</v>
      </c>
      <c r="K44" s="63">
        <v>2186.4</v>
      </c>
      <c r="L44" s="115">
        <v>2171.9899999999998</v>
      </c>
      <c r="M44" s="11">
        <f t="shared" si="7"/>
        <v>14.410000000000309</v>
      </c>
      <c r="N44">
        <f>17.35</f>
        <v>17.350000000000001</v>
      </c>
      <c r="O44" s="11">
        <f t="shared" si="9"/>
        <v>-2.9399999999996922</v>
      </c>
      <c r="P44" s="24">
        <f t="shared" si="8"/>
        <v>6.634468851145936E-3</v>
      </c>
    </row>
    <row r="45" spans="2:17" hidden="1">
      <c r="B45" t="s">
        <v>179</v>
      </c>
      <c r="C45">
        <v>6</v>
      </c>
      <c r="E45">
        <v>2</v>
      </c>
      <c r="F45" s="74" t="s">
        <v>129</v>
      </c>
      <c r="G45" s="6">
        <v>42879</v>
      </c>
      <c r="H45">
        <v>90</v>
      </c>
      <c r="I45" t="s">
        <v>153</v>
      </c>
      <c r="K45" s="9">
        <v>2278</v>
      </c>
      <c r="L45" s="115">
        <v>2242.04</v>
      </c>
      <c r="M45" s="11">
        <f t="shared" si="7"/>
        <v>35.960000000000036</v>
      </c>
      <c r="N45">
        <f>13.28</f>
        <v>13.28</v>
      </c>
      <c r="O45" s="11">
        <f t="shared" si="9"/>
        <v>22.680000000000035</v>
      </c>
      <c r="P45" s="24">
        <f t="shared" si="8"/>
        <v>1.6038964514460075E-2</v>
      </c>
    </row>
    <row r="46" spans="2:17" hidden="1">
      <c r="G46" s="6"/>
      <c r="K46" s="64">
        <f>SUM(K40:K45)</f>
        <v>21854</v>
      </c>
      <c r="L46" s="11">
        <f>SUM(L40:L45)</f>
        <v>21317.65</v>
      </c>
      <c r="M46" s="26">
        <f>SUM(M40:M45)</f>
        <v>536.349999999999</v>
      </c>
      <c r="O46" s="11">
        <f t="shared" si="9"/>
        <v>536.349999999999</v>
      </c>
      <c r="P46" s="24">
        <f t="shared" si="8"/>
        <v>2.5159902709726456E-2</v>
      </c>
    </row>
    <row r="47" spans="2:17" hidden="1">
      <c r="B47" t="s">
        <v>180</v>
      </c>
      <c r="C47">
        <v>1</v>
      </c>
      <c r="E47" s="75">
        <v>6</v>
      </c>
      <c r="F47" t="s">
        <v>129</v>
      </c>
      <c r="G47" s="6">
        <v>42887</v>
      </c>
      <c r="H47">
        <v>120</v>
      </c>
      <c r="I47" t="s">
        <v>181</v>
      </c>
      <c r="K47" s="63">
        <v>10192.620000000001</v>
      </c>
      <c r="L47" s="115">
        <v>10080</v>
      </c>
      <c r="M47" s="11">
        <f t="shared" ref="M47:M58" si="10">K47-L47</f>
        <v>112.6200000000008</v>
      </c>
      <c r="N47">
        <f>16.99+12.04</f>
        <v>29.029999999999998</v>
      </c>
      <c r="O47" s="11">
        <f t="shared" si="9"/>
        <v>83.590000000000799</v>
      </c>
      <c r="P47" s="24">
        <f t="shared" si="8"/>
        <v>1.1172619047619126E-2</v>
      </c>
    </row>
    <row r="48" spans="2:17" hidden="1">
      <c r="B48" t="s">
        <v>182</v>
      </c>
      <c r="C48">
        <v>2</v>
      </c>
      <c r="E48">
        <v>2</v>
      </c>
      <c r="F48" s="73" t="s">
        <v>183</v>
      </c>
      <c r="G48" s="6">
        <v>42888</v>
      </c>
      <c r="H48">
        <v>110</v>
      </c>
      <c r="I48" t="s">
        <v>184</v>
      </c>
      <c r="K48" s="63">
        <v>7266.96</v>
      </c>
      <c r="L48" s="11">
        <v>6850</v>
      </c>
      <c r="M48" s="11">
        <f t="shared" si="10"/>
        <v>416.96000000000004</v>
      </c>
      <c r="N48">
        <v>140.63</v>
      </c>
      <c r="O48" s="11">
        <f t="shared" si="9"/>
        <v>276.33000000000004</v>
      </c>
      <c r="P48" s="24">
        <f t="shared" si="8"/>
        <v>6.0870072992700752E-2</v>
      </c>
    </row>
    <row r="49" spans="2:16" hidden="1">
      <c r="B49" t="s">
        <v>185</v>
      </c>
      <c r="C49">
        <v>3</v>
      </c>
      <c r="E49">
        <v>31</v>
      </c>
      <c r="F49" s="73" t="s">
        <v>121</v>
      </c>
      <c r="G49" s="6">
        <v>42891</v>
      </c>
      <c r="H49">
        <v>160</v>
      </c>
      <c r="I49" t="s">
        <v>186</v>
      </c>
      <c r="K49" s="63">
        <v>8795.94</v>
      </c>
      <c r="L49" s="11">
        <f>8662.64-173.26</f>
        <v>8489.3799999999992</v>
      </c>
      <c r="M49" s="11">
        <f t="shared" si="10"/>
        <v>306.56000000000131</v>
      </c>
      <c r="N49">
        <v>11.87</v>
      </c>
      <c r="O49" s="11">
        <f t="shared" si="9"/>
        <v>294.69000000000131</v>
      </c>
      <c r="P49" s="24">
        <f t="shared" si="8"/>
        <v>3.6110999861002968E-2</v>
      </c>
    </row>
    <row r="50" spans="2:16" hidden="1">
      <c r="B50" t="s">
        <v>187</v>
      </c>
      <c r="C50">
        <v>4</v>
      </c>
      <c r="E50">
        <v>17</v>
      </c>
      <c r="F50" s="73" t="s">
        <v>121</v>
      </c>
      <c r="G50" s="6">
        <v>42894</v>
      </c>
      <c r="H50">
        <v>90</v>
      </c>
      <c r="I50" t="s">
        <v>188</v>
      </c>
      <c r="K50" s="63">
        <v>7497</v>
      </c>
      <c r="L50" s="11">
        <v>7185</v>
      </c>
      <c r="M50" s="11">
        <f t="shared" si="10"/>
        <v>312</v>
      </c>
      <c r="N50">
        <v>10.74</v>
      </c>
      <c r="O50" s="11">
        <f t="shared" si="9"/>
        <v>301.26</v>
      </c>
      <c r="P50" s="24">
        <f t="shared" si="8"/>
        <v>4.3423799582463563E-2</v>
      </c>
    </row>
    <row r="51" spans="2:16" hidden="1">
      <c r="B51" t="s">
        <v>189</v>
      </c>
      <c r="C51">
        <v>5</v>
      </c>
      <c r="E51">
        <v>9</v>
      </c>
      <c r="F51" t="s">
        <v>150</v>
      </c>
      <c r="G51" s="6">
        <v>42900</v>
      </c>
      <c r="I51" t="s">
        <v>190</v>
      </c>
      <c r="K51" s="9">
        <v>4887</v>
      </c>
      <c r="L51" s="11">
        <v>4831.6499999999996</v>
      </c>
      <c r="M51" s="11">
        <f t="shared" si="10"/>
        <v>55.350000000000364</v>
      </c>
      <c r="N51">
        <v>11.48</v>
      </c>
      <c r="O51" s="11">
        <f t="shared" si="9"/>
        <v>43.87000000000036</v>
      </c>
      <c r="P51" s="24">
        <f t="shared" si="8"/>
        <v>1.1455713886560526E-2</v>
      </c>
    </row>
    <row r="52" spans="2:16" hidden="1">
      <c r="B52" s="28" t="s">
        <v>191</v>
      </c>
      <c r="C52">
        <v>6</v>
      </c>
      <c r="E52" s="75">
        <v>6</v>
      </c>
      <c r="F52" t="s">
        <v>129</v>
      </c>
      <c r="G52" s="6">
        <v>42906</v>
      </c>
      <c r="H52">
        <v>90</v>
      </c>
      <c r="I52" t="s">
        <v>192</v>
      </c>
      <c r="K52" s="63">
        <v>11388</v>
      </c>
      <c r="L52" s="115">
        <v>11232</v>
      </c>
      <c r="M52" s="11">
        <f t="shared" si="10"/>
        <v>156</v>
      </c>
      <c r="N52" s="75">
        <v>720</v>
      </c>
      <c r="O52" s="169">
        <f t="shared" si="9"/>
        <v>-564</v>
      </c>
      <c r="P52" s="24">
        <f t="shared" si="8"/>
        <v>1.388888888888884E-2</v>
      </c>
    </row>
    <row r="53" spans="2:16" hidden="1">
      <c r="B53" t="s">
        <v>193</v>
      </c>
      <c r="C53">
        <v>7</v>
      </c>
      <c r="E53">
        <v>9</v>
      </c>
      <c r="F53" t="s">
        <v>131</v>
      </c>
      <c r="G53" s="6">
        <v>42906</v>
      </c>
      <c r="H53">
        <v>60</v>
      </c>
      <c r="I53" t="s">
        <v>194</v>
      </c>
      <c r="K53" s="63">
        <v>426.51</v>
      </c>
      <c r="L53" s="11">
        <v>383.85</v>
      </c>
      <c r="M53" s="11">
        <f t="shared" si="10"/>
        <v>42.659999999999968</v>
      </c>
      <c r="N53">
        <v>12.65</v>
      </c>
      <c r="O53" s="11">
        <f t="shared" si="9"/>
        <v>30.00999999999997</v>
      </c>
      <c r="P53" s="24">
        <f t="shared" si="8"/>
        <v>0.111137162954279</v>
      </c>
    </row>
    <row r="54" spans="2:16" hidden="1">
      <c r="B54" t="s">
        <v>195</v>
      </c>
      <c r="C54">
        <v>8</v>
      </c>
      <c r="E54">
        <v>114</v>
      </c>
      <c r="F54" t="s">
        <v>131</v>
      </c>
      <c r="G54" s="6">
        <v>42906</v>
      </c>
      <c r="H54">
        <v>60</v>
      </c>
      <c r="I54" t="s">
        <v>196</v>
      </c>
      <c r="K54" s="63">
        <v>1039.68</v>
      </c>
      <c r="L54" s="11">
        <v>974.7</v>
      </c>
      <c r="M54" s="11">
        <f t="shared" si="10"/>
        <v>64.980000000000018</v>
      </c>
      <c r="N54">
        <v>13.1</v>
      </c>
      <c r="O54" s="11">
        <f t="shared" si="9"/>
        <v>51.880000000000017</v>
      </c>
      <c r="P54" s="24">
        <f t="shared" si="8"/>
        <v>6.6666666666666652E-2</v>
      </c>
    </row>
    <row r="55" spans="2:16" hidden="1">
      <c r="B55" t="s">
        <v>197</v>
      </c>
      <c r="C55">
        <v>9</v>
      </c>
      <c r="E55">
        <v>7</v>
      </c>
      <c r="F55" t="s">
        <v>198</v>
      </c>
      <c r="G55" s="6">
        <v>42906</v>
      </c>
      <c r="H55">
        <v>100</v>
      </c>
      <c r="I55" t="s">
        <v>199</v>
      </c>
      <c r="K55" s="63">
        <v>571.66</v>
      </c>
      <c r="L55" s="11">
        <v>536.97</v>
      </c>
      <c r="M55" s="11">
        <f t="shared" si="10"/>
        <v>34.689999999999941</v>
      </c>
      <c r="N55">
        <v>11.06</v>
      </c>
      <c r="O55" s="11">
        <f t="shared" si="9"/>
        <v>23.629999999999939</v>
      </c>
      <c r="P55" s="24">
        <f t="shared" si="8"/>
        <v>6.4603236679888987E-2</v>
      </c>
    </row>
    <row r="56" spans="2:16" hidden="1">
      <c r="B56" t="s">
        <v>200</v>
      </c>
      <c r="C56">
        <v>10</v>
      </c>
      <c r="E56">
        <v>1</v>
      </c>
      <c r="F56" t="s">
        <v>129</v>
      </c>
      <c r="G56" s="6">
        <v>42907</v>
      </c>
      <c r="H56">
        <v>120</v>
      </c>
      <c r="I56" t="s">
        <v>201</v>
      </c>
      <c r="K56" s="61">
        <v>6266.88</v>
      </c>
      <c r="L56" s="110">
        <v>6179.34</v>
      </c>
      <c r="M56" s="11">
        <f t="shared" si="10"/>
        <v>87.539999999999964</v>
      </c>
      <c r="N56" s="11">
        <v>19.920000000000002</v>
      </c>
      <c r="O56" s="11">
        <f t="shared" si="9"/>
        <v>67.619999999999962</v>
      </c>
      <c r="P56" s="24">
        <f t="shared" si="8"/>
        <v>1.4166561477439332E-2</v>
      </c>
    </row>
    <row r="57" spans="2:16" hidden="1">
      <c r="B57" t="s">
        <v>202</v>
      </c>
      <c r="C57">
        <v>11</v>
      </c>
      <c r="E57">
        <v>1</v>
      </c>
      <c r="F57" t="s">
        <v>155</v>
      </c>
      <c r="G57" s="6">
        <v>42909</v>
      </c>
      <c r="H57">
        <v>230</v>
      </c>
      <c r="I57" t="s">
        <v>203</v>
      </c>
      <c r="K57" s="63">
        <v>7354</v>
      </c>
      <c r="L57" s="11">
        <v>7272</v>
      </c>
      <c r="M57" s="11">
        <f t="shared" si="10"/>
        <v>82</v>
      </c>
      <c r="O57" s="11">
        <f t="shared" si="9"/>
        <v>82</v>
      </c>
      <c r="P57" s="24">
        <f t="shared" si="8"/>
        <v>1.1276127612761311E-2</v>
      </c>
    </row>
    <row r="58" spans="2:16" hidden="1">
      <c r="B58" t="s">
        <v>204</v>
      </c>
      <c r="C58">
        <v>12</v>
      </c>
      <c r="E58">
        <v>250</v>
      </c>
      <c r="F58" s="73" t="s">
        <v>135</v>
      </c>
      <c r="G58" s="6">
        <v>42915</v>
      </c>
      <c r="I58" t="s">
        <v>205</v>
      </c>
      <c r="K58" s="84">
        <v>5220</v>
      </c>
      <c r="L58" s="11">
        <v>5165</v>
      </c>
      <c r="M58" s="11">
        <f t="shared" si="10"/>
        <v>55</v>
      </c>
      <c r="N58">
        <v>15.86</v>
      </c>
      <c r="O58" s="11">
        <f t="shared" si="9"/>
        <v>39.14</v>
      </c>
      <c r="P58" s="24">
        <f t="shared" si="8"/>
        <v>1.0648596321394033E-2</v>
      </c>
    </row>
    <row r="59" spans="2:16" hidden="1">
      <c r="K59" s="64">
        <f>SUM(K47:K58)</f>
        <v>70906.25</v>
      </c>
      <c r="L59" s="11">
        <f>SUM(L47:L58)</f>
        <v>69179.89</v>
      </c>
      <c r="M59" s="26">
        <f>SUM(M47:M58)</f>
        <v>1726.3600000000024</v>
      </c>
      <c r="O59" s="11"/>
      <c r="P59" s="24">
        <f t="shared" si="8"/>
        <v>2.4954650838560077E-2</v>
      </c>
    </row>
    <row r="60" spans="2:16" hidden="1">
      <c r="B60" t="s">
        <v>206</v>
      </c>
      <c r="C60">
        <v>1</v>
      </c>
      <c r="E60">
        <v>11</v>
      </c>
      <c r="F60" t="s">
        <v>198</v>
      </c>
      <c r="G60" s="6">
        <v>42919</v>
      </c>
      <c r="H60">
        <v>90</v>
      </c>
      <c r="I60" t="s">
        <v>207</v>
      </c>
      <c r="K60" s="61">
        <v>1460.69</v>
      </c>
      <c r="L60" s="11">
        <v>1425.27</v>
      </c>
      <c r="M60" s="11">
        <f t="shared" ref="M60:M78" si="11">K60-L60</f>
        <v>35.420000000000073</v>
      </c>
      <c r="N60" s="11">
        <v>12.26</v>
      </c>
      <c r="O60" s="11">
        <f t="shared" ref="O60:O78" si="12">M60-N60</f>
        <v>23.160000000000075</v>
      </c>
      <c r="P60" s="24">
        <f t="shared" si="8"/>
        <v>2.4851431658563072E-2</v>
      </c>
    </row>
    <row r="61" spans="2:16" hidden="1">
      <c r="B61" t="s">
        <v>208</v>
      </c>
      <c r="C61">
        <v>2</v>
      </c>
      <c r="E61">
        <v>2</v>
      </c>
      <c r="F61" t="s">
        <v>155</v>
      </c>
      <c r="G61" s="6">
        <v>42919</v>
      </c>
      <c r="H61">
        <v>220</v>
      </c>
      <c r="I61" t="s">
        <v>209</v>
      </c>
      <c r="K61" s="61">
        <v>1459.24</v>
      </c>
      <c r="L61" s="11">
        <v>1434</v>
      </c>
      <c r="M61" s="11">
        <f t="shared" si="11"/>
        <v>25.240000000000009</v>
      </c>
      <c r="N61" s="11">
        <v>12.23</v>
      </c>
      <c r="O61" s="11">
        <f t="shared" si="12"/>
        <v>13.010000000000009</v>
      </c>
      <c r="P61" s="24">
        <f t="shared" si="8"/>
        <v>1.7601115760111474E-2</v>
      </c>
    </row>
    <row r="62" spans="2:16" hidden="1">
      <c r="B62" t="s">
        <v>210</v>
      </c>
      <c r="C62">
        <v>3</v>
      </c>
      <c r="E62">
        <v>6</v>
      </c>
      <c r="F62" t="s">
        <v>211</v>
      </c>
      <c r="G62" s="6">
        <v>42922</v>
      </c>
      <c r="H62">
        <v>90</v>
      </c>
      <c r="I62" t="s">
        <v>212</v>
      </c>
      <c r="K62" s="9">
        <v>3153.6</v>
      </c>
      <c r="L62" s="11">
        <v>3120</v>
      </c>
      <c r="M62" s="11">
        <f t="shared" si="11"/>
        <v>33.599999999999909</v>
      </c>
      <c r="O62" s="11">
        <f t="shared" si="12"/>
        <v>33.599999999999909</v>
      </c>
      <c r="P62" s="24">
        <f t="shared" si="8"/>
        <v>1.0769230769230642E-2</v>
      </c>
    </row>
    <row r="63" spans="2:16" hidden="1">
      <c r="B63" t="s">
        <v>213</v>
      </c>
      <c r="C63">
        <v>4</v>
      </c>
      <c r="E63">
        <v>1</v>
      </c>
      <c r="F63" t="s">
        <v>211</v>
      </c>
      <c r="G63" s="6">
        <v>42922</v>
      </c>
      <c r="H63">
        <v>90</v>
      </c>
      <c r="I63" t="s">
        <v>214</v>
      </c>
      <c r="K63" s="63">
        <v>1561.3</v>
      </c>
      <c r="L63" s="11">
        <v>1533.82</v>
      </c>
      <c r="M63" s="11">
        <f t="shared" si="11"/>
        <v>27.480000000000018</v>
      </c>
      <c r="O63" s="11">
        <f t="shared" si="12"/>
        <v>27.480000000000018</v>
      </c>
      <c r="P63" s="24">
        <f t="shared" si="8"/>
        <v>1.791605273108976E-2</v>
      </c>
    </row>
    <row r="64" spans="2:16" hidden="1">
      <c r="B64" t="s">
        <v>215</v>
      </c>
      <c r="C64">
        <v>5</v>
      </c>
      <c r="E64">
        <v>11</v>
      </c>
      <c r="F64" t="s">
        <v>198</v>
      </c>
      <c r="G64" s="6">
        <v>42923</v>
      </c>
      <c r="H64">
        <v>100</v>
      </c>
      <c r="I64" s="75" t="s">
        <v>216</v>
      </c>
      <c r="J64" s="75"/>
      <c r="K64" s="61">
        <v>899.58</v>
      </c>
      <c r="L64" s="11">
        <v>863.83</v>
      </c>
      <c r="M64" s="11">
        <f t="shared" si="11"/>
        <v>35.75</v>
      </c>
      <c r="N64" s="11">
        <v>9.64</v>
      </c>
      <c r="O64" s="11">
        <f t="shared" si="12"/>
        <v>26.11</v>
      </c>
      <c r="P64" s="24">
        <f t="shared" si="8"/>
        <v>4.1385457786833113E-2</v>
      </c>
    </row>
    <row r="65" spans="2:19" hidden="1">
      <c r="B65" t="s">
        <v>217</v>
      </c>
      <c r="C65">
        <v>6</v>
      </c>
      <c r="E65" s="75">
        <v>8</v>
      </c>
      <c r="F65" t="s">
        <v>129</v>
      </c>
      <c r="G65" s="6">
        <v>42923</v>
      </c>
      <c r="H65">
        <v>60</v>
      </c>
      <c r="I65" t="s">
        <v>218</v>
      </c>
      <c r="K65" s="61">
        <v>6976</v>
      </c>
      <c r="L65" s="115">
        <v>6880</v>
      </c>
      <c r="M65" s="11">
        <f t="shared" si="11"/>
        <v>96</v>
      </c>
      <c r="N65" s="11">
        <f>29.89+24.83</f>
        <v>54.72</v>
      </c>
      <c r="O65" s="11">
        <f t="shared" si="12"/>
        <v>41.28</v>
      </c>
      <c r="P65" s="24">
        <f t="shared" si="8"/>
        <v>1.3953488372093092E-2</v>
      </c>
    </row>
    <row r="66" spans="2:19" hidden="1">
      <c r="B66" t="s">
        <v>219</v>
      </c>
      <c r="C66">
        <v>7</v>
      </c>
      <c r="E66">
        <v>18</v>
      </c>
      <c r="F66" t="s">
        <v>220</v>
      </c>
      <c r="G66" s="6">
        <v>42926</v>
      </c>
      <c r="H66">
        <v>40</v>
      </c>
      <c r="I66" t="s">
        <v>221</v>
      </c>
      <c r="K66" s="62">
        <v>768.06</v>
      </c>
      <c r="L66" s="11">
        <v>730.62</v>
      </c>
      <c r="M66" s="11">
        <f t="shared" si="11"/>
        <v>37.439999999999941</v>
      </c>
      <c r="O66" s="11">
        <f t="shared" si="12"/>
        <v>37.439999999999941</v>
      </c>
      <c r="P66" s="24">
        <f t="shared" si="8"/>
        <v>5.124414880512429E-2</v>
      </c>
    </row>
    <row r="67" spans="2:19" hidden="1">
      <c r="B67" t="s">
        <v>222</v>
      </c>
      <c r="C67">
        <v>8</v>
      </c>
      <c r="E67">
        <v>16</v>
      </c>
      <c r="F67" s="73" t="s">
        <v>223</v>
      </c>
      <c r="G67" s="6">
        <v>42927</v>
      </c>
      <c r="H67">
        <v>70</v>
      </c>
      <c r="I67" t="s">
        <v>224</v>
      </c>
      <c r="K67" s="63">
        <v>815.04</v>
      </c>
      <c r="L67" s="11">
        <v>784</v>
      </c>
      <c r="M67" s="11">
        <f t="shared" si="11"/>
        <v>31.039999999999964</v>
      </c>
      <c r="N67">
        <v>12.61</v>
      </c>
      <c r="O67" s="11">
        <f t="shared" si="12"/>
        <v>18.429999999999964</v>
      </c>
      <c r="P67" s="24">
        <f t="shared" si="8"/>
        <v>3.9591836734693908E-2</v>
      </c>
    </row>
    <row r="68" spans="2:19" hidden="1">
      <c r="B68" s="28" t="s">
        <v>225</v>
      </c>
      <c r="C68">
        <v>9</v>
      </c>
      <c r="E68">
        <v>20</v>
      </c>
      <c r="F68" t="s">
        <v>129</v>
      </c>
      <c r="G68" s="6">
        <v>42928</v>
      </c>
      <c r="H68">
        <v>90</v>
      </c>
      <c r="I68" s="75" t="s">
        <v>226</v>
      </c>
      <c r="J68" s="75"/>
      <c r="K68" s="9">
        <v>0</v>
      </c>
      <c r="L68" s="11">
        <v>0</v>
      </c>
      <c r="M68" s="11">
        <f t="shared" si="11"/>
        <v>0</v>
      </c>
      <c r="O68" s="11">
        <f t="shared" si="12"/>
        <v>0</v>
      </c>
      <c r="P68" s="24" t="s">
        <v>227</v>
      </c>
    </row>
    <row r="69" spans="2:19" hidden="1">
      <c r="B69" t="s">
        <v>228</v>
      </c>
      <c r="C69">
        <v>10</v>
      </c>
      <c r="E69">
        <v>111</v>
      </c>
      <c r="F69" t="s">
        <v>229</v>
      </c>
      <c r="H69">
        <v>60</v>
      </c>
      <c r="I69" t="s">
        <v>230</v>
      </c>
      <c r="K69" s="63">
        <v>16899.75</v>
      </c>
      <c r="L69" s="11">
        <v>16566</v>
      </c>
      <c r="M69" s="11">
        <f t="shared" si="11"/>
        <v>333.75</v>
      </c>
      <c r="N69">
        <v>0</v>
      </c>
      <c r="O69" s="11">
        <f t="shared" si="12"/>
        <v>333.75</v>
      </c>
      <c r="P69" s="24">
        <f t="shared" ref="P69:P95" si="13">(K69/L69)-1</f>
        <v>2.0146685983339463E-2</v>
      </c>
    </row>
    <row r="70" spans="2:19" hidden="1">
      <c r="B70" t="s">
        <v>231</v>
      </c>
      <c r="C70">
        <v>11</v>
      </c>
      <c r="E70">
        <v>3</v>
      </c>
      <c r="F70" t="s">
        <v>129</v>
      </c>
      <c r="G70" s="6">
        <v>42933</v>
      </c>
      <c r="H70">
        <v>110</v>
      </c>
      <c r="I70" t="s">
        <v>232</v>
      </c>
      <c r="K70" s="63">
        <v>5513.82</v>
      </c>
      <c r="L70" s="110">
        <v>5448.94</v>
      </c>
      <c r="M70" s="11">
        <f t="shared" si="11"/>
        <v>64.880000000000109</v>
      </c>
      <c r="N70">
        <v>22.59</v>
      </c>
      <c r="O70" s="11">
        <f t="shared" si="12"/>
        <v>42.290000000000106</v>
      </c>
      <c r="P70" s="24">
        <f t="shared" si="13"/>
        <v>1.1906902993976898E-2</v>
      </c>
    </row>
    <row r="71" spans="2:19" hidden="1">
      <c r="B71" t="s">
        <v>233</v>
      </c>
      <c r="C71">
        <v>12</v>
      </c>
      <c r="E71">
        <v>26</v>
      </c>
      <c r="F71" t="s">
        <v>198</v>
      </c>
      <c r="G71" s="6">
        <v>42934</v>
      </c>
      <c r="H71">
        <v>100</v>
      </c>
      <c r="I71" t="s">
        <v>234</v>
      </c>
      <c r="K71" s="61">
        <v>3532.62</v>
      </c>
      <c r="L71" s="11">
        <v>3484.26</v>
      </c>
      <c r="M71" s="11">
        <f t="shared" si="11"/>
        <v>48.359999999999673</v>
      </c>
      <c r="N71" s="11">
        <v>12.26</v>
      </c>
      <c r="O71" s="11">
        <f t="shared" si="12"/>
        <v>36.099999999999675</v>
      </c>
      <c r="P71" s="24">
        <f t="shared" si="13"/>
        <v>1.3879561226773918E-2</v>
      </c>
    </row>
    <row r="72" spans="2:19" hidden="1">
      <c r="B72" t="s">
        <v>235</v>
      </c>
      <c r="C72">
        <v>13</v>
      </c>
      <c r="E72">
        <v>20</v>
      </c>
      <c r="F72" t="s">
        <v>236</v>
      </c>
      <c r="H72">
        <v>90</v>
      </c>
      <c r="I72" t="s">
        <v>237</v>
      </c>
      <c r="K72" s="122">
        <v>6588</v>
      </c>
      <c r="L72" s="1">
        <f>325.46*20</f>
        <v>6509.2</v>
      </c>
      <c r="M72" s="11">
        <f t="shared" si="11"/>
        <v>78.800000000000182</v>
      </c>
      <c r="N72">
        <f>23.89+23.89</f>
        <v>47.78</v>
      </c>
      <c r="O72" s="11">
        <f t="shared" si="12"/>
        <v>31.020000000000181</v>
      </c>
      <c r="P72" s="24">
        <f t="shared" si="13"/>
        <v>1.2105942358507926E-2</v>
      </c>
    </row>
    <row r="73" spans="2:19" hidden="1">
      <c r="B73" t="s">
        <v>238</v>
      </c>
      <c r="C73">
        <v>14</v>
      </c>
      <c r="E73">
        <v>1</v>
      </c>
      <c r="F73" t="s">
        <v>129</v>
      </c>
      <c r="G73" s="6">
        <v>42936</v>
      </c>
      <c r="H73">
        <v>70</v>
      </c>
      <c r="I73" t="s">
        <v>239</v>
      </c>
      <c r="K73">
        <v>888.24</v>
      </c>
      <c r="L73" s="110">
        <v>869.5</v>
      </c>
      <c r="M73" s="11">
        <f t="shared" si="11"/>
        <v>18.740000000000009</v>
      </c>
      <c r="N73">
        <f>19.97+3.45</f>
        <v>23.419999999999998</v>
      </c>
      <c r="O73" s="11">
        <f t="shared" si="12"/>
        <v>-4.6799999999999891</v>
      </c>
      <c r="P73" s="24">
        <f t="shared" si="13"/>
        <v>2.1552616446233408E-2</v>
      </c>
      <c r="Q73" t="s">
        <v>240</v>
      </c>
      <c r="R73" t="s">
        <v>241</v>
      </c>
      <c r="S73" t="s">
        <v>242</v>
      </c>
    </row>
    <row r="74" spans="2:19" hidden="1">
      <c r="B74" t="s">
        <v>243</v>
      </c>
      <c r="C74">
        <v>15</v>
      </c>
      <c r="E74">
        <v>14</v>
      </c>
      <c r="F74" s="73" t="s">
        <v>244</v>
      </c>
      <c r="G74" s="6">
        <v>42937</v>
      </c>
      <c r="H74">
        <v>40</v>
      </c>
      <c r="I74" t="s">
        <v>245</v>
      </c>
      <c r="K74" s="63">
        <v>484.68</v>
      </c>
      <c r="L74" s="11">
        <v>447.3</v>
      </c>
      <c r="M74" s="11">
        <f t="shared" si="11"/>
        <v>37.379999999999995</v>
      </c>
      <c r="O74" s="11">
        <f t="shared" si="12"/>
        <v>37.379999999999995</v>
      </c>
      <c r="P74" s="24">
        <f t="shared" si="13"/>
        <v>8.3568075117370855E-2</v>
      </c>
    </row>
    <row r="75" spans="2:19" hidden="1">
      <c r="B75" t="s">
        <v>246</v>
      </c>
      <c r="C75">
        <v>16</v>
      </c>
      <c r="E75">
        <v>2</v>
      </c>
      <c r="F75" t="s">
        <v>129</v>
      </c>
      <c r="G75" s="6">
        <v>42941</v>
      </c>
      <c r="H75">
        <v>100</v>
      </c>
      <c r="I75" t="s">
        <v>247</v>
      </c>
      <c r="K75" s="63">
        <v>4474.6000000000004</v>
      </c>
      <c r="L75" s="110">
        <v>4435.37</v>
      </c>
      <c r="M75" s="11">
        <f t="shared" si="11"/>
        <v>39.230000000000473</v>
      </c>
      <c r="N75">
        <v>37.700000000000003</v>
      </c>
      <c r="O75" s="11">
        <f t="shared" si="12"/>
        <v>1.5300000000004701</v>
      </c>
      <c r="P75" s="24">
        <f t="shared" si="13"/>
        <v>8.8448088885482168E-3</v>
      </c>
    </row>
    <row r="76" spans="2:19" hidden="1">
      <c r="B76" t="s">
        <v>248</v>
      </c>
      <c r="C76">
        <v>17</v>
      </c>
      <c r="E76">
        <v>104</v>
      </c>
      <c r="F76" t="s">
        <v>135</v>
      </c>
      <c r="G76" s="6">
        <v>42941</v>
      </c>
      <c r="H76">
        <v>70</v>
      </c>
      <c r="I76" t="s">
        <v>249</v>
      </c>
      <c r="K76" s="122">
        <v>1847.04</v>
      </c>
      <c r="L76" s="108">
        <v>1780.48</v>
      </c>
      <c r="M76" s="11">
        <f t="shared" si="11"/>
        <v>66.559999999999945</v>
      </c>
      <c r="N76">
        <v>13.11</v>
      </c>
      <c r="O76" s="11">
        <f t="shared" si="12"/>
        <v>53.449999999999946</v>
      </c>
      <c r="P76" s="24">
        <f t="shared" si="13"/>
        <v>3.7383177570093462E-2</v>
      </c>
    </row>
    <row r="77" spans="2:19" hidden="1">
      <c r="B77" t="s">
        <v>250</v>
      </c>
      <c r="C77">
        <v>18</v>
      </c>
      <c r="E77">
        <v>6</v>
      </c>
      <c r="F77" s="73" t="s">
        <v>251</v>
      </c>
      <c r="G77" s="6">
        <v>42942</v>
      </c>
      <c r="H77">
        <v>70</v>
      </c>
      <c r="I77" t="s">
        <v>252</v>
      </c>
      <c r="K77" s="63">
        <v>1827.36</v>
      </c>
      <c r="L77" s="11">
        <v>1794</v>
      </c>
      <c r="M77" s="11">
        <f t="shared" si="11"/>
        <v>33.3599999999999</v>
      </c>
      <c r="N77">
        <v>11.19</v>
      </c>
      <c r="O77" s="11">
        <f t="shared" si="12"/>
        <v>22.169999999999902</v>
      </c>
      <c r="P77" s="24">
        <f t="shared" si="13"/>
        <v>1.8595317725752514E-2</v>
      </c>
    </row>
    <row r="78" spans="2:19" hidden="1">
      <c r="B78" t="s">
        <v>253</v>
      </c>
      <c r="C78">
        <v>19</v>
      </c>
      <c r="E78">
        <v>10</v>
      </c>
      <c r="F78" t="s">
        <v>254</v>
      </c>
      <c r="G78" s="6">
        <v>42942</v>
      </c>
      <c r="H78">
        <v>70</v>
      </c>
      <c r="I78" t="s">
        <v>255</v>
      </c>
      <c r="K78" s="63">
        <v>40636</v>
      </c>
      <c r="L78" s="1">
        <v>40000</v>
      </c>
      <c r="M78" s="11">
        <f t="shared" si="11"/>
        <v>636</v>
      </c>
      <c r="N78">
        <v>25</v>
      </c>
      <c r="O78" s="11">
        <f t="shared" si="12"/>
        <v>611</v>
      </c>
      <c r="P78" s="24">
        <f t="shared" si="13"/>
        <v>1.5900000000000025E-2</v>
      </c>
    </row>
    <row r="79" spans="2:19" hidden="1">
      <c r="K79" s="26">
        <f>SUM(K60:K78)</f>
        <v>99785.62</v>
      </c>
      <c r="L79" s="11">
        <f>SUM(L60:L78)</f>
        <v>98106.590000000011</v>
      </c>
      <c r="M79" s="26">
        <f>SUM(M60:M78)</f>
        <v>1679.0300000000002</v>
      </c>
      <c r="O79" s="11"/>
      <c r="P79" s="129">
        <f t="shared" si="13"/>
        <v>1.7114344714254104E-2</v>
      </c>
    </row>
    <row r="80" spans="2:19" hidden="1">
      <c r="B80" t="s">
        <v>256</v>
      </c>
      <c r="C80">
        <v>1</v>
      </c>
      <c r="E80">
        <v>1</v>
      </c>
      <c r="F80" t="s">
        <v>257</v>
      </c>
      <c r="G80" s="6">
        <v>42948</v>
      </c>
      <c r="H80">
        <v>120</v>
      </c>
      <c r="I80" t="s">
        <v>258</v>
      </c>
      <c r="K80" s="63">
        <v>78</v>
      </c>
      <c r="L80" s="108">
        <v>110</v>
      </c>
      <c r="M80" s="11">
        <f t="shared" ref="M80:M104" si="14">K80-L80</f>
        <v>-32</v>
      </c>
      <c r="N80">
        <v>11.06</v>
      </c>
      <c r="O80" s="11">
        <f t="shared" ref="O80:O104" si="15">M80-N80</f>
        <v>-43.06</v>
      </c>
      <c r="P80" s="24">
        <f t="shared" si="13"/>
        <v>-0.29090909090909089</v>
      </c>
    </row>
    <row r="81" spans="2:16" hidden="1">
      <c r="B81" s="132" t="s">
        <v>259</v>
      </c>
      <c r="C81">
        <v>2</v>
      </c>
      <c r="E81">
        <v>11</v>
      </c>
      <c r="F81" t="s">
        <v>260</v>
      </c>
      <c r="G81" s="6">
        <v>42951</v>
      </c>
      <c r="H81">
        <v>180</v>
      </c>
      <c r="I81" t="s">
        <v>261</v>
      </c>
      <c r="K81" s="9">
        <v>3804.57</v>
      </c>
      <c r="L81" s="11">
        <v>3762</v>
      </c>
      <c r="M81" s="11">
        <f t="shared" si="14"/>
        <v>42.570000000000164</v>
      </c>
      <c r="N81">
        <v>11.9</v>
      </c>
      <c r="O81" s="11">
        <f t="shared" si="15"/>
        <v>30.670000000000165</v>
      </c>
      <c r="P81" s="24">
        <f t="shared" si="13"/>
        <v>1.1315789473684168E-2</v>
      </c>
    </row>
    <row r="82" spans="2:16" hidden="1">
      <c r="B82" t="s">
        <v>262</v>
      </c>
      <c r="C82">
        <v>3</v>
      </c>
      <c r="E82">
        <v>1</v>
      </c>
      <c r="F82" t="s">
        <v>263</v>
      </c>
      <c r="G82" s="6">
        <v>42951</v>
      </c>
      <c r="H82">
        <v>100</v>
      </c>
      <c r="I82" t="s">
        <v>264</v>
      </c>
      <c r="K82" s="63">
        <v>6161.34</v>
      </c>
      <c r="L82" s="11">
        <v>6099.04</v>
      </c>
      <c r="M82" s="11">
        <f t="shared" si="14"/>
        <v>62.300000000000182</v>
      </c>
      <c r="N82">
        <v>46.38</v>
      </c>
      <c r="O82" s="11">
        <f t="shared" si="15"/>
        <v>15.920000000000179</v>
      </c>
      <c r="P82" s="24">
        <f t="shared" si="13"/>
        <v>1.0214722316954861E-2</v>
      </c>
    </row>
    <row r="83" spans="2:16" hidden="1">
      <c r="B83" t="s">
        <v>265</v>
      </c>
      <c r="C83">
        <v>4</v>
      </c>
      <c r="E83">
        <v>1</v>
      </c>
      <c r="F83" t="s">
        <v>266</v>
      </c>
      <c r="G83" s="6">
        <v>42951</v>
      </c>
      <c r="H83">
        <v>180</v>
      </c>
      <c r="I83" t="s">
        <v>267</v>
      </c>
      <c r="K83" s="63">
        <v>5086.68</v>
      </c>
      <c r="L83" s="114">
        <v>4968</v>
      </c>
      <c r="M83" s="11">
        <f t="shared" si="14"/>
        <v>118.68000000000029</v>
      </c>
      <c r="O83" s="11">
        <f t="shared" si="15"/>
        <v>118.68000000000029</v>
      </c>
      <c r="P83" s="24">
        <f t="shared" si="13"/>
        <v>2.3888888888888848E-2</v>
      </c>
    </row>
    <row r="84" spans="2:16" hidden="1">
      <c r="B84" t="s">
        <v>268</v>
      </c>
      <c r="C84">
        <v>5</v>
      </c>
      <c r="E84">
        <v>3</v>
      </c>
      <c r="F84" t="s">
        <v>135</v>
      </c>
      <c r="G84" s="6">
        <v>42954</v>
      </c>
      <c r="H84">
        <v>60</v>
      </c>
      <c r="I84" t="s">
        <v>269</v>
      </c>
      <c r="K84" s="61">
        <v>476.82</v>
      </c>
      <c r="L84" s="107">
        <v>450.33</v>
      </c>
      <c r="M84" s="1">
        <f t="shared" si="14"/>
        <v>26.490000000000009</v>
      </c>
      <c r="N84">
        <v>9.6199999999999992</v>
      </c>
      <c r="O84" s="11">
        <f t="shared" si="15"/>
        <v>16.870000000000012</v>
      </c>
      <c r="P84" s="24">
        <f t="shared" si="13"/>
        <v>5.8823529411764719E-2</v>
      </c>
    </row>
    <row r="85" spans="2:16" hidden="1">
      <c r="B85" t="s">
        <v>270</v>
      </c>
      <c r="C85">
        <v>6</v>
      </c>
      <c r="E85">
        <v>1</v>
      </c>
      <c r="F85" t="s">
        <v>271</v>
      </c>
      <c r="G85" s="6">
        <v>42955</v>
      </c>
      <c r="H85">
        <v>60</v>
      </c>
      <c r="I85" t="s">
        <v>272</v>
      </c>
      <c r="K85" s="61">
        <v>404.89</v>
      </c>
      <c r="L85" s="1">
        <v>387.75</v>
      </c>
      <c r="M85" s="1">
        <f t="shared" si="14"/>
        <v>17.139999999999986</v>
      </c>
      <c r="O85" s="11">
        <f t="shared" si="15"/>
        <v>17.139999999999986</v>
      </c>
      <c r="P85" s="24">
        <f t="shared" si="13"/>
        <v>4.4203739522888474E-2</v>
      </c>
    </row>
    <row r="86" spans="2:16" hidden="1">
      <c r="B86" t="s">
        <v>273</v>
      </c>
      <c r="C86">
        <v>7</v>
      </c>
      <c r="E86">
        <v>2</v>
      </c>
      <c r="F86" t="s">
        <v>263</v>
      </c>
      <c r="G86" s="6">
        <v>42956</v>
      </c>
      <c r="H86">
        <v>120</v>
      </c>
      <c r="I86" t="s">
        <v>274</v>
      </c>
      <c r="J86" s="75" t="s">
        <v>275</v>
      </c>
      <c r="K86" s="1">
        <v>4672.54</v>
      </c>
      <c r="L86" s="111">
        <v>4622.78</v>
      </c>
      <c r="M86" s="1">
        <f t="shared" si="14"/>
        <v>49.760000000000218</v>
      </c>
      <c r="N86">
        <v>14.73</v>
      </c>
      <c r="O86" s="11">
        <f t="shared" si="15"/>
        <v>35.030000000000214</v>
      </c>
      <c r="P86" s="24">
        <f t="shared" si="13"/>
        <v>1.0764085680045499E-2</v>
      </c>
    </row>
    <row r="87" spans="2:16" hidden="1">
      <c r="B87" t="s">
        <v>276</v>
      </c>
      <c r="C87">
        <v>8</v>
      </c>
      <c r="E87">
        <v>2</v>
      </c>
      <c r="F87" t="s">
        <v>263</v>
      </c>
      <c r="G87" s="6">
        <v>42956</v>
      </c>
      <c r="H87">
        <v>60</v>
      </c>
      <c r="I87" s="75" t="s">
        <v>277</v>
      </c>
      <c r="K87" s="1">
        <v>1513.88</v>
      </c>
      <c r="L87" s="112">
        <v>1470</v>
      </c>
      <c r="M87" s="1">
        <f t="shared" si="14"/>
        <v>43.880000000000109</v>
      </c>
      <c r="O87" s="11">
        <f t="shared" si="15"/>
        <v>43.880000000000109</v>
      </c>
      <c r="P87" s="24">
        <f t="shared" si="13"/>
        <v>2.9850340136054587E-2</v>
      </c>
    </row>
    <row r="88" spans="2:16" hidden="1">
      <c r="B88" t="s">
        <v>278</v>
      </c>
      <c r="C88">
        <v>9</v>
      </c>
      <c r="E88">
        <v>16</v>
      </c>
      <c r="F88" t="s">
        <v>279</v>
      </c>
      <c r="G88" s="6">
        <v>42956</v>
      </c>
      <c r="H88">
        <v>120</v>
      </c>
      <c r="I88" t="s">
        <v>280</v>
      </c>
      <c r="K88" s="61">
        <v>649.91999999999996</v>
      </c>
      <c r="L88" s="107">
        <v>614.17999999999995</v>
      </c>
      <c r="M88" s="1">
        <f t="shared" si="14"/>
        <v>35.740000000000009</v>
      </c>
      <c r="N88">
        <v>9.6199999999999992</v>
      </c>
      <c r="O88" s="11">
        <f t="shared" si="15"/>
        <v>26.120000000000012</v>
      </c>
      <c r="P88" s="24">
        <f t="shared" si="13"/>
        <v>5.8191409684457351E-2</v>
      </c>
    </row>
    <row r="89" spans="2:16" hidden="1">
      <c r="B89" t="s">
        <v>281</v>
      </c>
      <c r="C89">
        <v>10</v>
      </c>
      <c r="E89">
        <v>14</v>
      </c>
      <c r="F89" t="s">
        <v>279</v>
      </c>
      <c r="G89" s="6">
        <v>42956</v>
      </c>
      <c r="H89">
        <v>120</v>
      </c>
      <c r="I89" t="s">
        <v>282</v>
      </c>
      <c r="K89" s="61">
        <v>4152.12</v>
      </c>
      <c r="L89" s="1">
        <v>4081.42</v>
      </c>
      <c r="M89" s="1">
        <f t="shared" si="14"/>
        <v>70.699999999999818</v>
      </c>
      <c r="N89" s="1">
        <v>18.07</v>
      </c>
      <c r="O89" s="11">
        <f t="shared" si="15"/>
        <v>52.629999999999818</v>
      </c>
      <c r="P89" s="24">
        <f t="shared" si="13"/>
        <v>1.7322402497170097E-2</v>
      </c>
    </row>
    <row r="90" spans="2:16" hidden="1">
      <c r="B90" t="s">
        <v>283</v>
      </c>
      <c r="C90">
        <v>11</v>
      </c>
      <c r="E90">
        <v>7</v>
      </c>
      <c r="F90" t="s">
        <v>279</v>
      </c>
      <c r="G90" s="6">
        <v>42956</v>
      </c>
      <c r="H90">
        <v>120</v>
      </c>
      <c r="I90" t="s">
        <v>284</v>
      </c>
      <c r="K90" s="61">
        <v>1496.11</v>
      </c>
      <c r="L90" s="1">
        <v>1464.82</v>
      </c>
      <c r="M90" s="1">
        <f t="shared" si="14"/>
        <v>31.289999999999964</v>
      </c>
      <c r="N90" s="1">
        <v>17.07</v>
      </c>
      <c r="O90" s="11">
        <f t="shared" si="15"/>
        <v>14.219999999999963</v>
      </c>
      <c r="P90" s="24">
        <f t="shared" si="13"/>
        <v>2.1360986332791709E-2</v>
      </c>
    </row>
    <row r="91" spans="2:16" hidden="1">
      <c r="B91" t="s">
        <v>285</v>
      </c>
      <c r="C91">
        <v>12</v>
      </c>
      <c r="E91">
        <v>1</v>
      </c>
      <c r="F91" t="s">
        <v>263</v>
      </c>
      <c r="G91" s="6">
        <v>42957</v>
      </c>
      <c r="H91">
        <v>120</v>
      </c>
      <c r="I91" s="72" t="s">
        <v>286</v>
      </c>
      <c r="J91" s="72"/>
      <c r="K91" s="61">
        <v>1107.68</v>
      </c>
      <c r="L91" s="111">
        <v>1076.3800000000001</v>
      </c>
      <c r="M91" s="1">
        <f t="shared" si="14"/>
        <v>31.299999999999955</v>
      </c>
      <c r="N91">
        <v>11.96</v>
      </c>
      <c r="O91" s="11">
        <f t="shared" si="15"/>
        <v>19.339999999999954</v>
      </c>
      <c r="P91" s="24">
        <f t="shared" si="13"/>
        <v>2.9078949813262867E-2</v>
      </c>
    </row>
    <row r="92" spans="2:16" hidden="1">
      <c r="B92" t="s">
        <v>287</v>
      </c>
      <c r="C92">
        <v>13</v>
      </c>
      <c r="E92">
        <v>22</v>
      </c>
      <c r="F92" t="s">
        <v>271</v>
      </c>
      <c r="G92" s="6">
        <v>42958</v>
      </c>
      <c r="H92">
        <v>60</v>
      </c>
      <c r="I92" s="93" t="s">
        <v>288</v>
      </c>
      <c r="J92" s="93"/>
      <c r="K92" s="61">
        <v>3182.96</v>
      </c>
      <c r="L92" s="1">
        <v>3143.14</v>
      </c>
      <c r="M92" s="1">
        <f t="shared" si="14"/>
        <v>39.820000000000164</v>
      </c>
      <c r="O92" s="11">
        <f t="shared" si="15"/>
        <v>39.820000000000164</v>
      </c>
      <c r="P92" s="24">
        <f t="shared" si="13"/>
        <v>1.2668859802617893E-2</v>
      </c>
    </row>
    <row r="93" spans="2:16" hidden="1">
      <c r="B93" t="s">
        <v>289</v>
      </c>
      <c r="C93">
        <v>14</v>
      </c>
      <c r="E93">
        <v>1</v>
      </c>
      <c r="F93" s="99" t="s">
        <v>244</v>
      </c>
      <c r="G93" s="6">
        <v>42959</v>
      </c>
      <c r="H93">
        <v>30</v>
      </c>
      <c r="I93" t="s">
        <v>290</v>
      </c>
      <c r="K93" s="61">
        <v>59.87</v>
      </c>
      <c r="L93" s="1">
        <v>31.95</v>
      </c>
      <c r="M93" s="1">
        <f t="shared" si="14"/>
        <v>27.919999999999998</v>
      </c>
      <c r="N93" s="1">
        <v>9.0299999999999994</v>
      </c>
      <c r="O93" s="11">
        <f t="shared" si="15"/>
        <v>18.89</v>
      </c>
      <c r="P93" s="24">
        <f t="shared" si="13"/>
        <v>0.87386541471048518</v>
      </c>
    </row>
    <row r="94" spans="2:16" hidden="1">
      <c r="B94" t="s">
        <v>291</v>
      </c>
      <c r="C94">
        <v>15</v>
      </c>
      <c r="E94">
        <v>14</v>
      </c>
      <c r="F94" t="s">
        <v>139</v>
      </c>
      <c r="G94" s="6">
        <v>42961</v>
      </c>
      <c r="H94">
        <v>60</v>
      </c>
      <c r="I94" t="s">
        <v>292</v>
      </c>
      <c r="K94" s="61">
        <v>1595.16</v>
      </c>
      <c r="L94" s="1">
        <v>1470</v>
      </c>
      <c r="M94" s="1">
        <f t="shared" si="14"/>
        <v>125.16000000000008</v>
      </c>
      <c r="N94" s="1">
        <f>8.65+10.76</f>
        <v>19.41</v>
      </c>
      <c r="O94" s="11">
        <f t="shared" si="15"/>
        <v>105.75000000000009</v>
      </c>
      <c r="P94" s="24">
        <f t="shared" si="13"/>
        <v>8.5142857142857187E-2</v>
      </c>
    </row>
    <row r="95" spans="2:16" hidden="1">
      <c r="B95" t="s">
        <v>293</v>
      </c>
      <c r="C95">
        <v>16</v>
      </c>
      <c r="E95">
        <v>40</v>
      </c>
      <c r="F95" t="s">
        <v>294</v>
      </c>
      <c r="G95" s="6">
        <v>42962</v>
      </c>
      <c r="H95">
        <v>80</v>
      </c>
      <c r="I95" t="s">
        <v>295</v>
      </c>
      <c r="K95" s="61">
        <v>2437.1999999999998</v>
      </c>
      <c r="L95" s="1">
        <v>2361.6</v>
      </c>
      <c r="M95" s="1">
        <f t="shared" si="14"/>
        <v>75.599999999999909</v>
      </c>
      <c r="N95" s="1">
        <v>22.49</v>
      </c>
      <c r="O95" s="11">
        <f t="shared" si="15"/>
        <v>53.109999999999914</v>
      </c>
      <c r="P95" s="24">
        <f t="shared" si="13"/>
        <v>3.2012195121951192E-2</v>
      </c>
    </row>
    <row r="96" spans="2:16" hidden="1">
      <c r="B96" t="s">
        <v>296</v>
      </c>
      <c r="C96">
        <v>17</v>
      </c>
      <c r="E96">
        <v>11</v>
      </c>
      <c r="F96" t="s">
        <v>297</v>
      </c>
      <c r="G96" s="6">
        <v>42963</v>
      </c>
      <c r="H96">
        <v>150</v>
      </c>
      <c r="I96" s="75" t="s">
        <v>298</v>
      </c>
      <c r="J96" s="75"/>
      <c r="K96" s="1">
        <v>0</v>
      </c>
      <c r="L96" s="1">
        <v>0</v>
      </c>
      <c r="M96" s="1">
        <f t="shared" si="14"/>
        <v>0</v>
      </c>
      <c r="O96" s="11">
        <f t="shared" si="15"/>
        <v>0</v>
      </c>
    </row>
    <row r="97" spans="1:16" hidden="1">
      <c r="B97" t="s">
        <v>299</v>
      </c>
      <c r="C97">
        <v>18</v>
      </c>
      <c r="E97">
        <v>2</v>
      </c>
      <c r="F97" t="s">
        <v>155</v>
      </c>
      <c r="G97" s="6">
        <v>42964</v>
      </c>
      <c r="H97">
        <v>220</v>
      </c>
      <c r="I97" s="83" t="s">
        <v>300</v>
      </c>
      <c r="J97" s="83"/>
      <c r="K97" s="1">
        <v>1516.72</v>
      </c>
      <c r="L97" s="1">
        <v>1483.64</v>
      </c>
      <c r="M97" s="1">
        <f t="shared" si="14"/>
        <v>33.079999999999927</v>
      </c>
      <c r="N97" s="1">
        <v>12.32</v>
      </c>
      <c r="O97" s="11">
        <f t="shared" si="15"/>
        <v>20.759999999999927</v>
      </c>
      <c r="P97" s="24">
        <f>(K97/L97)-1</f>
        <v>2.229651397913246E-2</v>
      </c>
    </row>
    <row r="98" spans="1:16" hidden="1">
      <c r="B98" t="s">
        <v>301</v>
      </c>
      <c r="C98">
        <v>19</v>
      </c>
      <c r="E98">
        <v>1</v>
      </c>
      <c r="F98" t="s">
        <v>279</v>
      </c>
      <c r="G98" s="6">
        <v>42969</v>
      </c>
      <c r="H98">
        <v>90</v>
      </c>
      <c r="I98" s="83" t="s">
        <v>302</v>
      </c>
      <c r="J98" s="83"/>
      <c r="K98" s="63">
        <v>528.36</v>
      </c>
      <c r="L98" s="1">
        <v>485.4</v>
      </c>
      <c r="M98" s="1">
        <f t="shared" si="14"/>
        <v>42.960000000000036</v>
      </c>
      <c r="N98">
        <v>22.6</v>
      </c>
      <c r="O98" s="11">
        <f t="shared" si="15"/>
        <v>20.360000000000035</v>
      </c>
      <c r="P98" s="24">
        <f>(K98/L98)-1</f>
        <v>8.8504326328801008E-2</v>
      </c>
    </row>
    <row r="99" spans="1:16" hidden="1">
      <c r="B99" t="s">
        <v>303</v>
      </c>
      <c r="C99">
        <v>20</v>
      </c>
      <c r="E99">
        <v>18</v>
      </c>
      <c r="F99" t="s">
        <v>155</v>
      </c>
      <c r="G99" s="6">
        <v>42970</v>
      </c>
      <c r="H99">
        <v>240</v>
      </c>
      <c r="I99" s="83" t="s">
        <v>304</v>
      </c>
      <c r="J99" s="83"/>
      <c r="K99" s="1">
        <v>2500.7399999999998</v>
      </c>
      <c r="L99" s="1">
        <v>2454</v>
      </c>
      <c r="M99" s="1">
        <f t="shared" si="14"/>
        <v>46.739999999999782</v>
      </c>
      <c r="N99" s="1">
        <v>12.32</v>
      </c>
      <c r="O99" s="11">
        <f t="shared" si="15"/>
        <v>34.419999999999781</v>
      </c>
      <c r="P99" s="24">
        <f>(QuoteCal!D5/QuoteCal!E5)-1</f>
        <v>3.4649974857713151E-2</v>
      </c>
    </row>
    <row r="100" spans="1:16" hidden="1">
      <c r="B100" t="s">
        <v>305</v>
      </c>
      <c r="C100">
        <v>21</v>
      </c>
      <c r="E100">
        <v>1</v>
      </c>
      <c r="F100" t="s">
        <v>135</v>
      </c>
      <c r="G100" s="6">
        <v>42970</v>
      </c>
      <c r="H100">
        <v>40</v>
      </c>
      <c r="I100" t="s">
        <v>306</v>
      </c>
      <c r="K100" s="63">
        <v>2673.64</v>
      </c>
      <c r="L100" s="106">
        <v>2631.34</v>
      </c>
      <c r="M100" s="1">
        <f t="shared" si="14"/>
        <v>42.299999999999727</v>
      </c>
      <c r="N100">
        <v>9.64</v>
      </c>
      <c r="O100" s="11">
        <f t="shared" si="15"/>
        <v>32.659999999999727</v>
      </c>
      <c r="P100" s="24">
        <f>(QuoteCal!D6/QuoteCal!E6)-1</f>
        <v>3.8816582523187204E-2</v>
      </c>
    </row>
    <row r="101" spans="1:16" hidden="1">
      <c r="B101" s="99" t="s">
        <v>307</v>
      </c>
      <c r="C101">
        <v>22</v>
      </c>
      <c r="E101">
        <v>1</v>
      </c>
      <c r="F101" t="s">
        <v>308</v>
      </c>
      <c r="G101" s="6">
        <v>42976</v>
      </c>
      <c r="H101">
        <v>160</v>
      </c>
      <c r="I101" t="s">
        <v>309</v>
      </c>
      <c r="K101" s="9">
        <v>2324.54</v>
      </c>
      <c r="L101" s="1">
        <v>2285</v>
      </c>
      <c r="M101" s="1">
        <f t="shared" si="14"/>
        <v>39.539999999999964</v>
      </c>
      <c r="N101" s="1">
        <v>15.91</v>
      </c>
      <c r="O101" s="11">
        <f t="shared" si="15"/>
        <v>23.629999999999963</v>
      </c>
      <c r="P101" s="24">
        <f>(QuoteCal!D7/QuoteCal!E7)-1</f>
        <v>3.9802126266515137E-2</v>
      </c>
    </row>
    <row r="102" spans="1:16" hidden="1">
      <c r="B102" t="s">
        <v>310</v>
      </c>
      <c r="C102">
        <v>23</v>
      </c>
      <c r="E102">
        <v>60</v>
      </c>
      <c r="F102" t="s">
        <v>223</v>
      </c>
      <c r="G102" s="6">
        <v>42978</v>
      </c>
      <c r="H102">
        <v>140</v>
      </c>
      <c r="I102" t="s">
        <v>311</v>
      </c>
      <c r="K102" s="63">
        <v>12428.4</v>
      </c>
      <c r="L102" s="1">
        <v>12300</v>
      </c>
      <c r="M102" s="1">
        <f t="shared" si="14"/>
        <v>128.39999999999964</v>
      </c>
      <c r="N102">
        <v>14.7</v>
      </c>
      <c r="O102" s="11">
        <f t="shared" si="15"/>
        <v>113.69999999999963</v>
      </c>
      <c r="P102" s="24">
        <f>(K102/L102)-1</f>
        <v>1.0439024390243912E-2</v>
      </c>
    </row>
    <row r="103" spans="1:16" hidden="1">
      <c r="B103" t="s">
        <v>312</v>
      </c>
      <c r="C103">
        <v>24</v>
      </c>
      <c r="E103">
        <v>25</v>
      </c>
      <c r="F103" t="s">
        <v>220</v>
      </c>
      <c r="G103" s="6">
        <v>42978</v>
      </c>
      <c r="H103">
        <v>30</v>
      </c>
      <c r="I103" s="83" t="s">
        <v>313</v>
      </c>
      <c r="J103" s="83"/>
      <c r="K103" s="63">
        <v>627.75</v>
      </c>
      <c r="L103" s="107">
        <v>601.75</v>
      </c>
      <c r="M103" s="1">
        <f t="shared" si="14"/>
        <v>26</v>
      </c>
      <c r="O103" s="11">
        <f t="shared" si="15"/>
        <v>26</v>
      </c>
      <c r="P103" s="24">
        <f>(K103/L103)-1</f>
        <v>4.3207312006647181E-2</v>
      </c>
    </row>
    <row r="104" spans="1:16" hidden="1">
      <c r="B104" t="s">
        <v>314</v>
      </c>
      <c r="C104">
        <v>25</v>
      </c>
      <c r="E104">
        <v>1</v>
      </c>
      <c r="F104" t="s">
        <v>315</v>
      </c>
      <c r="G104" s="6">
        <v>42978</v>
      </c>
      <c r="H104">
        <v>100</v>
      </c>
      <c r="I104" s="83" t="s">
        <v>316</v>
      </c>
      <c r="J104" s="83"/>
      <c r="K104" s="122">
        <v>1411</v>
      </c>
      <c r="L104" s="1">
        <v>1396</v>
      </c>
      <c r="M104" s="1">
        <f t="shared" si="14"/>
        <v>15</v>
      </c>
      <c r="O104" s="11">
        <f t="shared" si="15"/>
        <v>15</v>
      </c>
      <c r="P104" s="24">
        <f>(K104/L104)-1</f>
        <v>1.0744985673352359E-2</v>
      </c>
    </row>
    <row r="105" spans="1:16" hidden="1">
      <c r="K105" s="64">
        <f>SUM(K80:K104)</f>
        <v>60890.890000000007</v>
      </c>
      <c r="L105" s="11">
        <f>SUM(L80:L104)</f>
        <v>59750.520000000004</v>
      </c>
      <c r="M105" s="26">
        <f>SUM(M81:M104)</f>
        <v>1172.3699999999999</v>
      </c>
      <c r="O105" s="11"/>
      <c r="P105" s="129">
        <f>(K105/L105)-1</f>
        <v>1.9085524276608812E-2</v>
      </c>
    </row>
    <row r="106" spans="1:16" hidden="1"/>
    <row r="107" spans="1:16" hidden="1">
      <c r="A107">
        <v>1</v>
      </c>
      <c r="B107" t="s">
        <v>317</v>
      </c>
      <c r="C107">
        <v>1</v>
      </c>
      <c r="E107">
        <v>4</v>
      </c>
      <c r="F107" t="s">
        <v>257</v>
      </c>
      <c r="G107" s="6">
        <v>42979</v>
      </c>
      <c r="H107">
        <v>60</v>
      </c>
      <c r="I107" t="s">
        <v>318</v>
      </c>
      <c r="K107" s="63">
        <v>2373.6</v>
      </c>
      <c r="L107" s="11">
        <v>2324</v>
      </c>
      <c r="M107" s="1">
        <f t="shared" ref="M107:M129" si="16">K107-L107</f>
        <v>49.599999999999909</v>
      </c>
      <c r="N107">
        <v>16.95</v>
      </c>
      <c r="O107" s="11">
        <f t="shared" ref="O107:O138" si="17">M107-N107</f>
        <v>32.649999999999906</v>
      </c>
      <c r="P107" s="24">
        <f t="shared" ref="P107:P138" si="18">(K107/L107)-1</f>
        <v>2.1342512908777866E-2</v>
      </c>
    </row>
    <row r="108" spans="1:16" hidden="1">
      <c r="A108">
        <v>2</v>
      </c>
      <c r="B108" t="s">
        <v>319</v>
      </c>
      <c r="C108">
        <v>2</v>
      </c>
      <c r="E108">
        <v>15</v>
      </c>
      <c r="F108" t="s">
        <v>131</v>
      </c>
      <c r="G108" s="6">
        <v>42983</v>
      </c>
      <c r="H108">
        <v>90</v>
      </c>
      <c r="I108" t="s">
        <v>320</v>
      </c>
      <c r="K108" s="61">
        <v>561.29999999999995</v>
      </c>
      <c r="L108" s="11">
        <v>525.45000000000005</v>
      </c>
      <c r="M108" s="1">
        <f t="shared" si="16"/>
        <v>35.849999999999909</v>
      </c>
      <c r="N108">
        <v>18.309999999999999</v>
      </c>
      <c r="O108" s="11">
        <f t="shared" si="17"/>
        <v>17.53999999999991</v>
      </c>
      <c r="P108" s="24">
        <f t="shared" si="18"/>
        <v>6.8227233799600162E-2</v>
      </c>
    </row>
    <row r="109" spans="1:16" hidden="1">
      <c r="A109">
        <v>3</v>
      </c>
      <c r="B109" t="s">
        <v>321</v>
      </c>
      <c r="C109">
        <v>3</v>
      </c>
      <c r="E109">
        <v>2</v>
      </c>
      <c r="F109" t="s">
        <v>271</v>
      </c>
      <c r="G109" s="6">
        <v>42983</v>
      </c>
      <c r="H109">
        <v>70</v>
      </c>
      <c r="I109" t="s">
        <v>322</v>
      </c>
      <c r="K109" s="63">
        <v>806.72</v>
      </c>
      <c r="L109" s="1">
        <v>775.5</v>
      </c>
      <c r="M109" s="1">
        <f t="shared" si="16"/>
        <v>31.220000000000027</v>
      </c>
      <c r="O109" s="11">
        <f t="shared" si="17"/>
        <v>31.220000000000027</v>
      </c>
      <c r="P109" s="24">
        <f t="shared" si="18"/>
        <v>4.0257898130238612E-2</v>
      </c>
    </row>
    <row r="110" spans="1:16" hidden="1">
      <c r="A110">
        <v>4</v>
      </c>
      <c r="B110" t="s">
        <v>323</v>
      </c>
      <c r="C110">
        <v>4</v>
      </c>
      <c r="E110">
        <v>65</v>
      </c>
      <c r="F110" t="s">
        <v>324</v>
      </c>
      <c r="G110" s="6">
        <v>42984</v>
      </c>
      <c r="H110">
        <v>120</v>
      </c>
      <c r="I110" s="83" t="s">
        <v>325</v>
      </c>
      <c r="J110" s="83"/>
      <c r="K110" s="9">
        <v>8077.55</v>
      </c>
      <c r="L110" s="1">
        <v>7948.85</v>
      </c>
      <c r="M110" s="1">
        <f t="shared" si="16"/>
        <v>128.69999999999982</v>
      </c>
      <c r="N110">
        <v>50.64</v>
      </c>
      <c r="O110" s="11">
        <f t="shared" si="17"/>
        <v>78.059999999999818</v>
      </c>
      <c r="P110" s="24">
        <f t="shared" si="18"/>
        <v>1.6191021342709888E-2</v>
      </c>
    </row>
    <row r="111" spans="1:16" hidden="1">
      <c r="A111">
        <v>5</v>
      </c>
      <c r="B111" t="s">
        <v>326</v>
      </c>
      <c r="C111">
        <v>5</v>
      </c>
      <c r="E111">
        <v>12</v>
      </c>
      <c r="F111" t="s">
        <v>135</v>
      </c>
      <c r="G111" s="6">
        <v>42986</v>
      </c>
      <c r="H111">
        <v>40</v>
      </c>
      <c r="I111" t="s">
        <v>327</v>
      </c>
      <c r="K111" s="122">
        <v>1635.36</v>
      </c>
      <c r="L111" s="1">
        <v>1585.68</v>
      </c>
      <c r="M111" s="1">
        <f t="shared" si="16"/>
        <v>49.679999999999836</v>
      </c>
      <c r="N111">
        <v>11.11</v>
      </c>
      <c r="O111" s="11">
        <f t="shared" si="17"/>
        <v>38.569999999999837</v>
      </c>
      <c r="P111" s="24">
        <f t="shared" si="18"/>
        <v>3.1330407143938199E-2</v>
      </c>
    </row>
    <row r="112" spans="1:16" hidden="1">
      <c r="A112">
        <v>6</v>
      </c>
      <c r="B112" t="s">
        <v>328</v>
      </c>
      <c r="C112">
        <v>6</v>
      </c>
      <c r="E112">
        <v>11</v>
      </c>
      <c r="F112" t="s">
        <v>155</v>
      </c>
      <c r="G112" s="6">
        <v>42986</v>
      </c>
      <c r="H112">
        <v>260</v>
      </c>
      <c r="I112" s="83" t="s">
        <v>329</v>
      </c>
      <c r="J112" s="83"/>
      <c r="K112" s="70">
        <v>7806.04</v>
      </c>
      <c r="L112" s="1">
        <v>7722</v>
      </c>
      <c r="M112" s="1">
        <f t="shared" si="16"/>
        <v>84.039999999999964</v>
      </c>
      <c r="O112" s="11">
        <f t="shared" si="17"/>
        <v>84.039999999999964</v>
      </c>
      <c r="P112" s="24">
        <f t="shared" si="18"/>
        <v>1.0883190883190785E-2</v>
      </c>
    </row>
    <row r="113" spans="1:16" hidden="1">
      <c r="A113">
        <v>7</v>
      </c>
      <c r="B113" t="s">
        <v>330</v>
      </c>
      <c r="C113">
        <v>7</v>
      </c>
      <c r="E113">
        <v>30</v>
      </c>
      <c r="F113" t="s">
        <v>331</v>
      </c>
      <c r="G113" s="6">
        <v>42989</v>
      </c>
      <c r="H113">
        <v>40</v>
      </c>
      <c r="I113" t="s">
        <v>332</v>
      </c>
      <c r="K113" s="63">
        <v>6056.4</v>
      </c>
      <c r="L113" s="1">
        <v>6000</v>
      </c>
      <c r="M113" s="1">
        <f t="shared" si="16"/>
        <v>56.399999999999636</v>
      </c>
      <c r="N113">
        <v>44.5</v>
      </c>
      <c r="O113" s="11">
        <f t="shared" si="17"/>
        <v>11.899999999999636</v>
      </c>
      <c r="P113" s="24">
        <f t="shared" si="18"/>
        <v>9.3999999999998529E-3</v>
      </c>
    </row>
    <row r="114" spans="1:16" hidden="1">
      <c r="A114">
        <v>8</v>
      </c>
      <c r="B114" t="s">
        <v>333</v>
      </c>
      <c r="C114">
        <v>8</v>
      </c>
      <c r="E114">
        <v>1</v>
      </c>
      <c r="F114" t="s">
        <v>135</v>
      </c>
      <c r="G114" s="6">
        <v>42989</v>
      </c>
      <c r="H114">
        <v>40</v>
      </c>
      <c r="I114" t="s">
        <v>334</v>
      </c>
      <c r="K114" s="63">
        <v>156.88</v>
      </c>
      <c r="L114" s="109">
        <v>122.72</v>
      </c>
      <c r="M114" s="1">
        <f t="shared" si="16"/>
        <v>34.159999999999997</v>
      </c>
      <c r="N114">
        <v>9.67</v>
      </c>
      <c r="O114" s="11">
        <f t="shared" si="17"/>
        <v>24.489999999999995</v>
      </c>
      <c r="P114" s="24">
        <f t="shared" si="18"/>
        <v>0.27835723598435469</v>
      </c>
    </row>
    <row r="115" spans="1:16" hidden="1">
      <c r="A115">
        <v>9</v>
      </c>
      <c r="B115" t="s">
        <v>335</v>
      </c>
      <c r="C115">
        <v>9</v>
      </c>
      <c r="E115">
        <v>60</v>
      </c>
      <c r="F115" t="s">
        <v>135</v>
      </c>
      <c r="G115" s="6">
        <v>42990</v>
      </c>
      <c r="H115">
        <v>60</v>
      </c>
      <c r="I115" t="s">
        <v>336</v>
      </c>
      <c r="K115" s="122">
        <v>4111.8</v>
      </c>
      <c r="L115" s="1">
        <v>4040.4</v>
      </c>
      <c r="M115" s="1">
        <f t="shared" si="16"/>
        <v>71.400000000000091</v>
      </c>
      <c r="N115">
        <v>13.89</v>
      </c>
      <c r="O115" s="11">
        <f t="shared" si="17"/>
        <v>57.51000000000009</v>
      </c>
      <c r="P115" s="24">
        <f t="shared" si="18"/>
        <v>1.7671517671517645E-2</v>
      </c>
    </row>
    <row r="116" spans="1:16" hidden="1">
      <c r="A116">
        <v>10</v>
      </c>
      <c r="B116" t="s">
        <v>337</v>
      </c>
      <c r="C116">
        <v>10</v>
      </c>
      <c r="E116">
        <v>16</v>
      </c>
      <c r="F116" t="s">
        <v>129</v>
      </c>
      <c r="G116" s="6">
        <v>42991</v>
      </c>
      <c r="H116">
        <v>100</v>
      </c>
      <c r="I116" t="s">
        <v>338</v>
      </c>
      <c r="K116" s="113">
        <v>14637.12</v>
      </c>
      <c r="L116" s="1">
        <v>14503.61</v>
      </c>
      <c r="M116" s="1">
        <f t="shared" si="16"/>
        <v>133.51000000000022</v>
      </c>
      <c r="N116">
        <v>29.81</v>
      </c>
      <c r="O116" s="11">
        <f t="shared" si="17"/>
        <v>103.70000000000022</v>
      </c>
      <c r="P116" s="24">
        <f t="shared" si="18"/>
        <v>9.2052944060134756E-3</v>
      </c>
    </row>
    <row r="117" spans="1:16" hidden="1">
      <c r="A117">
        <v>11</v>
      </c>
      <c r="B117" t="s">
        <v>339</v>
      </c>
      <c r="C117">
        <v>11</v>
      </c>
      <c r="E117">
        <v>140</v>
      </c>
      <c r="F117" t="s">
        <v>135</v>
      </c>
      <c r="G117" s="6">
        <v>42991</v>
      </c>
      <c r="H117">
        <v>40</v>
      </c>
      <c r="I117" t="s">
        <v>340</v>
      </c>
      <c r="K117" s="63">
        <v>415.8</v>
      </c>
      <c r="L117" s="1">
        <v>341.6</v>
      </c>
      <c r="M117" s="1">
        <f t="shared" si="16"/>
        <v>74.199999999999989</v>
      </c>
      <c r="N117">
        <v>9.67</v>
      </c>
      <c r="O117" s="11">
        <f t="shared" si="17"/>
        <v>64.529999999999987</v>
      </c>
      <c r="P117" s="24">
        <f t="shared" si="18"/>
        <v>0.21721311475409832</v>
      </c>
    </row>
    <row r="118" spans="1:16" hidden="1">
      <c r="A118">
        <v>12</v>
      </c>
      <c r="B118" t="s">
        <v>341</v>
      </c>
      <c r="C118">
        <v>12</v>
      </c>
      <c r="E118">
        <v>13</v>
      </c>
      <c r="F118" t="s">
        <v>135</v>
      </c>
      <c r="G118" s="6">
        <v>42991</v>
      </c>
      <c r="H118">
        <v>40</v>
      </c>
      <c r="I118" t="s">
        <v>342</v>
      </c>
      <c r="K118" s="9">
        <v>2107.3000000000002</v>
      </c>
      <c r="L118" s="1">
        <v>2052.31</v>
      </c>
      <c r="M118" s="1">
        <f t="shared" si="16"/>
        <v>54.990000000000236</v>
      </c>
      <c r="N118">
        <v>12.46</v>
      </c>
      <c r="O118" s="11">
        <f t="shared" si="17"/>
        <v>42.530000000000236</v>
      </c>
      <c r="P118" s="24">
        <f t="shared" si="18"/>
        <v>2.6794197757648908E-2</v>
      </c>
    </row>
    <row r="119" spans="1:16" hidden="1">
      <c r="A119">
        <v>13</v>
      </c>
      <c r="B119" t="s">
        <v>343</v>
      </c>
      <c r="C119">
        <v>13</v>
      </c>
      <c r="E119">
        <v>19</v>
      </c>
      <c r="F119" t="s">
        <v>344</v>
      </c>
      <c r="G119" s="6">
        <v>42991</v>
      </c>
      <c r="H119">
        <v>130</v>
      </c>
      <c r="I119" s="83" t="s">
        <v>345</v>
      </c>
      <c r="J119" s="83"/>
      <c r="K119" s="1">
        <v>1626.59</v>
      </c>
      <c r="L119" s="1">
        <v>1590.11</v>
      </c>
      <c r="M119" s="1">
        <f t="shared" si="16"/>
        <v>36.480000000000018</v>
      </c>
      <c r="N119">
        <v>81.790000000000006</v>
      </c>
      <c r="O119" s="11">
        <f t="shared" si="17"/>
        <v>-45.309999999999988</v>
      </c>
      <c r="P119" s="24">
        <f t="shared" si="18"/>
        <v>2.2941809057235085E-2</v>
      </c>
    </row>
    <row r="120" spans="1:16" hidden="1">
      <c r="A120">
        <v>14</v>
      </c>
      <c r="B120" t="s">
        <v>346</v>
      </c>
      <c r="C120">
        <v>14</v>
      </c>
      <c r="E120">
        <v>172</v>
      </c>
      <c r="F120" t="s">
        <v>347</v>
      </c>
      <c r="G120" s="6">
        <v>42993</v>
      </c>
      <c r="H120">
        <v>130</v>
      </c>
      <c r="I120" t="s">
        <v>348</v>
      </c>
      <c r="K120" s="9">
        <v>19260.560000000001</v>
      </c>
      <c r="L120" s="1">
        <v>19092</v>
      </c>
      <c r="M120" s="1">
        <f t="shared" si="16"/>
        <v>168.56000000000131</v>
      </c>
      <c r="N120">
        <v>0</v>
      </c>
      <c r="O120" s="11">
        <f t="shared" si="17"/>
        <v>168.56000000000131</v>
      </c>
      <c r="P120" s="24">
        <f t="shared" si="18"/>
        <v>8.8288288288289607E-3</v>
      </c>
    </row>
    <row r="121" spans="1:16" hidden="1">
      <c r="A121">
        <v>15</v>
      </c>
      <c r="B121" t="s">
        <v>349</v>
      </c>
      <c r="C121">
        <v>15</v>
      </c>
      <c r="E121">
        <v>1</v>
      </c>
      <c r="F121" t="s">
        <v>129</v>
      </c>
      <c r="G121" s="6">
        <v>42993</v>
      </c>
      <c r="H121">
        <v>120</v>
      </c>
      <c r="I121" t="s">
        <v>350</v>
      </c>
      <c r="K121" s="113">
        <v>2573.9</v>
      </c>
      <c r="L121" s="1">
        <v>2531.6999999999998</v>
      </c>
      <c r="M121" s="1">
        <f t="shared" si="16"/>
        <v>42.200000000000273</v>
      </c>
      <c r="N121">
        <v>13.19</v>
      </c>
      <c r="O121" s="11">
        <f t="shared" si="17"/>
        <v>29.010000000000275</v>
      </c>
      <c r="P121" s="24">
        <f t="shared" si="18"/>
        <v>1.6668641624205227E-2</v>
      </c>
    </row>
    <row r="122" spans="1:16" hidden="1">
      <c r="A122">
        <v>16</v>
      </c>
      <c r="B122" t="s">
        <v>351</v>
      </c>
      <c r="C122">
        <v>16</v>
      </c>
      <c r="E122">
        <v>6</v>
      </c>
      <c r="F122" t="s">
        <v>139</v>
      </c>
      <c r="G122" s="6">
        <v>42997</v>
      </c>
      <c r="H122">
        <v>110</v>
      </c>
      <c r="I122" t="s">
        <v>352</v>
      </c>
      <c r="K122" s="63">
        <v>4236</v>
      </c>
      <c r="L122" s="1">
        <v>4116</v>
      </c>
      <c r="M122" s="1">
        <f t="shared" si="16"/>
        <v>120</v>
      </c>
      <c r="O122" s="11">
        <f t="shared" si="17"/>
        <v>120</v>
      </c>
      <c r="P122" s="24">
        <f t="shared" si="18"/>
        <v>2.9154518950437414E-2</v>
      </c>
    </row>
    <row r="123" spans="1:16" hidden="1">
      <c r="A123">
        <v>17</v>
      </c>
      <c r="B123" t="s">
        <v>353</v>
      </c>
      <c r="C123">
        <v>17</v>
      </c>
      <c r="E123">
        <v>114</v>
      </c>
      <c r="F123" t="s">
        <v>139</v>
      </c>
      <c r="G123" s="6">
        <v>42997</v>
      </c>
      <c r="H123">
        <v>40</v>
      </c>
      <c r="I123" t="s">
        <v>354</v>
      </c>
      <c r="K123" s="9">
        <v>733.02</v>
      </c>
      <c r="L123" s="1">
        <v>621.29999999999995</v>
      </c>
      <c r="M123" s="1">
        <f t="shared" si="16"/>
        <v>111.72000000000003</v>
      </c>
      <c r="N123">
        <v>11.59</v>
      </c>
      <c r="O123" s="11">
        <f t="shared" si="17"/>
        <v>100.13000000000002</v>
      </c>
      <c r="P123" s="24">
        <f t="shared" si="18"/>
        <v>0.17981651376146801</v>
      </c>
    </row>
    <row r="124" spans="1:16" hidden="1">
      <c r="A124">
        <v>18</v>
      </c>
      <c r="B124" t="s">
        <v>355</v>
      </c>
      <c r="C124">
        <v>18</v>
      </c>
      <c r="E124">
        <v>28</v>
      </c>
      <c r="F124" t="s">
        <v>356</v>
      </c>
      <c r="G124" s="6">
        <v>42998</v>
      </c>
      <c r="H124">
        <v>60</v>
      </c>
      <c r="I124" t="s">
        <v>357</v>
      </c>
      <c r="K124" s="63">
        <v>1707.44</v>
      </c>
      <c r="L124" s="1">
        <v>1680</v>
      </c>
      <c r="M124" s="1">
        <f t="shared" si="16"/>
        <v>27.440000000000055</v>
      </c>
      <c r="N124">
        <v>0</v>
      </c>
      <c r="O124" s="11">
        <f t="shared" si="17"/>
        <v>27.440000000000055</v>
      </c>
      <c r="P124" s="24">
        <f t="shared" si="18"/>
        <v>1.6333333333333311E-2</v>
      </c>
    </row>
    <row r="125" spans="1:16" hidden="1">
      <c r="A125">
        <v>19</v>
      </c>
      <c r="B125" t="s">
        <v>358</v>
      </c>
      <c r="C125">
        <v>19</v>
      </c>
      <c r="E125">
        <v>82</v>
      </c>
      <c r="F125" t="s">
        <v>359</v>
      </c>
      <c r="G125" s="6">
        <v>42998</v>
      </c>
      <c r="H125">
        <v>40</v>
      </c>
      <c r="I125" t="s">
        <v>360</v>
      </c>
      <c r="K125" s="61">
        <v>8784.66</v>
      </c>
      <c r="L125" s="1">
        <v>8687.9</v>
      </c>
      <c r="M125" s="1">
        <f t="shared" si="16"/>
        <v>96.760000000000218</v>
      </c>
      <c r="N125">
        <v>27.39</v>
      </c>
      <c r="O125" s="11">
        <f t="shared" si="17"/>
        <v>69.370000000000218</v>
      </c>
      <c r="P125" s="24">
        <f t="shared" si="18"/>
        <v>1.1137328928739976E-2</v>
      </c>
    </row>
    <row r="126" spans="1:16" hidden="1">
      <c r="A126">
        <v>20</v>
      </c>
      <c r="B126" t="s">
        <v>361</v>
      </c>
      <c r="C126">
        <v>20</v>
      </c>
      <c r="E126">
        <v>5</v>
      </c>
      <c r="F126" t="s">
        <v>135</v>
      </c>
      <c r="G126" s="6"/>
      <c r="H126">
        <v>40</v>
      </c>
      <c r="I126" t="s">
        <v>362</v>
      </c>
      <c r="K126" s="9">
        <v>1898.9</v>
      </c>
      <c r="L126" s="11">
        <v>1830.5</v>
      </c>
      <c r="M126" s="11">
        <f t="shared" si="16"/>
        <v>68.400000000000091</v>
      </c>
      <c r="N126">
        <v>11.62</v>
      </c>
      <c r="O126" s="11">
        <f t="shared" si="17"/>
        <v>56.780000000000094</v>
      </c>
      <c r="P126" s="24">
        <f t="shared" si="18"/>
        <v>3.7366839661294726E-2</v>
      </c>
    </row>
    <row r="127" spans="1:16" hidden="1">
      <c r="A127">
        <v>21</v>
      </c>
      <c r="B127" t="s">
        <v>363</v>
      </c>
      <c r="C127">
        <v>21</v>
      </c>
      <c r="E127">
        <v>29</v>
      </c>
      <c r="F127" t="s">
        <v>135</v>
      </c>
      <c r="G127" s="6">
        <v>43005</v>
      </c>
      <c r="H127">
        <v>70</v>
      </c>
      <c r="I127" t="s">
        <v>364</v>
      </c>
      <c r="K127" s="63">
        <v>10145.36</v>
      </c>
      <c r="L127" s="11">
        <v>10035.450000000001</v>
      </c>
      <c r="M127" s="11">
        <f t="shared" si="16"/>
        <v>109.90999999999985</v>
      </c>
      <c r="N127">
        <v>18.16</v>
      </c>
      <c r="O127" s="11">
        <f t="shared" si="17"/>
        <v>91.749999999999858</v>
      </c>
      <c r="P127" s="24">
        <f t="shared" si="18"/>
        <v>1.0952174541251303E-2</v>
      </c>
    </row>
    <row r="128" spans="1:16" hidden="1">
      <c r="A128">
        <v>22</v>
      </c>
      <c r="B128" t="s">
        <v>365</v>
      </c>
      <c r="C128">
        <v>22</v>
      </c>
      <c r="E128">
        <v>220</v>
      </c>
      <c r="F128" t="s">
        <v>229</v>
      </c>
      <c r="G128" s="6">
        <v>43006</v>
      </c>
      <c r="H128">
        <v>60</v>
      </c>
      <c r="I128" t="s">
        <v>366</v>
      </c>
      <c r="K128" s="63">
        <v>33400.400000000001</v>
      </c>
      <c r="L128" s="11">
        <v>32834</v>
      </c>
      <c r="M128" s="11">
        <f t="shared" si="16"/>
        <v>566.40000000000146</v>
      </c>
      <c r="N128">
        <v>0</v>
      </c>
      <c r="O128" s="11">
        <f t="shared" si="17"/>
        <v>566.40000000000146</v>
      </c>
      <c r="P128" s="24">
        <f t="shared" si="18"/>
        <v>1.7250411159164258E-2</v>
      </c>
    </row>
    <row r="129" spans="1:19" hidden="1">
      <c r="A129">
        <v>23</v>
      </c>
      <c r="B129" t="s">
        <v>367</v>
      </c>
      <c r="C129">
        <v>23</v>
      </c>
      <c r="E129">
        <v>10</v>
      </c>
      <c r="F129" t="s">
        <v>368</v>
      </c>
      <c r="G129" s="6"/>
      <c r="H129">
        <v>70</v>
      </c>
      <c r="I129" t="s">
        <v>369</v>
      </c>
      <c r="K129" s="61">
        <v>358.2</v>
      </c>
      <c r="L129" s="11">
        <v>330</v>
      </c>
      <c r="M129" s="11">
        <f t="shared" si="16"/>
        <v>28.199999999999989</v>
      </c>
      <c r="N129">
        <v>9.69</v>
      </c>
      <c r="O129" s="11">
        <f t="shared" si="17"/>
        <v>18.509999999999991</v>
      </c>
      <c r="P129" s="24">
        <f t="shared" si="18"/>
        <v>8.545454545454545E-2</v>
      </c>
    </row>
    <row r="130" spans="1:19" hidden="1">
      <c r="K130" s="64">
        <f>SUM(K107:K129)</f>
        <v>133470.90000000002</v>
      </c>
      <c r="L130" s="11">
        <f>SUM(L107:L129)</f>
        <v>131291.08000000002</v>
      </c>
      <c r="M130" s="26">
        <f>SUM(M107:M129)</f>
        <v>2179.8200000000024</v>
      </c>
      <c r="O130" s="11">
        <f t="shared" si="17"/>
        <v>2179.8200000000024</v>
      </c>
      <c r="P130" s="129">
        <f t="shared" si="18"/>
        <v>1.6602955813906028E-2</v>
      </c>
    </row>
    <row r="131" spans="1:19">
      <c r="B131" t="s">
        <v>370</v>
      </c>
      <c r="E131">
        <v>1</v>
      </c>
      <c r="F131" s="75" t="s">
        <v>371</v>
      </c>
      <c r="G131" s="6">
        <v>43010</v>
      </c>
      <c r="H131">
        <v>310</v>
      </c>
      <c r="I131" t="s">
        <v>372</v>
      </c>
      <c r="K131" s="9">
        <v>1902.48</v>
      </c>
      <c r="L131" s="11">
        <v>1866</v>
      </c>
      <c r="M131" s="11">
        <f>K131-L131</f>
        <v>36.480000000000018</v>
      </c>
      <c r="O131" s="11">
        <f t="shared" si="17"/>
        <v>36.480000000000018</v>
      </c>
      <c r="P131" s="24">
        <f t="shared" si="18"/>
        <v>1.9549839228295784E-2</v>
      </c>
    </row>
    <row r="132" spans="1:19">
      <c r="A132">
        <v>2</v>
      </c>
      <c r="B132" t="s">
        <v>373</v>
      </c>
      <c r="E132">
        <v>12</v>
      </c>
      <c r="F132" t="s">
        <v>374</v>
      </c>
      <c r="G132" s="6">
        <v>43010</v>
      </c>
      <c r="H132">
        <v>40</v>
      </c>
      <c r="I132" t="s">
        <v>375</v>
      </c>
      <c r="K132" s="63">
        <v>486.12</v>
      </c>
      <c r="L132" s="11">
        <v>442.92</v>
      </c>
      <c r="M132" s="11">
        <f>K132-L132</f>
        <v>43.199999999999989</v>
      </c>
      <c r="N132">
        <v>10.6</v>
      </c>
      <c r="O132" s="11">
        <f t="shared" si="17"/>
        <v>32.599999999999987</v>
      </c>
      <c r="P132" s="24">
        <f t="shared" si="18"/>
        <v>9.7534543484150582E-2</v>
      </c>
    </row>
    <row r="133" spans="1:19">
      <c r="A133">
        <v>3</v>
      </c>
      <c r="B133" t="s">
        <v>376</v>
      </c>
      <c r="E133">
        <v>1</v>
      </c>
      <c r="F133" t="s">
        <v>135</v>
      </c>
      <c r="G133" s="6">
        <v>43011</v>
      </c>
      <c r="H133">
        <v>40</v>
      </c>
      <c r="I133" t="s">
        <v>377</v>
      </c>
      <c r="J133" s="117"/>
      <c r="K133" s="9">
        <v>486.34</v>
      </c>
      <c r="L133">
        <v>452.75</v>
      </c>
      <c r="M133" s="11">
        <f>K133-L133</f>
        <v>33.589999999999975</v>
      </c>
      <c r="N133">
        <v>10.51</v>
      </c>
      <c r="O133" s="11">
        <f t="shared" si="17"/>
        <v>23.079999999999977</v>
      </c>
      <c r="P133" s="24">
        <f t="shared" si="18"/>
        <v>7.4191054665930345E-2</v>
      </c>
    </row>
    <row r="134" spans="1:19">
      <c r="A134">
        <v>4</v>
      </c>
      <c r="B134" t="s">
        <v>378</v>
      </c>
      <c r="E134">
        <v>18</v>
      </c>
      <c r="F134" t="s">
        <v>379</v>
      </c>
      <c r="G134" s="6">
        <v>43011</v>
      </c>
      <c r="H134">
        <v>110</v>
      </c>
      <c r="I134" t="s">
        <v>380</v>
      </c>
      <c r="J134" s="117"/>
      <c r="K134" s="70">
        <v>1283.22</v>
      </c>
      <c r="L134">
        <v>1250.28</v>
      </c>
      <c r="M134" s="11">
        <f>K134-L134</f>
        <v>32.940000000000055</v>
      </c>
      <c r="N134">
        <v>15.36</v>
      </c>
      <c r="O134" s="11">
        <f t="shared" si="17"/>
        <v>17.580000000000055</v>
      </c>
      <c r="P134" s="24">
        <f t="shared" si="18"/>
        <v>2.634609847394187E-2</v>
      </c>
    </row>
    <row r="135" spans="1:19">
      <c r="A135">
        <v>5</v>
      </c>
      <c r="B135" t="s">
        <v>381</v>
      </c>
      <c r="E135">
        <v>68</v>
      </c>
      <c r="F135" t="s">
        <v>347</v>
      </c>
      <c r="G135" s="6">
        <v>43012</v>
      </c>
      <c r="H135">
        <v>100</v>
      </c>
      <c r="I135" s="121" t="s">
        <v>382</v>
      </c>
      <c r="J135" s="139"/>
      <c r="K135" s="9">
        <v>0</v>
      </c>
      <c r="L135" s="11">
        <v>0</v>
      </c>
      <c r="M135" s="11">
        <v>0</v>
      </c>
      <c r="O135" s="11">
        <f t="shared" si="17"/>
        <v>0</v>
      </c>
      <c r="P135" s="24" t="e">
        <f t="shared" si="18"/>
        <v>#DIV/0!</v>
      </c>
    </row>
    <row r="136" spans="1:19">
      <c r="A136">
        <v>6</v>
      </c>
      <c r="B136" t="s">
        <v>383</v>
      </c>
      <c r="E136">
        <v>3</v>
      </c>
      <c r="F136" t="s">
        <v>308</v>
      </c>
      <c r="G136" s="6">
        <v>43012</v>
      </c>
      <c r="H136">
        <v>200</v>
      </c>
      <c r="I136" s="72" t="s">
        <v>384</v>
      </c>
      <c r="J136" s="140" t="s">
        <v>385</v>
      </c>
      <c r="K136" s="70">
        <v>3133.8</v>
      </c>
      <c r="L136" s="11">
        <v>3045</v>
      </c>
      <c r="M136" s="11">
        <f t="shared" ref="M136:M166" si="19">K136-L136</f>
        <v>88.800000000000182</v>
      </c>
      <c r="O136" s="11">
        <f t="shared" si="17"/>
        <v>88.800000000000182</v>
      </c>
      <c r="P136" s="24">
        <f t="shared" si="18"/>
        <v>2.9162561576354662E-2</v>
      </c>
    </row>
    <row r="137" spans="1:19">
      <c r="A137">
        <v>7</v>
      </c>
      <c r="B137" t="s">
        <v>386</v>
      </c>
      <c r="E137">
        <v>6</v>
      </c>
      <c r="F137" t="s">
        <v>129</v>
      </c>
      <c r="G137" s="6">
        <v>43014</v>
      </c>
      <c r="H137">
        <v>100</v>
      </c>
      <c r="I137" s="72" t="s">
        <v>387</v>
      </c>
      <c r="J137" s="140"/>
      <c r="K137" s="70">
        <v>4894.38</v>
      </c>
      <c r="L137" s="11">
        <v>4810.99</v>
      </c>
      <c r="M137" s="11">
        <f t="shared" si="19"/>
        <v>83.390000000000327</v>
      </c>
      <c r="N137">
        <v>12.06</v>
      </c>
      <c r="O137" s="11">
        <f t="shared" si="17"/>
        <v>71.330000000000325</v>
      </c>
      <c r="P137" s="24">
        <f t="shared" si="18"/>
        <v>1.733323079033644E-2</v>
      </c>
    </row>
    <row r="138" spans="1:19">
      <c r="A138">
        <v>8</v>
      </c>
      <c r="B138" t="s">
        <v>388</v>
      </c>
      <c r="E138">
        <v>19</v>
      </c>
      <c r="F138" t="s">
        <v>271</v>
      </c>
      <c r="G138" s="6">
        <v>43015</v>
      </c>
      <c r="H138">
        <v>100</v>
      </c>
      <c r="I138" s="72" t="s">
        <v>389</v>
      </c>
      <c r="J138" s="140"/>
      <c r="K138" s="63">
        <v>1949.02</v>
      </c>
      <c r="L138" s="1">
        <v>1900</v>
      </c>
      <c r="M138" s="11">
        <f t="shared" si="19"/>
        <v>49.019999999999982</v>
      </c>
      <c r="O138" s="11">
        <f t="shared" si="17"/>
        <v>49.019999999999982</v>
      </c>
      <c r="P138" s="24">
        <f t="shared" si="18"/>
        <v>2.5800000000000045E-2</v>
      </c>
      <c r="Q138" t="s">
        <v>390</v>
      </c>
      <c r="R138" t="s">
        <v>391</v>
      </c>
      <c r="S138" t="s">
        <v>392</v>
      </c>
    </row>
    <row r="139" spans="1:19">
      <c r="A139">
        <v>9</v>
      </c>
      <c r="B139" t="s">
        <v>393</v>
      </c>
      <c r="E139">
        <v>10</v>
      </c>
      <c r="F139" t="s">
        <v>394</v>
      </c>
      <c r="G139" s="6">
        <v>43018</v>
      </c>
      <c r="H139">
        <v>90</v>
      </c>
      <c r="I139" s="72" t="s">
        <v>395</v>
      </c>
      <c r="J139" s="140"/>
      <c r="K139" s="63">
        <v>905.8</v>
      </c>
      <c r="L139" s="1">
        <v>850</v>
      </c>
      <c r="M139" s="11">
        <f t="shared" si="19"/>
        <v>55.799999999999955</v>
      </c>
      <c r="N139">
        <f>22.9+10.85</f>
        <v>33.75</v>
      </c>
      <c r="O139" s="11">
        <f t="shared" ref="O139:O170" si="20">M139-N139</f>
        <v>22.049999999999955</v>
      </c>
      <c r="P139" s="24">
        <f t="shared" ref="P139:P167" si="21">(K139/L139)-1</f>
        <v>6.5647058823529392E-2</v>
      </c>
    </row>
    <row r="140" spans="1:19">
      <c r="A140">
        <v>10</v>
      </c>
      <c r="B140" t="s">
        <v>396</v>
      </c>
      <c r="E140">
        <v>2</v>
      </c>
      <c r="F140" t="s">
        <v>135</v>
      </c>
      <c r="G140" s="6">
        <v>43019</v>
      </c>
      <c r="H140">
        <v>40</v>
      </c>
      <c r="I140" t="s">
        <v>397</v>
      </c>
      <c r="J140" s="117"/>
      <c r="K140" s="9">
        <v>1820.84</v>
      </c>
      <c r="L140" s="1">
        <v>1781.24</v>
      </c>
      <c r="M140" s="11">
        <f t="shared" si="19"/>
        <v>39.599999999999909</v>
      </c>
      <c r="N140">
        <f>9.69+1.45</f>
        <v>11.139999999999999</v>
      </c>
      <c r="O140" s="11">
        <f t="shared" si="20"/>
        <v>28.459999999999908</v>
      </c>
      <c r="P140" s="24">
        <f t="shared" si="21"/>
        <v>2.2231703756933285E-2</v>
      </c>
    </row>
    <row r="141" spans="1:19">
      <c r="A141">
        <v>11</v>
      </c>
      <c r="B141" t="s">
        <v>398</v>
      </c>
      <c r="E141">
        <v>1</v>
      </c>
      <c r="F141" t="s">
        <v>399</v>
      </c>
      <c r="G141" s="6">
        <v>43019</v>
      </c>
      <c r="H141">
        <v>90</v>
      </c>
      <c r="I141" t="s">
        <v>400</v>
      </c>
      <c r="J141" t="s">
        <v>385</v>
      </c>
      <c r="K141" s="70">
        <v>3783.74</v>
      </c>
      <c r="L141" s="1">
        <v>3739</v>
      </c>
      <c r="M141" s="11">
        <f t="shared" si="19"/>
        <v>44.739999999999782</v>
      </c>
      <c r="O141" s="11">
        <f t="shared" si="20"/>
        <v>44.739999999999782</v>
      </c>
      <c r="P141" s="24">
        <f t="shared" si="21"/>
        <v>1.196576624765977E-2</v>
      </c>
    </row>
    <row r="142" spans="1:19">
      <c r="A142">
        <v>12</v>
      </c>
      <c r="B142" t="s">
        <v>401</v>
      </c>
      <c r="E142">
        <v>3</v>
      </c>
      <c r="F142" t="s">
        <v>121</v>
      </c>
      <c r="G142" s="6">
        <v>43024</v>
      </c>
      <c r="H142">
        <v>40</v>
      </c>
      <c r="I142" t="s">
        <v>402</v>
      </c>
      <c r="J142" t="s">
        <v>385</v>
      </c>
      <c r="K142" s="63">
        <v>11658.99</v>
      </c>
      <c r="L142" s="1">
        <v>11274.31</v>
      </c>
      <c r="M142" s="11">
        <f t="shared" si="19"/>
        <v>384.68000000000029</v>
      </c>
      <c r="N142">
        <v>52.51</v>
      </c>
      <c r="O142" s="11">
        <f t="shared" si="20"/>
        <v>332.1700000000003</v>
      </c>
      <c r="P142" s="24">
        <f t="shared" si="21"/>
        <v>3.4120048144853143E-2</v>
      </c>
    </row>
    <row r="143" spans="1:19">
      <c r="A143">
        <v>13</v>
      </c>
      <c r="B143" t="s">
        <v>403</v>
      </c>
      <c r="E143">
        <v>1</v>
      </c>
      <c r="F143" t="s">
        <v>404</v>
      </c>
      <c r="G143" s="6">
        <v>43024</v>
      </c>
      <c r="H143">
        <v>240</v>
      </c>
      <c r="I143" t="s">
        <v>405</v>
      </c>
      <c r="J143" t="s">
        <v>385</v>
      </c>
      <c r="K143" s="9">
        <v>1842.66</v>
      </c>
      <c r="L143" s="1">
        <v>1796.31</v>
      </c>
      <c r="M143" s="11">
        <f t="shared" si="19"/>
        <v>46.350000000000136</v>
      </c>
      <c r="O143" s="11">
        <f t="shared" si="20"/>
        <v>46.350000000000136</v>
      </c>
      <c r="P143" s="24">
        <f t="shared" si="21"/>
        <v>2.5802895936670289E-2</v>
      </c>
    </row>
    <row r="144" spans="1:19">
      <c r="A144">
        <v>14</v>
      </c>
      <c r="B144" t="s">
        <v>406</v>
      </c>
      <c r="E144">
        <v>3</v>
      </c>
      <c r="F144" t="s">
        <v>135</v>
      </c>
      <c r="G144" s="6">
        <v>43024</v>
      </c>
      <c r="H144">
        <v>40</v>
      </c>
      <c r="I144" t="s">
        <v>407</v>
      </c>
      <c r="J144" t="s">
        <v>385</v>
      </c>
      <c r="K144" s="63">
        <v>987.63</v>
      </c>
      <c r="L144" s="1">
        <v>950.97</v>
      </c>
      <c r="M144" s="11">
        <f t="shared" si="19"/>
        <v>36.659999999999968</v>
      </c>
      <c r="N144">
        <f>11.14+2.75</f>
        <v>13.89</v>
      </c>
      <c r="O144" s="11">
        <f t="shared" si="20"/>
        <v>22.769999999999968</v>
      </c>
      <c r="P144" s="24">
        <f t="shared" si="21"/>
        <v>3.8550111990914404E-2</v>
      </c>
    </row>
    <row r="145" spans="1:19">
      <c r="A145">
        <v>15</v>
      </c>
      <c r="B145" s="4" t="s">
        <v>408</v>
      </c>
      <c r="E145">
        <v>4</v>
      </c>
      <c r="F145" t="s">
        <v>409</v>
      </c>
      <c r="G145" s="6">
        <v>43027</v>
      </c>
      <c r="H145">
        <v>210</v>
      </c>
      <c r="I145" t="s">
        <v>410</v>
      </c>
      <c r="J145" t="s">
        <v>385</v>
      </c>
      <c r="K145" s="9">
        <v>20902.400000000001</v>
      </c>
      <c r="L145" s="1">
        <v>20516</v>
      </c>
      <c r="M145" s="11">
        <f t="shared" si="19"/>
        <v>386.40000000000146</v>
      </c>
      <c r="N145">
        <v>35.770000000000003</v>
      </c>
      <c r="O145" s="11">
        <f t="shared" si="20"/>
        <v>350.63000000000147</v>
      </c>
      <c r="P145" s="24">
        <f t="shared" si="21"/>
        <v>1.8834080717488932E-2</v>
      </c>
    </row>
    <row r="146" spans="1:19">
      <c r="A146">
        <v>16</v>
      </c>
      <c r="B146" t="s">
        <v>411</v>
      </c>
      <c r="E146">
        <v>1</v>
      </c>
      <c r="F146" t="s">
        <v>412</v>
      </c>
      <c r="G146" s="6">
        <v>43027</v>
      </c>
      <c r="H146">
        <v>60</v>
      </c>
      <c r="I146" t="s">
        <v>413</v>
      </c>
      <c r="J146" t="s">
        <v>385</v>
      </c>
      <c r="K146" s="63">
        <v>99.7</v>
      </c>
      <c r="L146" s="1">
        <v>50</v>
      </c>
      <c r="M146" s="11">
        <f t="shared" si="19"/>
        <v>49.7</v>
      </c>
      <c r="N146">
        <f>9.41+1.19</f>
        <v>10.6</v>
      </c>
      <c r="O146" s="11">
        <f t="shared" si="20"/>
        <v>39.1</v>
      </c>
      <c r="P146" s="24">
        <f t="shared" si="21"/>
        <v>0.99399999999999999</v>
      </c>
      <c r="Q146" t="s">
        <v>414</v>
      </c>
      <c r="R146" t="s">
        <v>415</v>
      </c>
      <c r="S146" t="s">
        <v>416</v>
      </c>
    </row>
    <row r="147" spans="1:19">
      <c r="A147">
        <v>17</v>
      </c>
      <c r="B147" t="s">
        <v>417</v>
      </c>
      <c r="E147">
        <v>82</v>
      </c>
      <c r="F147" t="s">
        <v>418</v>
      </c>
      <c r="G147" s="6">
        <v>43028</v>
      </c>
      <c r="H147">
        <v>80</v>
      </c>
      <c r="I147" t="s">
        <v>419</v>
      </c>
      <c r="J147" t="s">
        <v>385</v>
      </c>
      <c r="K147" s="9">
        <v>661.74</v>
      </c>
      <c r="L147" s="1">
        <v>615</v>
      </c>
      <c r="M147" s="11">
        <f t="shared" si="19"/>
        <v>46.740000000000009</v>
      </c>
      <c r="O147" s="11">
        <f t="shared" si="20"/>
        <v>46.740000000000009</v>
      </c>
      <c r="P147" s="24">
        <f t="shared" si="21"/>
        <v>7.6000000000000068E-2</v>
      </c>
    </row>
    <row r="148" spans="1:19">
      <c r="A148">
        <v>18</v>
      </c>
      <c r="B148" t="s">
        <v>420</v>
      </c>
      <c r="E148">
        <v>5</v>
      </c>
      <c r="F148" t="s">
        <v>135</v>
      </c>
      <c r="G148" s="6">
        <v>43028</v>
      </c>
      <c r="H148">
        <v>40</v>
      </c>
      <c r="I148" t="s">
        <v>421</v>
      </c>
      <c r="J148" t="s">
        <v>385</v>
      </c>
      <c r="K148" s="9">
        <v>2306</v>
      </c>
      <c r="L148" s="1">
        <v>2260.8000000000002</v>
      </c>
      <c r="M148" s="11">
        <f t="shared" si="19"/>
        <v>45.199999999999818</v>
      </c>
      <c r="N148">
        <v>11.14</v>
      </c>
      <c r="O148" s="11">
        <f t="shared" si="20"/>
        <v>34.059999999999818</v>
      </c>
      <c r="P148" s="24">
        <f t="shared" si="21"/>
        <v>1.9992922859164874E-2</v>
      </c>
    </row>
    <row r="149" spans="1:19">
      <c r="A149">
        <v>19</v>
      </c>
      <c r="B149" t="s">
        <v>422</v>
      </c>
      <c r="E149">
        <v>4</v>
      </c>
      <c r="F149" t="s">
        <v>356</v>
      </c>
      <c r="G149" s="6">
        <v>43031</v>
      </c>
      <c r="H149">
        <v>60</v>
      </c>
      <c r="I149" t="s">
        <v>423</v>
      </c>
      <c r="J149" t="s">
        <v>385</v>
      </c>
      <c r="K149" s="63">
        <v>2236.4</v>
      </c>
      <c r="L149" s="11">
        <v>2160</v>
      </c>
      <c r="M149" s="11">
        <f t="shared" si="19"/>
        <v>76.400000000000091</v>
      </c>
      <c r="N149">
        <v>0</v>
      </c>
      <c r="O149" s="11">
        <f t="shared" si="20"/>
        <v>76.400000000000091</v>
      </c>
      <c r="P149" s="24">
        <f t="shared" si="21"/>
        <v>3.5370370370370496E-2</v>
      </c>
      <c r="Q149" t="s">
        <v>424</v>
      </c>
      <c r="R149" t="s">
        <v>425</v>
      </c>
      <c r="S149" t="s">
        <v>426</v>
      </c>
    </row>
    <row r="150" spans="1:19">
      <c r="A150">
        <v>20</v>
      </c>
      <c r="B150" t="s">
        <v>427</v>
      </c>
      <c r="E150">
        <v>1</v>
      </c>
      <c r="F150" t="s">
        <v>129</v>
      </c>
      <c r="G150" s="126">
        <v>43031</v>
      </c>
      <c r="H150">
        <v>100</v>
      </c>
      <c r="I150" t="s">
        <v>428</v>
      </c>
      <c r="J150" t="s">
        <v>385</v>
      </c>
      <c r="K150" s="9">
        <v>942</v>
      </c>
      <c r="L150" s="11">
        <v>905</v>
      </c>
      <c r="M150" s="11">
        <f t="shared" si="19"/>
        <v>37</v>
      </c>
      <c r="N150">
        <v>12.06</v>
      </c>
      <c r="O150" s="11">
        <f t="shared" si="20"/>
        <v>24.939999999999998</v>
      </c>
      <c r="P150" s="24">
        <f t="shared" si="21"/>
        <v>4.0883977900552537E-2</v>
      </c>
    </row>
    <row r="151" spans="1:19">
      <c r="A151">
        <v>21</v>
      </c>
      <c r="B151" t="s">
        <v>429</v>
      </c>
      <c r="E151">
        <v>2</v>
      </c>
      <c r="F151" t="s">
        <v>430</v>
      </c>
      <c r="G151" s="6">
        <v>43031</v>
      </c>
      <c r="H151">
        <v>40</v>
      </c>
      <c r="I151" t="s">
        <v>431</v>
      </c>
      <c r="J151" t="s">
        <v>385</v>
      </c>
      <c r="K151" s="63">
        <v>91.78</v>
      </c>
      <c r="L151" s="11">
        <v>54</v>
      </c>
      <c r="M151" s="11">
        <f t="shared" si="19"/>
        <v>37.78</v>
      </c>
      <c r="O151" s="11">
        <f t="shared" si="20"/>
        <v>37.78</v>
      </c>
      <c r="P151" s="24">
        <f t="shared" si="21"/>
        <v>0.6996296296296296</v>
      </c>
      <c r="Q151" t="s">
        <v>432</v>
      </c>
      <c r="R151" t="s">
        <v>433</v>
      </c>
      <c r="S151" t="s">
        <v>434</v>
      </c>
    </row>
    <row r="152" spans="1:19">
      <c r="A152">
        <v>22</v>
      </c>
      <c r="B152" t="s">
        <v>435</v>
      </c>
      <c r="E152">
        <v>142</v>
      </c>
      <c r="F152" t="s">
        <v>436</v>
      </c>
      <c r="G152" s="6">
        <v>43031</v>
      </c>
      <c r="H152">
        <v>130</v>
      </c>
      <c r="I152" t="s">
        <v>437</v>
      </c>
      <c r="J152" t="s">
        <v>385</v>
      </c>
      <c r="K152" s="63">
        <v>1821.86</v>
      </c>
      <c r="L152" s="11">
        <v>1779.57</v>
      </c>
      <c r="M152" s="11">
        <f t="shared" si="19"/>
        <v>42.289999999999964</v>
      </c>
      <c r="N152">
        <v>22.71</v>
      </c>
      <c r="O152" s="11">
        <f t="shared" si="20"/>
        <v>19.579999999999963</v>
      </c>
      <c r="P152" s="24">
        <f t="shared" si="21"/>
        <v>2.3764167748388632E-2</v>
      </c>
    </row>
    <row r="153" spans="1:19">
      <c r="A153">
        <v>23</v>
      </c>
      <c r="B153" t="s">
        <v>438</v>
      </c>
      <c r="E153">
        <v>6</v>
      </c>
      <c r="F153" t="s">
        <v>308</v>
      </c>
      <c r="G153" s="6">
        <v>43031</v>
      </c>
      <c r="H153">
        <v>200</v>
      </c>
      <c r="I153" t="s">
        <v>439</v>
      </c>
      <c r="J153" t="s">
        <v>385</v>
      </c>
      <c r="K153" s="1">
        <v>7538.76</v>
      </c>
      <c r="L153" s="1">
        <v>7410</v>
      </c>
      <c r="M153" s="11">
        <f t="shared" si="19"/>
        <v>128.76000000000022</v>
      </c>
      <c r="O153" s="11">
        <f t="shared" si="20"/>
        <v>128.76000000000022</v>
      </c>
      <c r="P153" s="24">
        <f t="shared" si="21"/>
        <v>1.7376518218623405E-2</v>
      </c>
    </row>
    <row r="154" spans="1:19">
      <c r="A154">
        <v>24</v>
      </c>
      <c r="B154" t="s">
        <v>440</v>
      </c>
      <c r="E154">
        <v>2</v>
      </c>
      <c r="F154" t="s">
        <v>129</v>
      </c>
      <c r="G154" s="6">
        <v>43032</v>
      </c>
      <c r="H154">
        <v>170</v>
      </c>
      <c r="I154" t="s">
        <v>441</v>
      </c>
      <c r="J154" t="s">
        <v>385</v>
      </c>
      <c r="K154" s="9">
        <v>3148.6</v>
      </c>
      <c r="L154" s="1">
        <f>3066+39.03</f>
        <v>3105.03</v>
      </c>
      <c r="M154" s="11">
        <f t="shared" si="19"/>
        <v>43.569999999999709</v>
      </c>
      <c r="N154">
        <v>40.51</v>
      </c>
      <c r="O154" s="11">
        <f t="shared" si="20"/>
        <v>3.059999999999711</v>
      </c>
      <c r="P154" s="24">
        <f t="shared" si="21"/>
        <v>1.4032070543601671E-2</v>
      </c>
    </row>
    <row r="155" spans="1:19">
      <c r="A155">
        <v>25</v>
      </c>
      <c r="B155" t="s">
        <v>442</v>
      </c>
      <c r="E155">
        <v>6</v>
      </c>
      <c r="F155" t="s">
        <v>139</v>
      </c>
      <c r="G155" s="6">
        <v>43032</v>
      </c>
      <c r="H155">
        <v>100</v>
      </c>
      <c r="I155" t="s">
        <v>443</v>
      </c>
      <c r="J155" t="s">
        <v>385</v>
      </c>
      <c r="K155" s="9">
        <v>5385.3</v>
      </c>
      <c r="L155" s="1">
        <v>5214</v>
      </c>
      <c r="M155" s="11">
        <f t="shared" si="19"/>
        <v>171.30000000000018</v>
      </c>
      <c r="N155">
        <v>40.549999999999997</v>
      </c>
      <c r="O155" s="11">
        <f t="shared" si="20"/>
        <v>130.75000000000017</v>
      </c>
      <c r="P155" s="24">
        <f t="shared" si="21"/>
        <v>3.2853855005753774E-2</v>
      </c>
    </row>
    <row r="156" spans="1:19">
      <c r="A156">
        <v>26</v>
      </c>
      <c r="B156" t="s">
        <v>276</v>
      </c>
      <c r="E156">
        <v>2</v>
      </c>
      <c r="F156" t="s">
        <v>129</v>
      </c>
      <c r="G156" s="126">
        <v>43033</v>
      </c>
      <c r="I156" t="s">
        <v>444</v>
      </c>
      <c r="J156" t="s">
        <v>385</v>
      </c>
      <c r="K156" s="9">
        <v>1513.88</v>
      </c>
      <c r="L156" s="1">
        <v>1482.87</v>
      </c>
      <c r="M156" s="11">
        <f t="shared" si="19"/>
        <v>31.010000000000218</v>
      </c>
      <c r="N156">
        <v>14.68</v>
      </c>
      <c r="O156" s="11">
        <f t="shared" si="20"/>
        <v>16.330000000000219</v>
      </c>
      <c r="P156" s="24">
        <f t="shared" si="21"/>
        <v>2.0912150087330827E-2</v>
      </c>
    </row>
    <row r="157" spans="1:19">
      <c r="A157">
        <v>27</v>
      </c>
      <c r="B157" t="s">
        <v>445</v>
      </c>
      <c r="E157">
        <v>1</v>
      </c>
      <c r="F157" t="s">
        <v>446</v>
      </c>
      <c r="G157" s="6">
        <v>43033</v>
      </c>
      <c r="H157">
        <v>160</v>
      </c>
      <c r="I157" t="s">
        <v>447</v>
      </c>
      <c r="J157" t="s">
        <v>385</v>
      </c>
      <c r="K157" s="1">
        <v>2092.7800000000002</v>
      </c>
      <c r="L157" s="1">
        <v>2023</v>
      </c>
      <c r="M157" s="11">
        <f t="shared" si="19"/>
        <v>69.7800000000002</v>
      </c>
      <c r="N157">
        <v>44.63</v>
      </c>
      <c r="O157" s="11">
        <f t="shared" si="20"/>
        <v>25.150000000000198</v>
      </c>
      <c r="P157" s="24">
        <f t="shared" si="21"/>
        <v>3.4493326742461861E-2</v>
      </c>
    </row>
    <row r="158" spans="1:19">
      <c r="A158">
        <v>28</v>
      </c>
      <c r="B158" t="s">
        <v>448</v>
      </c>
      <c r="E158">
        <v>10</v>
      </c>
      <c r="F158" t="s">
        <v>449</v>
      </c>
      <c r="G158" s="6">
        <v>43033</v>
      </c>
      <c r="H158">
        <v>100</v>
      </c>
      <c r="I158" t="s">
        <v>450</v>
      </c>
      <c r="J158" t="s">
        <v>385</v>
      </c>
      <c r="K158" s="9">
        <v>1056.2</v>
      </c>
      <c r="L158" s="1">
        <v>967</v>
      </c>
      <c r="M158" s="11">
        <f t="shared" si="19"/>
        <v>89.200000000000045</v>
      </c>
      <c r="N158">
        <v>13.92</v>
      </c>
      <c r="O158" s="11">
        <f t="shared" si="20"/>
        <v>75.280000000000044</v>
      </c>
      <c r="P158" s="24">
        <f t="shared" si="21"/>
        <v>9.2244053774560575E-2</v>
      </c>
    </row>
    <row r="159" spans="1:19">
      <c r="A159">
        <v>29</v>
      </c>
      <c r="B159" t="s">
        <v>451</v>
      </c>
      <c r="E159">
        <v>2</v>
      </c>
      <c r="F159" s="75" t="s">
        <v>452</v>
      </c>
      <c r="G159" s="6">
        <v>43033</v>
      </c>
      <c r="H159">
        <v>120</v>
      </c>
      <c r="I159" s="4" t="s">
        <v>453</v>
      </c>
      <c r="J159" s="4" t="s">
        <v>385</v>
      </c>
      <c r="K159" s="64">
        <v>4239.2</v>
      </c>
      <c r="L159" s="5">
        <v>4197.46</v>
      </c>
      <c r="M159" s="11">
        <f t="shared" si="19"/>
        <v>41.739999999999782</v>
      </c>
      <c r="N159">
        <v>11.67</v>
      </c>
      <c r="O159" s="11">
        <f t="shared" si="20"/>
        <v>30.06999999999978</v>
      </c>
      <c r="P159" s="24">
        <f t="shared" si="21"/>
        <v>9.9441090564293955E-3</v>
      </c>
    </row>
    <row r="160" spans="1:19">
      <c r="A160">
        <v>30</v>
      </c>
      <c r="B160" t="s">
        <v>454</v>
      </c>
      <c r="E160">
        <v>24</v>
      </c>
      <c r="F160" t="s">
        <v>455</v>
      </c>
      <c r="G160" s="6">
        <v>43034</v>
      </c>
      <c r="H160">
        <v>90</v>
      </c>
      <c r="I160" t="s">
        <v>456</v>
      </c>
      <c r="J160" t="s">
        <v>385</v>
      </c>
      <c r="K160" s="63">
        <v>4059.36</v>
      </c>
      <c r="L160" s="1">
        <v>4008</v>
      </c>
      <c r="M160" s="11">
        <f t="shared" si="19"/>
        <v>51.360000000000127</v>
      </c>
      <c r="O160" s="11">
        <f t="shared" si="20"/>
        <v>51.360000000000127</v>
      </c>
      <c r="P160" s="24">
        <f t="shared" si="21"/>
        <v>1.281437125748508E-2</v>
      </c>
    </row>
    <row r="161" spans="1:16">
      <c r="A161">
        <v>31</v>
      </c>
      <c r="B161" t="s">
        <v>457</v>
      </c>
      <c r="E161">
        <v>71</v>
      </c>
      <c r="F161" t="s">
        <v>135</v>
      </c>
      <c r="G161" s="6">
        <v>43034</v>
      </c>
      <c r="H161">
        <v>90</v>
      </c>
      <c r="I161" t="s">
        <v>458</v>
      </c>
      <c r="J161" t="s">
        <v>385</v>
      </c>
      <c r="K161" s="1">
        <v>3665.73</v>
      </c>
      <c r="L161" s="1">
        <v>3587.63</v>
      </c>
      <c r="M161" s="11">
        <f t="shared" si="19"/>
        <v>78.099999999999909</v>
      </c>
      <c r="O161" s="11">
        <f t="shared" si="20"/>
        <v>78.099999999999909</v>
      </c>
      <c r="P161" s="24">
        <f t="shared" si="21"/>
        <v>2.1769245992479647E-2</v>
      </c>
    </row>
    <row r="162" spans="1:16">
      <c r="A162">
        <v>32</v>
      </c>
      <c r="B162" t="s">
        <v>459</v>
      </c>
      <c r="E162">
        <v>1</v>
      </c>
      <c r="F162" t="s">
        <v>129</v>
      </c>
      <c r="G162" s="6">
        <v>43038</v>
      </c>
      <c r="H162">
        <v>120</v>
      </c>
      <c r="I162" s="83" t="s">
        <v>460</v>
      </c>
      <c r="J162" t="s">
        <v>385</v>
      </c>
      <c r="K162" s="9">
        <v>1308.58</v>
      </c>
      <c r="L162" s="1">
        <v>1285.07</v>
      </c>
      <c r="M162" s="11">
        <f t="shared" si="19"/>
        <v>23.509999999999991</v>
      </c>
      <c r="N162">
        <v>11.35</v>
      </c>
      <c r="O162" s="11">
        <f t="shared" si="20"/>
        <v>12.159999999999991</v>
      </c>
      <c r="P162" s="24">
        <f t="shared" si="21"/>
        <v>1.8294723244648203E-2</v>
      </c>
    </row>
    <row r="163" spans="1:16">
      <c r="A163">
        <v>33</v>
      </c>
      <c r="B163" t="s">
        <v>461</v>
      </c>
      <c r="E163">
        <v>40</v>
      </c>
      <c r="F163" t="s">
        <v>257</v>
      </c>
      <c r="G163" s="6">
        <v>43039</v>
      </c>
      <c r="H163">
        <v>70</v>
      </c>
      <c r="I163" s="83" t="s">
        <v>462</v>
      </c>
      <c r="J163" t="s">
        <v>385</v>
      </c>
      <c r="K163" s="63">
        <v>3288</v>
      </c>
      <c r="L163" s="1">
        <v>3200</v>
      </c>
      <c r="M163" s="11">
        <f t="shared" si="19"/>
        <v>88</v>
      </c>
      <c r="N163">
        <v>13.24</v>
      </c>
      <c r="O163" s="11">
        <f t="shared" si="20"/>
        <v>74.760000000000005</v>
      </c>
      <c r="P163" s="24">
        <f t="shared" si="21"/>
        <v>2.750000000000008E-2</v>
      </c>
    </row>
    <row r="164" spans="1:16">
      <c r="A164">
        <v>34</v>
      </c>
      <c r="B164" t="s">
        <v>463</v>
      </c>
      <c r="E164">
        <v>3</v>
      </c>
      <c r="F164" t="s">
        <v>129</v>
      </c>
      <c r="G164" s="6">
        <v>43039</v>
      </c>
      <c r="H164">
        <v>120</v>
      </c>
      <c r="I164" s="83" t="s">
        <v>464</v>
      </c>
      <c r="J164" t="s">
        <v>385</v>
      </c>
      <c r="K164" s="9">
        <v>19158</v>
      </c>
      <c r="L164" s="1">
        <f>18825+20.08</f>
        <v>18845.080000000002</v>
      </c>
      <c r="M164" s="11">
        <f t="shared" si="19"/>
        <v>312.91999999999825</v>
      </c>
      <c r="N164">
        <v>42.34</v>
      </c>
      <c r="O164" s="11">
        <f t="shared" si="20"/>
        <v>270.57999999999822</v>
      </c>
      <c r="P164" s="24">
        <f t="shared" si="21"/>
        <v>1.6604864505748829E-2</v>
      </c>
    </row>
    <row r="165" spans="1:16">
      <c r="A165">
        <v>35</v>
      </c>
      <c r="B165" t="s">
        <v>465</v>
      </c>
      <c r="E165">
        <v>19</v>
      </c>
      <c r="F165" t="s">
        <v>404</v>
      </c>
      <c r="G165" s="6">
        <v>43039</v>
      </c>
      <c r="H165">
        <v>280</v>
      </c>
      <c r="I165" t="s">
        <v>466</v>
      </c>
      <c r="J165" t="s">
        <v>385</v>
      </c>
      <c r="K165" s="9">
        <v>4024.39</v>
      </c>
      <c r="L165" s="1">
        <v>3951.81</v>
      </c>
      <c r="M165" s="11">
        <f t="shared" si="19"/>
        <v>72.579999999999927</v>
      </c>
      <c r="N165">
        <v>12.83</v>
      </c>
      <c r="O165" s="11">
        <f t="shared" si="20"/>
        <v>59.749999999999929</v>
      </c>
      <c r="P165" s="24">
        <f t="shared" si="21"/>
        <v>1.8366267609019715E-2</v>
      </c>
    </row>
    <row r="166" spans="1:16">
      <c r="A166">
        <v>36</v>
      </c>
      <c r="B166" t="s">
        <v>467</v>
      </c>
      <c r="E166">
        <v>17</v>
      </c>
      <c r="F166" t="s">
        <v>468</v>
      </c>
      <c r="G166" s="6">
        <v>43039</v>
      </c>
      <c r="H166">
        <v>90</v>
      </c>
      <c r="I166" t="s">
        <v>469</v>
      </c>
      <c r="J166" t="s">
        <v>385</v>
      </c>
      <c r="K166" s="63">
        <v>1757.46</v>
      </c>
      <c r="L166" s="1">
        <v>1700</v>
      </c>
      <c r="M166" s="11">
        <f t="shared" si="19"/>
        <v>57.460000000000036</v>
      </c>
      <c r="O166" s="11">
        <f t="shared" si="20"/>
        <v>57.460000000000036</v>
      </c>
      <c r="P166" s="24">
        <f t="shared" si="21"/>
        <v>3.3800000000000052E-2</v>
      </c>
    </row>
    <row r="167" spans="1:16">
      <c r="K167" s="64">
        <f>SUM(K131:K166)</f>
        <v>126433.14</v>
      </c>
      <c r="L167" s="26">
        <f>SUM(L131:L166)</f>
        <v>123477.09000000001</v>
      </c>
      <c r="M167" s="26">
        <f>SUM(M131:M166)</f>
        <v>2956.0500000000011</v>
      </c>
      <c r="O167" s="11">
        <f t="shared" si="20"/>
        <v>2956.0500000000011</v>
      </c>
      <c r="P167" s="129">
        <f t="shared" si="21"/>
        <v>2.3940068558466976E-2</v>
      </c>
    </row>
    <row r="168" spans="1:16">
      <c r="G168" s="6"/>
      <c r="O168" s="11">
        <f t="shared" si="20"/>
        <v>0</v>
      </c>
    </row>
    <row r="169" spans="1:16">
      <c r="A169">
        <v>1</v>
      </c>
      <c r="B169" t="s">
        <v>470</v>
      </c>
      <c r="E169">
        <v>66</v>
      </c>
      <c r="F169" t="s">
        <v>135</v>
      </c>
      <c r="G169" s="6">
        <v>43041</v>
      </c>
      <c r="H169">
        <v>90</v>
      </c>
      <c r="I169" s="83" t="s">
        <v>471</v>
      </c>
      <c r="J169" t="s">
        <v>385</v>
      </c>
      <c r="K169" s="9">
        <v>2761.44</v>
      </c>
      <c r="L169" s="1">
        <v>2671.81</v>
      </c>
      <c r="M169" s="11">
        <f t="shared" ref="M169:M210" si="22">K169-L169</f>
        <v>89.630000000000109</v>
      </c>
      <c r="O169" s="11">
        <f t="shared" si="20"/>
        <v>89.630000000000109</v>
      </c>
      <c r="P169" s="24">
        <f t="shared" ref="P169:P211" si="23">(K169/L169)-1</f>
        <v>3.3546547097286217E-2</v>
      </c>
    </row>
    <row r="170" spans="1:16">
      <c r="A170">
        <v>2</v>
      </c>
      <c r="B170" t="s">
        <v>472</v>
      </c>
      <c r="E170">
        <v>2</v>
      </c>
      <c r="F170" t="s">
        <v>135</v>
      </c>
      <c r="G170" s="6">
        <v>43041</v>
      </c>
      <c r="H170">
        <v>60</v>
      </c>
      <c r="I170" t="s">
        <v>473</v>
      </c>
      <c r="J170" t="s">
        <v>385</v>
      </c>
      <c r="K170" s="9">
        <v>734.92</v>
      </c>
      <c r="L170" s="1">
        <v>693.16</v>
      </c>
      <c r="M170" s="11">
        <f t="shared" si="22"/>
        <v>41.759999999999991</v>
      </c>
      <c r="N170">
        <v>9.69</v>
      </c>
      <c r="O170" s="11">
        <f t="shared" si="20"/>
        <v>32.069999999999993</v>
      </c>
      <c r="P170" s="24">
        <f t="shared" si="23"/>
        <v>6.0245830688441249E-2</v>
      </c>
    </row>
    <row r="171" spans="1:16">
      <c r="A171">
        <v>3</v>
      </c>
      <c r="B171" s="99" t="s">
        <v>474</v>
      </c>
      <c r="E171">
        <v>24</v>
      </c>
      <c r="F171" t="s">
        <v>135</v>
      </c>
      <c r="G171" s="6">
        <v>43041</v>
      </c>
      <c r="H171">
        <v>70</v>
      </c>
      <c r="I171" s="83" t="s">
        <v>475</v>
      </c>
      <c r="J171" t="s">
        <v>385</v>
      </c>
      <c r="K171" s="9">
        <v>1393.44</v>
      </c>
      <c r="L171" s="1">
        <v>1355.04</v>
      </c>
      <c r="M171" s="11">
        <f t="shared" si="22"/>
        <v>38.400000000000091</v>
      </c>
      <c r="N171">
        <v>11.69</v>
      </c>
      <c r="O171" s="11">
        <f t="shared" ref="O171:O202" si="24">M171-N171</f>
        <v>26.710000000000093</v>
      </c>
      <c r="P171" s="24">
        <f t="shared" si="23"/>
        <v>2.8338646829613845E-2</v>
      </c>
    </row>
    <row r="172" spans="1:16">
      <c r="A172">
        <v>4</v>
      </c>
      <c r="B172" s="99" t="s">
        <v>476</v>
      </c>
      <c r="E172">
        <v>1</v>
      </c>
      <c r="F172" t="s">
        <v>477</v>
      </c>
      <c r="G172" s="6">
        <v>43041</v>
      </c>
      <c r="H172">
        <v>60</v>
      </c>
      <c r="I172" t="s">
        <v>478</v>
      </c>
      <c r="J172" t="s">
        <v>385</v>
      </c>
      <c r="K172" s="9">
        <v>89.74</v>
      </c>
      <c r="L172" s="1">
        <v>50</v>
      </c>
      <c r="M172" s="11">
        <f t="shared" si="22"/>
        <v>39.739999999999995</v>
      </c>
      <c r="N172">
        <v>10.17</v>
      </c>
      <c r="O172" s="11">
        <f t="shared" si="24"/>
        <v>29.569999999999993</v>
      </c>
      <c r="P172" s="24">
        <f t="shared" si="23"/>
        <v>0.79479999999999995</v>
      </c>
    </row>
    <row r="173" spans="1:16">
      <c r="A173">
        <v>5</v>
      </c>
      <c r="B173" t="s">
        <v>479</v>
      </c>
      <c r="E173">
        <v>10</v>
      </c>
      <c r="F173" t="s">
        <v>135</v>
      </c>
      <c r="G173" s="6">
        <v>43042</v>
      </c>
      <c r="H173">
        <v>70</v>
      </c>
      <c r="I173" t="s">
        <v>480</v>
      </c>
      <c r="J173" t="s">
        <v>385</v>
      </c>
      <c r="K173" s="9">
        <v>2064.8000000000002</v>
      </c>
      <c r="L173" s="1">
        <v>2017.16</v>
      </c>
      <c r="M173" s="11">
        <f t="shared" si="22"/>
        <v>47.6400000000001</v>
      </c>
      <c r="N173">
        <v>12.35</v>
      </c>
      <c r="O173" s="11">
        <f t="shared" si="24"/>
        <v>35.290000000000099</v>
      </c>
      <c r="P173" s="24">
        <f t="shared" si="23"/>
        <v>2.3617363025243421E-2</v>
      </c>
    </row>
    <row r="174" spans="1:16">
      <c r="A174">
        <v>6</v>
      </c>
      <c r="B174" t="s">
        <v>481</v>
      </c>
      <c r="E174">
        <v>7</v>
      </c>
      <c r="F174" t="s">
        <v>135</v>
      </c>
      <c r="G174" s="6">
        <v>43045</v>
      </c>
      <c r="H174">
        <v>70</v>
      </c>
      <c r="I174" t="s">
        <v>482</v>
      </c>
      <c r="J174" t="s">
        <v>385</v>
      </c>
      <c r="K174">
        <v>584.91999999999996</v>
      </c>
      <c r="L174" s="1">
        <v>551.88</v>
      </c>
      <c r="M174" s="11">
        <f t="shared" si="22"/>
        <v>33.039999999999964</v>
      </c>
      <c r="N174">
        <v>9.69</v>
      </c>
      <c r="O174" s="11">
        <f t="shared" si="24"/>
        <v>23.349999999999966</v>
      </c>
      <c r="P174" s="24">
        <f t="shared" si="23"/>
        <v>5.9868087265347425E-2</v>
      </c>
    </row>
    <row r="175" spans="1:16">
      <c r="A175">
        <v>7</v>
      </c>
      <c r="B175" t="s">
        <v>483</v>
      </c>
      <c r="E175">
        <v>142</v>
      </c>
      <c r="F175" t="s">
        <v>135</v>
      </c>
      <c r="G175" s="6">
        <v>43045</v>
      </c>
      <c r="H175">
        <v>90</v>
      </c>
      <c r="I175" t="s">
        <v>484</v>
      </c>
      <c r="J175" t="s">
        <v>385</v>
      </c>
      <c r="K175" s="70">
        <v>3523.02</v>
      </c>
      <c r="L175" s="1">
        <v>3408</v>
      </c>
      <c r="M175" s="11">
        <f t="shared" si="22"/>
        <v>115.01999999999998</v>
      </c>
      <c r="N175">
        <v>14.52</v>
      </c>
      <c r="O175" s="11">
        <f t="shared" si="24"/>
        <v>100.49999999999999</v>
      </c>
      <c r="P175" s="24">
        <f t="shared" si="23"/>
        <v>3.3749999999999947E-2</v>
      </c>
    </row>
    <row r="176" spans="1:16">
      <c r="A176">
        <v>8</v>
      </c>
      <c r="B176" s="99" t="s">
        <v>485</v>
      </c>
      <c r="E176">
        <v>1</v>
      </c>
      <c r="F176" t="s">
        <v>135</v>
      </c>
      <c r="G176" s="6">
        <v>43045</v>
      </c>
      <c r="H176">
        <v>40</v>
      </c>
      <c r="I176" t="s">
        <v>486</v>
      </c>
      <c r="J176" t="s">
        <v>385</v>
      </c>
      <c r="K176">
        <v>542.48</v>
      </c>
      <c r="L176" s="1">
        <v>506.63</v>
      </c>
      <c r="M176" s="11">
        <f t="shared" si="22"/>
        <v>35.850000000000023</v>
      </c>
      <c r="N176">
        <v>9.69</v>
      </c>
      <c r="O176" s="11">
        <f t="shared" si="24"/>
        <v>26.160000000000025</v>
      </c>
      <c r="P176" s="24">
        <f t="shared" si="23"/>
        <v>7.0761699859858362E-2</v>
      </c>
    </row>
    <row r="177" spans="1:16">
      <c r="A177">
        <v>9</v>
      </c>
      <c r="B177" t="s">
        <v>487</v>
      </c>
      <c r="E177">
        <v>40</v>
      </c>
      <c r="F177" t="s">
        <v>135</v>
      </c>
      <c r="G177" s="6">
        <v>43045</v>
      </c>
      <c r="H177">
        <v>90</v>
      </c>
      <c r="I177" t="s">
        <v>488</v>
      </c>
      <c r="J177" t="s">
        <v>489</v>
      </c>
      <c r="K177" s="1">
        <v>4319.2</v>
      </c>
      <c r="L177" s="1">
        <v>4244.8</v>
      </c>
      <c r="M177" s="11">
        <f t="shared" si="22"/>
        <v>74.399999999999636</v>
      </c>
      <c r="N177">
        <v>14.03</v>
      </c>
      <c r="O177" s="11">
        <f t="shared" si="24"/>
        <v>60.369999999999635</v>
      </c>
      <c r="P177" s="24">
        <f t="shared" si="23"/>
        <v>1.7527327553712668E-2</v>
      </c>
    </row>
    <row r="178" spans="1:16">
      <c r="A178">
        <v>10</v>
      </c>
      <c r="B178" t="s">
        <v>490</v>
      </c>
      <c r="E178">
        <v>36</v>
      </c>
      <c r="F178" t="s">
        <v>446</v>
      </c>
      <c r="G178" s="6">
        <v>43045</v>
      </c>
      <c r="H178">
        <v>90</v>
      </c>
      <c r="I178" t="s">
        <v>491</v>
      </c>
      <c r="J178" t="s">
        <v>385</v>
      </c>
      <c r="K178" s="63">
        <v>2567.16</v>
      </c>
      <c r="L178" s="1">
        <v>2484</v>
      </c>
      <c r="M178" s="11">
        <f t="shared" si="22"/>
        <v>83.159999999999854</v>
      </c>
      <c r="N178">
        <v>19.12</v>
      </c>
      <c r="O178" s="11">
        <f t="shared" si="24"/>
        <v>64.03999999999985</v>
      </c>
      <c r="P178" s="24">
        <f t="shared" si="23"/>
        <v>3.347826086956518E-2</v>
      </c>
    </row>
    <row r="179" spans="1:16">
      <c r="A179">
        <v>11</v>
      </c>
      <c r="B179" s="99" t="s">
        <v>492</v>
      </c>
      <c r="E179">
        <v>66</v>
      </c>
      <c r="F179" t="s">
        <v>135</v>
      </c>
      <c r="G179" s="6">
        <v>43045</v>
      </c>
      <c r="H179">
        <v>100</v>
      </c>
      <c r="I179" s="83" t="s">
        <v>493</v>
      </c>
      <c r="J179" t="s">
        <v>385</v>
      </c>
      <c r="K179" s="9">
        <v>4202.22</v>
      </c>
      <c r="L179" s="1">
        <v>4091.34</v>
      </c>
      <c r="M179" s="11">
        <f t="shared" si="22"/>
        <v>110.88000000000011</v>
      </c>
      <c r="N179">
        <v>14.69</v>
      </c>
      <c r="O179" s="11">
        <f t="shared" si="24"/>
        <v>96.190000000000111</v>
      </c>
      <c r="P179" s="24">
        <f t="shared" si="23"/>
        <v>2.7101145346023481E-2</v>
      </c>
    </row>
    <row r="180" spans="1:16">
      <c r="A180">
        <v>12</v>
      </c>
      <c r="B180" t="s">
        <v>494</v>
      </c>
      <c r="E180">
        <v>23</v>
      </c>
      <c r="F180" t="s">
        <v>135</v>
      </c>
      <c r="G180" s="6">
        <v>43045</v>
      </c>
      <c r="H180">
        <v>50</v>
      </c>
      <c r="I180" t="s">
        <v>495</v>
      </c>
      <c r="J180" t="s">
        <v>385</v>
      </c>
      <c r="K180" s="9">
        <v>1672.1</v>
      </c>
      <c r="L180" s="1">
        <v>1634.24</v>
      </c>
      <c r="M180" s="11">
        <f t="shared" si="22"/>
        <v>37.8599999999999</v>
      </c>
      <c r="N180">
        <v>13.82</v>
      </c>
      <c r="O180" s="11">
        <f t="shared" si="24"/>
        <v>24.0399999999999</v>
      </c>
      <c r="P180" s="24">
        <f t="shared" si="23"/>
        <v>2.3166731936557605E-2</v>
      </c>
    </row>
    <row r="181" spans="1:16">
      <c r="A181">
        <v>13</v>
      </c>
      <c r="B181" t="s">
        <v>496</v>
      </c>
      <c r="E181">
        <v>22</v>
      </c>
      <c r="F181" t="s">
        <v>135</v>
      </c>
      <c r="G181" s="6">
        <v>43046</v>
      </c>
      <c r="H181">
        <v>90</v>
      </c>
      <c r="I181" t="s">
        <v>497</v>
      </c>
      <c r="J181" t="s">
        <v>385</v>
      </c>
      <c r="K181" s="9">
        <v>993.96</v>
      </c>
      <c r="L181">
        <v>950</v>
      </c>
      <c r="M181" s="11">
        <f t="shared" si="22"/>
        <v>43.960000000000036</v>
      </c>
      <c r="O181" s="11">
        <f t="shared" si="24"/>
        <v>43.960000000000036</v>
      </c>
      <c r="P181" s="24">
        <f t="shared" si="23"/>
        <v>4.6273684210526245E-2</v>
      </c>
    </row>
    <row r="182" spans="1:16">
      <c r="A182">
        <v>14</v>
      </c>
      <c r="B182" t="s">
        <v>498</v>
      </c>
      <c r="E182">
        <v>1</v>
      </c>
      <c r="F182" t="s">
        <v>135</v>
      </c>
      <c r="G182" s="6">
        <v>43047</v>
      </c>
      <c r="H182">
        <v>60</v>
      </c>
      <c r="I182" s="83" t="s">
        <v>499</v>
      </c>
      <c r="J182" t="s">
        <v>385</v>
      </c>
      <c r="K182" s="9">
        <v>126.66</v>
      </c>
      <c r="L182" s="1">
        <v>90.73</v>
      </c>
      <c r="M182" s="11">
        <f t="shared" si="22"/>
        <v>35.929999999999993</v>
      </c>
      <c r="N182">
        <v>9.7100000000000009</v>
      </c>
      <c r="O182" s="11">
        <f t="shared" si="24"/>
        <v>26.219999999999992</v>
      </c>
      <c r="P182" s="24">
        <f t="shared" si="23"/>
        <v>0.39601013997575207</v>
      </c>
    </row>
    <row r="183" spans="1:16">
      <c r="A183">
        <v>15</v>
      </c>
      <c r="B183" t="s">
        <v>500</v>
      </c>
      <c r="E183">
        <v>14</v>
      </c>
      <c r="F183" t="s">
        <v>501</v>
      </c>
      <c r="G183" s="6">
        <v>43047</v>
      </c>
      <c r="H183">
        <v>60</v>
      </c>
      <c r="I183" s="83" t="s">
        <v>502</v>
      </c>
      <c r="J183" t="s">
        <v>385</v>
      </c>
      <c r="K183" s="63">
        <v>582.96</v>
      </c>
      <c r="L183" s="1">
        <v>546</v>
      </c>
      <c r="M183" s="11">
        <f t="shared" si="22"/>
        <v>36.960000000000036</v>
      </c>
      <c r="O183" s="11">
        <f t="shared" si="24"/>
        <v>36.960000000000036</v>
      </c>
      <c r="P183" s="24">
        <f t="shared" si="23"/>
        <v>6.7692307692307718E-2</v>
      </c>
    </row>
    <row r="184" spans="1:16">
      <c r="A184">
        <v>16</v>
      </c>
      <c r="B184" t="s">
        <v>503</v>
      </c>
      <c r="E184">
        <v>1</v>
      </c>
      <c r="F184" t="s">
        <v>308</v>
      </c>
      <c r="G184" s="6">
        <v>43047</v>
      </c>
      <c r="H184">
        <v>210</v>
      </c>
      <c r="I184" s="83" t="s">
        <v>504</v>
      </c>
      <c r="J184" t="s">
        <v>385</v>
      </c>
      <c r="K184" s="9">
        <v>11940</v>
      </c>
      <c r="L184" s="1">
        <v>11610</v>
      </c>
      <c r="M184" s="11">
        <f t="shared" si="22"/>
        <v>330</v>
      </c>
      <c r="N184">
        <v>85.91</v>
      </c>
      <c r="O184" s="11">
        <f t="shared" si="24"/>
        <v>244.09</v>
      </c>
      <c r="P184" s="24">
        <f t="shared" si="23"/>
        <v>2.8423772609819098E-2</v>
      </c>
    </row>
    <row r="185" spans="1:16">
      <c r="A185">
        <v>17</v>
      </c>
      <c r="B185" t="s">
        <v>505</v>
      </c>
      <c r="E185">
        <v>6</v>
      </c>
      <c r="F185" t="s">
        <v>135</v>
      </c>
      <c r="G185" s="6">
        <v>43047</v>
      </c>
      <c r="H185">
        <v>40</v>
      </c>
      <c r="I185" s="83" t="s">
        <v>506</v>
      </c>
      <c r="J185" t="s">
        <v>385</v>
      </c>
      <c r="K185" s="1">
        <v>2181.6</v>
      </c>
      <c r="L185" s="1">
        <v>2130.54</v>
      </c>
      <c r="M185" s="11">
        <f t="shared" si="22"/>
        <v>51.059999999999945</v>
      </c>
      <c r="N185">
        <v>12.35</v>
      </c>
      <c r="O185" s="11">
        <f t="shared" si="24"/>
        <v>38.709999999999944</v>
      </c>
      <c r="P185" s="24">
        <f t="shared" si="23"/>
        <v>2.3965755160663571E-2</v>
      </c>
    </row>
    <row r="186" spans="1:16">
      <c r="A186">
        <v>18</v>
      </c>
      <c r="B186" t="s">
        <v>507</v>
      </c>
      <c r="E186">
        <v>73</v>
      </c>
      <c r="F186" t="s">
        <v>508</v>
      </c>
      <c r="G186" s="6">
        <v>43047</v>
      </c>
      <c r="H186">
        <v>120</v>
      </c>
      <c r="I186" s="83" t="s">
        <v>509</v>
      </c>
      <c r="J186" t="s">
        <v>385</v>
      </c>
      <c r="K186" s="1">
        <v>3060.16</v>
      </c>
      <c r="L186" s="1">
        <v>2994.46</v>
      </c>
      <c r="M186" s="11">
        <f t="shared" si="22"/>
        <v>65.699999999999818</v>
      </c>
      <c r="O186" s="11">
        <f t="shared" si="24"/>
        <v>65.699999999999818</v>
      </c>
      <c r="P186" s="24">
        <f t="shared" si="23"/>
        <v>2.1940516821062905E-2</v>
      </c>
    </row>
    <row r="187" spans="1:16">
      <c r="A187">
        <v>19</v>
      </c>
      <c r="B187" t="s">
        <v>510</v>
      </c>
      <c r="E187">
        <v>63</v>
      </c>
      <c r="F187" t="s">
        <v>135</v>
      </c>
      <c r="G187" s="6">
        <v>43047</v>
      </c>
      <c r="H187">
        <v>70</v>
      </c>
      <c r="I187" s="83" t="s">
        <v>511</v>
      </c>
      <c r="J187" t="s">
        <v>385</v>
      </c>
      <c r="K187" s="1">
        <v>2368.17</v>
      </c>
      <c r="L187" s="1">
        <v>2291.31</v>
      </c>
      <c r="M187" s="11">
        <f t="shared" si="22"/>
        <v>76.860000000000127</v>
      </c>
      <c r="N187">
        <v>14.52</v>
      </c>
      <c r="O187" s="11">
        <f t="shared" si="24"/>
        <v>62.340000000000131</v>
      </c>
      <c r="P187" s="24">
        <f t="shared" si="23"/>
        <v>3.3544129777288934E-2</v>
      </c>
    </row>
    <row r="188" spans="1:16">
      <c r="A188">
        <v>20</v>
      </c>
      <c r="B188" t="s">
        <v>512</v>
      </c>
      <c r="E188">
        <v>2</v>
      </c>
      <c r="F188" t="s">
        <v>404</v>
      </c>
      <c r="G188" s="6">
        <v>43048</v>
      </c>
      <c r="H188">
        <v>240</v>
      </c>
      <c r="I188" t="s">
        <v>513</v>
      </c>
      <c r="J188" t="s">
        <v>385</v>
      </c>
      <c r="K188" s="1">
        <v>1530.6</v>
      </c>
      <c r="L188" s="1">
        <v>1483.64</v>
      </c>
      <c r="M188" s="11">
        <f t="shared" si="22"/>
        <v>46.959999999999809</v>
      </c>
      <c r="O188" s="11">
        <f t="shared" si="24"/>
        <v>46.959999999999809</v>
      </c>
      <c r="P188" s="24">
        <f t="shared" si="23"/>
        <v>3.1651883206168518E-2</v>
      </c>
    </row>
    <row r="189" spans="1:16">
      <c r="A189">
        <v>21</v>
      </c>
      <c r="B189" t="s">
        <v>514</v>
      </c>
      <c r="E189">
        <v>2</v>
      </c>
      <c r="F189" t="s">
        <v>135</v>
      </c>
      <c r="G189" s="6">
        <v>43048</v>
      </c>
      <c r="H189">
        <v>90</v>
      </c>
      <c r="I189" t="s">
        <v>515</v>
      </c>
      <c r="K189" s="1">
        <v>395.2</v>
      </c>
      <c r="L189" s="1">
        <v>357.9</v>
      </c>
      <c r="M189" s="11">
        <f t="shared" si="22"/>
        <v>37.300000000000011</v>
      </c>
      <c r="N189">
        <v>10.17</v>
      </c>
      <c r="O189" s="11">
        <f t="shared" si="24"/>
        <v>27.13000000000001</v>
      </c>
      <c r="P189" s="24">
        <f t="shared" si="23"/>
        <v>0.10421905560212363</v>
      </c>
    </row>
    <row r="190" spans="1:16">
      <c r="A190">
        <v>22</v>
      </c>
      <c r="B190" t="s">
        <v>516</v>
      </c>
      <c r="E190">
        <v>5</v>
      </c>
      <c r="F190" t="s">
        <v>517</v>
      </c>
      <c r="G190" s="6">
        <v>43052</v>
      </c>
      <c r="H190">
        <v>240</v>
      </c>
      <c r="I190" t="s">
        <v>518</v>
      </c>
      <c r="J190" t="s">
        <v>385</v>
      </c>
      <c r="K190" s="1">
        <v>11058.5</v>
      </c>
      <c r="L190" s="1">
        <v>10929.5</v>
      </c>
      <c r="M190" s="11">
        <f t="shared" si="22"/>
        <v>129</v>
      </c>
      <c r="N190">
        <v>14.56</v>
      </c>
      <c r="O190" s="11">
        <f t="shared" si="24"/>
        <v>114.44</v>
      </c>
      <c r="P190" s="24">
        <f t="shared" si="23"/>
        <v>1.1802918706253607E-2</v>
      </c>
    </row>
    <row r="191" spans="1:16">
      <c r="A191">
        <v>23</v>
      </c>
      <c r="B191" t="s">
        <v>519</v>
      </c>
      <c r="E191">
        <v>2</v>
      </c>
      <c r="F191" t="s">
        <v>129</v>
      </c>
      <c r="G191" s="6">
        <v>43053</v>
      </c>
      <c r="H191">
        <v>120</v>
      </c>
      <c r="I191" t="s">
        <v>520</v>
      </c>
      <c r="J191" t="s">
        <v>385</v>
      </c>
      <c r="K191" s="1">
        <v>4678.8</v>
      </c>
      <c r="L191" s="1">
        <v>4610</v>
      </c>
      <c r="M191" s="11">
        <f t="shared" si="22"/>
        <v>68.800000000000182</v>
      </c>
      <c r="N191">
        <v>21.17</v>
      </c>
      <c r="O191" s="11">
        <f t="shared" si="24"/>
        <v>47.63000000000018</v>
      </c>
      <c r="P191" s="24">
        <f t="shared" si="23"/>
        <v>1.4924078091106407E-2</v>
      </c>
    </row>
    <row r="192" spans="1:16">
      <c r="A192">
        <v>24</v>
      </c>
      <c r="B192" t="s">
        <v>521</v>
      </c>
      <c r="E192">
        <v>1</v>
      </c>
      <c r="F192" t="s">
        <v>266</v>
      </c>
      <c r="G192" s="6">
        <v>43053</v>
      </c>
      <c r="H192">
        <v>120</v>
      </c>
      <c r="I192" t="s">
        <v>522</v>
      </c>
      <c r="J192" t="s">
        <v>385</v>
      </c>
      <c r="K192" s="1">
        <v>3788.34</v>
      </c>
      <c r="L192" s="1">
        <v>3729</v>
      </c>
      <c r="M192" s="11">
        <f t="shared" si="22"/>
        <v>59.340000000000146</v>
      </c>
      <c r="N192">
        <v>19.05</v>
      </c>
      <c r="O192" s="11">
        <f t="shared" si="24"/>
        <v>40.290000000000148</v>
      </c>
      <c r="P192" s="24">
        <f t="shared" si="23"/>
        <v>1.5913113435237269E-2</v>
      </c>
    </row>
    <row r="193" spans="1:16">
      <c r="A193">
        <v>25</v>
      </c>
      <c r="B193" t="s">
        <v>523</v>
      </c>
      <c r="E193">
        <v>1</v>
      </c>
      <c r="F193" t="s">
        <v>524</v>
      </c>
      <c r="G193" s="6">
        <v>43053</v>
      </c>
      <c r="H193">
        <v>140</v>
      </c>
      <c r="I193" t="s">
        <v>525</v>
      </c>
      <c r="J193" t="s">
        <v>385</v>
      </c>
      <c r="K193" s="1">
        <v>4728</v>
      </c>
      <c r="L193" s="1">
        <v>4506.87</v>
      </c>
      <c r="M193" s="11">
        <f t="shared" si="22"/>
        <v>221.13000000000011</v>
      </c>
      <c r="O193" s="11">
        <f t="shared" si="24"/>
        <v>221.13000000000011</v>
      </c>
      <c r="P193" s="24">
        <f t="shared" si="23"/>
        <v>4.906509395655978E-2</v>
      </c>
    </row>
    <row r="194" spans="1:16">
      <c r="A194">
        <v>26</v>
      </c>
      <c r="B194" t="s">
        <v>526</v>
      </c>
      <c r="E194">
        <v>5</v>
      </c>
      <c r="F194" t="s">
        <v>527</v>
      </c>
      <c r="G194" s="6">
        <v>43053</v>
      </c>
      <c r="H194">
        <v>100</v>
      </c>
      <c r="I194" t="s">
        <v>528</v>
      </c>
      <c r="J194" t="s">
        <v>385</v>
      </c>
      <c r="K194" s="61">
        <v>4771.5</v>
      </c>
      <c r="L194" s="1">
        <v>4615</v>
      </c>
      <c r="M194" s="11">
        <f t="shared" si="22"/>
        <v>156.5</v>
      </c>
      <c r="O194" s="11">
        <f t="shared" si="24"/>
        <v>156.5</v>
      </c>
      <c r="P194" s="24">
        <f t="shared" si="23"/>
        <v>3.3911159263271928E-2</v>
      </c>
    </row>
    <row r="195" spans="1:16">
      <c r="A195">
        <v>27</v>
      </c>
      <c r="B195" t="s">
        <v>529</v>
      </c>
      <c r="E195">
        <v>6</v>
      </c>
      <c r="F195" t="s">
        <v>135</v>
      </c>
      <c r="G195" s="6">
        <v>43056</v>
      </c>
      <c r="H195">
        <v>40</v>
      </c>
      <c r="I195" t="s">
        <v>530</v>
      </c>
      <c r="J195" t="s">
        <v>385</v>
      </c>
      <c r="K195" s="1">
        <v>1491.18</v>
      </c>
      <c r="L195" s="1">
        <v>1447.8</v>
      </c>
      <c r="M195" s="11">
        <f t="shared" si="22"/>
        <v>43.380000000000109</v>
      </c>
      <c r="N195">
        <v>11.17</v>
      </c>
      <c r="O195" s="11">
        <f t="shared" si="24"/>
        <v>32.210000000000107</v>
      </c>
      <c r="P195" s="24">
        <f t="shared" si="23"/>
        <v>2.9962702030667199E-2</v>
      </c>
    </row>
    <row r="196" spans="1:16">
      <c r="A196">
        <v>28</v>
      </c>
      <c r="B196" t="s">
        <v>531</v>
      </c>
      <c r="E196">
        <v>544</v>
      </c>
      <c r="F196" t="s">
        <v>532</v>
      </c>
      <c r="G196" s="6">
        <v>43056</v>
      </c>
      <c r="H196">
        <v>200</v>
      </c>
      <c r="I196" t="s">
        <v>533</v>
      </c>
      <c r="J196" t="s">
        <v>385</v>
      </c>
      <c r="K196" s="1">
        <v>15906.56</v>
      </c>
      <c r="L196" s="1">
        <v>15471.36</v>
      </c>
      <c r="M196" s="11">
        <f t="shared" si="22"/>
        <v>435.19999999999891</v>
      </c>
      <c r="O196" s="11">
        <f t="shared" si="24"/>
        <v>435.19999999999891</v>
      </c>
      <c r="P196" s="24">
        <f t="shared" si="23"/>
        <v>2.8129395218002839E-2</v>
      </c>
    </row>
    <row r="197" spans="1:16">
      <c r="A197">
        <v>29</v>
      </c>
      <c r="B197" t="s">
        <v>534</v>
      </c>
      <c r="E197">
        <v>71</v>
      </c>
      <c r="F197" t="s">
        <v>135</v>
      </c>
      <c r="G197" s="6">
        <v>43056</v>
      </c>
      <c r="H197">
        <v>90</v>
      </c>
      <c r="I197" t="s">
        <v>535</v>
      </c>
      <c r="J197" t="s">
        <v>385</v>
      </c>
      <c r="K197" s="1">
        <v>3679.93</v>
      </c>
      <c r="L197" s="1">
        <v>3613.9</v>
      </c>
      <c r="M197" s="11">
        <f t="shared" si="22"/>
        <v>66.029999999999745</v>
      </c>
      <c r="N197">
        <v>13.82</v>
      </c>
      <c r="O197" s="11">
        <f t="shared" si="24"/>
        <v>52.209999999999745</v>
      </c>
      <c r="P197" s="24">
        <f t="shared" si="23"/>
        <v>1.827111984282892E-2</v>
      </c>
    </row>
    <row r="198" spans="1:16">
      <c r="A198">
        <v>30</v>
      </c>
      <c r="B198" t="s">
        <v>536</v>
      </c>
      <c r="E198">
        <v>106</v>
      </c>
      <c r="F198" t="s">
        <v>135</v>
      </c>
      <c r="G198" s="6">
        <v>43056</v>
      </c>
      <c r="H198">
        <v>90</v>
      </c>
      <c r="I198" t="s">
        <v>537</v>
      </c>
      <c r="J198" t="s">
        <v>538</v>
      </c>
      <c r="K198" s="1">
        <v>5376.32</v>
      </c>
      <c r="L198" s="1">
        <v>5286.22</v>
      </c>
      <c r="M198" s="11">
        <f t="shared" si="22"/>
        <v>90.099999999999454</v>
      </c>
      <c r="N198">
        <v>14.65</v>
      </c>
      <c r="O198" s="11">
        <f t="shared" si="24"/>
        <v>75.449999999999449</v>
      </c>
      <c r="P198" s="24">
        <f t="shared" si="23"/>
        <v>1.7044315219570727E-2</v>
      </c>
    </row>
    <row r="199" spans="1:16">
      <c r="A199">
        <v>31</v>
      </c>
      <c r="B199" t="s">
        <v>539</v>
      </c>
      <c r="E199">
        <v>63</v>
      </c>
      <c r="F199" t="s">
        <v>540</v>
      </c>
      <c r="G199" s="6">
        <v>43061</v>
      </c>
      <c r="H199">
        <v>60</v>
      </c>
      <c r="I199" t="s">
        <v>541</v>
      </c>
      <c r="J199" t="s">
        <v>385</v>
      </c>
      <c r="K199" s="61">
        <v>849.87</v>
      </c>
      <c r="L199" s="11">
        <v>790.65</v>
      </c>
      <c r="M199" s="11">
        <f t="shared" si="22"/>
        <v>59.220000000000027</v>
      </c>
      <c r="O199" s="11">
        <f t="shared" si="24"/>
        <v>59.220000000000027</v>
      </c>
      <c r="P199" s="24">
        <f t="shared" si="23"/>
        <v>7.4900398406374524E-2</v>
      </c>
    </row>
    <row r="200" spans="1:16">
      <c r="A200">
        <v>32</v>
      </c>
      <c r="B200" t="s">
        <v>542</v>
      </c>
      <c r="E200">
        <v>3</v>
      </c>
      <c r="F200" t="s">
        <v>129</v>
      </c>
      <c r="G200" s="6">
        <v>43070</v>
      </c>
      <c r="H200">
        <v>90</v>
      </c>
      <c r="I200" t="s">
        <v>543</v>
      </c>
      <c r="J200" t="s">
        <v>385</v>
      </c>
      <c r="K200" s="1">
        <v>909</v>
      </c>
      <c r="L200" s="154">
        <v>855</v>
      </c>
      <c r="M200" s="11">
        <f t="shared" si="22"/>
        <v>54</v>
      </c>
      <c r="N200">
        <v>12.78</v>
      </c>
      <c r="O200" s="11">
        <f t="shared" si="24"/>
        <v>41.22</v>
      </c>
      <c r="P200" s="24">
        <f t="shared" si="23"/>
        <v>6.315789473684208E-2</v>
      </c>
    </row>
    <row r="201" spans="1:16">
      <c r="A201">
        <v>33</v>
      </c>
      <c r="B201" t="s">
        <v>544</v>
      </c>
      <c r="E201">
        <v>1</v>
      </c>
      <c r="F201" t="s">
        <v>545</v>
      </c>
      <c r="G201" s="6">
        <v>43064</v>
      </c>
      <c r="H201">
        <v>90</v>
      </c>
      <c r="I201" t="s">
        <v>546</v>
      </c>
      <c r="J201" t="s">
        <v>385</v>
      </c>
      <c r="K201" s="1">
        <v>164</v>
      </c>
      <c r="L201" s="11">
        <v>134.1</v>
      </c>
      <c r="M201" s="11">
        <f t="shared" si="22"/>
        <v>29.900000000000006</v>
      </c>
      <c r="N201">
        <v>9.7100000000000009</v>
      </c>
      <c r="O201" s="11">
        <f t="shared" si="24"/>
        <v>20.190000000000005</v>
      </c>
      <c r="P201" s="24">
        <f t="shared" si="23"/>
        <v>0.22296793437733031</v>
      </c>
    </row>
    <row r="202" spans="1:16">
      <c r="A202">
        <v>34</v>
      </c>
      <c r="B202" t="s">
        <v>547</v>
      </c>
      <c r="E202">
        <v>3</v>
      </c>
      <c r="F202" t="s">
        <v>139</v>
      </c>
      <c r="G202" s="6">
        <v>43067</v>
      </c>
      <c r="H202">
        <v>130</v>
      </c>
      <c r="I202" t="s">
        <v>548</v>
      </c>
      <c r="J202" t="s">
        <v>385</v>
      </c>
      <c r="K202" s="1">
        <v>5983.26</v>
      </c>
      <c r="L202" s="11">
        <v>5769</v>
      </c>
      <c r="M202" s="11">
        <f t="shared" si="22"/>
        <v>214.26000000000022</v>
      </c>
      <c r="N202">
        <v>115.04</v>
      </c>
      <c r="O202" s="11">
        <f t="shared" si="24"/>
        <v>99.220000000000212</v>
      </c>
      <c r="P202" s="24">
        <f t="shared" si="23"/>
        <v>3.7139885595423916E-2</v>
      </c>
    </row>
    <row r="203" spans="1:16">
      <c r="A203">
        <v>35</v>
      </c>
      <c r="B203" t="s">
        <v>549</v>
      </c>
      <c r="E203">
        <v>26</v>
      </c>
      <c r="F203" t="s">
        <v>135</v>
      </c>
      <c r="G203" s="6">
        <v>43067</v>
      </c>
      <c r="H203">
        <v>100</v>
      </c>
      <c r="I203" t="s">
        <v>550</v>
      </c>
      <c r="J203" t="s">
        <v>385</v>
      </c>
      <c r="K203" s="1">
        <v>4035.2</v>
      </c>
      <c r="L203" s="11">
        <v>3952.78</v>
      </c>
      <c r="M203" s="11">
        <f t="shared" si="22"/>
        <v>82.419999999999618</v>
      </c>
      <c r="N203">
        <v>9.7100000000000009</v>
      </c>
      <c r="O203" s="11">
        <f t="shared" ref="O203:O211" si="25">M203-N203</f>
        <v>72.70999999999961</v>
      </c>
      <c r="P203" s="24">
        <f t="shared" si="23"/>
        <v>2.0851147799776371E-2</v>
      </c>
    </row>
    <row r="204" spans="1:16">
      <c r="A204">
        <v>36</v>
      </c>
      <c r="B204" t="s">
        <v>551</v>
      </c>
      <c r="E204">
        <v>3</v>
      </c>
      <c r="F204" t="s">
        <v>501</v>
      </c>
      <c r="G204" s="6">
        <v>43067</v>
      </c>
      <c r="H204">
        <v>90</v>
      </c>
      <c r="I204" t="s">
        <v>552</v>
      </c>
      <c r="J204" t="s">
        <v>385</v>
      </c>
      <c r="K204" s="1">
        <v>847.68</v>
      </c>
      <c r="L204" s="11">
        <v>810</v>
      </c>
      <c r="M204" s="11">
        <f t="shared" si="22"/>
        <v>37.67999999999995</v>
      </c>
      <c r="O204" s="11">
        <f t="shared" si="25"/>
        <v>37.67999999999995</v>
      </c>
      <c r="P204" s="24">
        <f t="shared" si="23"/>
        <v>4.6518518518518404E-2</v>
      </c>
    </row>
    <row r="205" spans="1:16">
      <c r="A205">
        <v>37</v>
      </c>
      <c r="B205" t="s">
        <v>553</v>
      </c>
      <c r="E205">
        <v>17</v>
      </c>
      <c r="F205" t="s">
        <v>399</v>
      </c>
      <c r="G205" s="6">
        <v>43067</v>
      </c>
      <c r="H205">
        <v>90</v>
      </c>
      <c r="I205" t="s">
        <v>554</v>
      </c>
      <c r="J205" t="s">
        <v>385</v>
      </c>
      <c r="K205" s="1">
        <v>4424.76</v>
      </c>
      <c r="L205" s="11">
        <v>4386</v>
      </c>
      <c r="M205" s="11">
        <f t="shared" si="22"/>
        <v>38.760000000000218</v>
      </c>
      <c r="N205">
        <v>18.350000000000001</v>
      </c>
      <c r="O205" s="11">
        <f t="shared" si="25"/>
        <v>20.410000000000217</v>
      </c>
      <c r="P205" s="24">
        <f t="shared" si="23"/>
        <v>8.837209302325677E-3</v>
      </c>
    </row>
    <row r="206" spans="1:16">
      <c r="A206">
        <v>38</v>
      </c>
      <c r="B206" t="s">
        <v>555</v>
      </c>
      <c r="E206">
        <v>1</v>
      </c>
      <c r="F206" t="s">
        <v>135</v>
      </c>
      <c r="G206" s="6">
        <v>43067</v>
      </c>
      <c r="H206">
        <v>60</v>
      </c>
      <c r="I206" t="s">
        <v>556</v>
      </c>
      <c r="J206" t="s">
        <v>385</v>
      </c>
      <c r="K206" s="1">
        <v>420.6</v>
      </c>
      <c r="L206" s="11">
        <v>392.5</v>
      </c>
      <c r="M206" s="11">
        <f t="shared" si="22"/>
        <v>28.100000000000023</v>
      </c>
      <c r="N206">
        <v>9.7100000000000009</v>
      </c>
      <c r="O206" s="11">
        <f t="shared" si="25"/>
        <v>18.390000000000022</v>
      </c>
      <c r="P206" s="24">
        <f t="shared" si="23"/>
        <v>7.1592356687898207E-2</v>
      </c>
    </row>
    <row r="207" spans="1:16">
      <c r="A207">
        <v>39</v>
      </c>
      <c r="B207" t="s">
        <v>557</v>
      </c>
      <c r="E207">
        <v>80</v>
      </c>
      <c r="F207" t="s">
        <v>135</v>
      </c>
      <c r="G207" s="6">
        <v>43067</v>
      </c>
      <c r="H207">
        <v>80</v>
      </c>
      <c r="I207" s="83" t="s">
        <v>558</v>
      </c>
      <c r="J207" t="s">
        <v>385</v>
      </c>
      <c r="K207" s="1">
        <v>10350.4</v>
      </c>
      <c r="L207" s="11">
        <v>10196</v>
      </c>
      <c r="M207" s="11">
        <f t="shared" si="22"/>
        <v>154.39999999999964</v>
      </c>
      <c r="N207">
        <v>20.13</v>
      </c>
      <c r="O207" s="11">
        <f t="shared" si="25"/>
        <v>134.26999999999964</v>
      </c>
      <c r="P207" s="24">
        <f t="shared" si="23"/>
        <v>1.5143193409180133E-2</v>
      </c>
    </row>
    <row r="208" spans="1:16">
      <c r="A208">
        <v>40</v>
      </c>
      <c r="B208" s="4" t="s">
        <v>559</v>
      </c>
      <c r="E208">
        <v>3</v>
      </c>
      <c r="F208" t="s">
        <v>308</v>
      </c>
      <c r="G208" s="6">
        <v>43068</v>
      </c>
      <c r="H208">
        <v>240</v>
      </c>
      <c r="I208" t="s">
        <v>560</v>
      </c>
      <c r="J208" t="s">
        <v>385</v>
      </c>
      <c r="K208" s="1">
        <v>36490.35</v>
      </c>
      <c r="L208" s="11">
        <v>35925</v>
      </c>
      <c r="M208" s="11">
        <f t="shared" si="22"/>
        <v>565.34999999999854</v>
      </c>
      <c r="O208" s="11">
        <f t="shared" si="25"/>
        <v>565.34999999999854</v>
      </c>
      <c r="P208" s="24">
        <f t="shared" si="23"/>
        <v>1.5736951983298608E-2</v>
      </c>
    </row>
    <row r="209" spans="1:16">
      <c r="A209">
        <v>41</v>
      </c>
      <c r="B209" t="s">
        <v>561</v>
      </c>
      <c r="E209">
        <v>12</v>
      </c>
      <c r="F209" s="4" t="s">
        <v>562</v>
      </c>
      <c r="G209" s="6">
        <v>43068</v>
      </c>
      <c r="H209">
        <v>70</v>
      </c>
      <c r="I209" s="93" t="s">
        <v>563</v>
      </c>
      <c r="J209" t="s">
        <v>385</v>
      </c>
      <c r="K209" s="1">
        <v>1597.92</v>
      </c>
      <c r="L209" s="1">
        <v>1540.8</v>
      </c>
      <c r="M209" s="11">
        <f t="shared" si="22"/>
        <v>57.120000000000118</v>
      </c>
      <c r="N209">
        <v>11.67</v>
      </c>
      <c r="O209" s="11">
        <f t="shared" si="25"/>
        <v>45.450000000000117</v>
      </c>
      <c r="P209" s="24">
        <f t="shared" si="23"/>
        <v>3.7071651090342828E-2</v>
      </c>
    </row>
    <row r="210" spans="1:16">
      <c r="A210">
        <v>42</v>
      </c>
      <c r="B210" t="s">
        <v>564</v>
      </c>
      <c r="E210">
        <v>11</v>
      </c>
      <c r="F210" t="s">
        <v>565</v>
      </c>
      <c r="G210" s="6">
        <v>43068</v>
      </c>
      <c r="I210" t="s">
        <v>558</v>
      </c>
      <c r="J210" t="s">
        <v>385</v>
      </c>
      <c r="K210" s="1">
        <v>378.84</v>
      </c>
      <c r="L210">
        <v>344.63</v>
      </c>
      <c r="M210" s="11">
        <f t="shared" si="22"/>
        <v>34.20999999999998</v>
      </c>
      <c r="O210" s="11">
        <f t="shared" si="25"/>
        <v>34.20999999999998</v>
      </c>
      <c r="P210" s="24">
        <f t="shared" si="23"/>
        <v>9.926587934886677E-2</v>
      </c>
    </row>
    <row r="211" spans="1:16">
      <c r="K211" s="64">
        <f>SUM(K169:K210)</f>
        <v>169565.75999999998</v>
      </c>
      <c r="L211" s="26">
        <f>SUM(L169:L210)</f>
        <v>165468.75</v>
      </c>
      <c r="M211" s="26">
        <f>SUM(M169:M210)</f>
        <v>4097.0099999999966</v>
      </c>
      <c r="O211" s="11">
        <f t="shared" si="25"/>
        <v>4097.0099999999966</v>
      </c>
      <c r="P211" s="129">
        <f t="shared" si="23"/>
        <v>2.4760022662889458E-2</v>
      </c>
    </row>
    <row r="213" spans="1:16">
      <c r="A213">
        <v>1</v>
      </c>
      <c r="B213" t="s">
        <v>566</v>
      </c>
      <c r="E213">
        <v>16</v>
      </c>
      <c r="F213" t="s">
        <v>567</v>
      </c>
      <c r="G213" s="6">
        <v>43070</v>
      </c>
      <c r="H213">
        <v>100</v>
      </c>
      <c r="I213" t="s">
        <v>568</v>
      </c>
      <c r="J213" t="s">
        <v>385</v>
      </c>
      <c r="K213" s="61">
        <v>6033.6</v>
      </c>
      <c r="L213" s="1">
        <v>5867.2</v>
      </c>
      <c r="M213" s="11">
        <f t="shared" ref="M213:M250" si="26">K213-L213</f>
        <v>166.40000000000055</v>
      </c>
      <c r="N213">
        <v>13.55</v>
      </c>
      <c r="O213" s="11">
        <f>M213-N213</f>
        <v>152.85000000000053</v>
      </c>
      <c r="P213" s="24">
        <f t="shared" ref="P213:P227" si="27">(K213/L213)-1</f>
        <v>2.836105808562861E-2</v>
      </c>
    </row>
    <row r="214" spans="1:16">
      <c r="A214">
        <v>2</v>
      </c>
      <c r="B214" t="s">
        <v>569</v>
      </c>
      <c r="E214">
        <v>19</v>
      </c>
      <c r="F214" t="s">
        <v>236</v>
      </c>
      <c r="G214" s="6">
        <v>43071</v>
      </c>
      <c r="H214">
        <v>90</v>
      </c>
      <c r="I214" t="s">
        <v>570</v>
      </c>
      <c r="J214" t="s">
        <v>385</v>
      </c>
      <c r="K214" s="61">
        <v>6339.16</v>
      </c>
      <c r="L214" s="1">
        <v>6183.74</v>
      </c>
      <c r="M214" s="11">
        <f t="shared" si="26"/>
        <v>155.42000000000007</v>
      </c>
      <c r="N214">
        <f>33.89+14.5</f>
        <v>48.39</v>
      </c>
      <c r="P214" s="24">
        <f t="shared" si="27"/>
        <v>2.5133656977815999E-2</v>
      </c>
    </row>
    <row r="215" spans="1:16">
      <c r="A215">
        <v>3</v>
      </c>
      <c r="B215" t="s">
        <v>571</v>
      </c>
      <c r="E215">
        <v>1</v>
      </c>
      <c r="F215" t="s">
        <v>501</v>
      </c>
      <c r="G215" s="6">
        <v>43073</v>
      </c>
      <c r="H215">
        <v>90</v>
      </c>
      <c r="I215" t="s">
        <v>572</v>
      </c>
      <c r="J215" t="s">
        <v>385</v>
      </c>
      <c r="K215" s="1">
        <v>1011.6</v>
      </c>
      <c r="L215" s="1">
        <v>974</v>
      </c>
      <c r="M215" s="11">
        <f t="shared" si="26"/>
        <v>37.600000000000023</v>
      </c>
      <c r="P215" s="24">
        <f t="shared" si="27"/>
        <v>3.8603696098562734E-2</v>
      </c>
    </row>
    <row r="216" spans="1:16">
      <c r="A216">
        <v>4</v>
      </c>
      <c r="B216" t="s">
        <v>573</v>
      </c>
      <c r="E216">
        <v>1</v>
      </c>
      <c r="F216" t="s">
        <v>279</v>
      </c>
      <c r="G216" s="6">
        <v>43073</v>
      </c>
      <c r="H216">
        <v>140</v>
      </c>
      <c r="I216" t="s">
        <v>574</v>
      </c>
      <c r="J216" t="s">
        <v>385</v>
      </c>
      <c r="K216" s="1">
        <v>898</v>
      </c>
      <c r="L216" s="1">
        <v>855.33</v>
      </c>
      <c r="M216" s="11">
        <f t="shared" si="26"/>
        <v>42.669999999999959</v>
      </c>
      <c r="N216">
        <v>13.24</v>
      </c>
      <c r="P216" s="24">
        <f t="shared" si="27"/>
        <v>4.9887178048238612E-2</v>
      </c>
    </row>
    <row r="217" spans="1:16">
      <c r="A217">
        <v>5</v>
      </c>
      <c r="B217" t="s">
        <v>575</v>
      </c>
      <c r="E217">
        <v>7</v>
      </c>
      <c r="F217" t="s">
        <v>576</v>
      </c>
      <c r="G217" s="6">
        <v>43073</v>
      </c>
      <c r="H217">
        <v>60</v>
      </c>
      <c r="I217" t="s">
        <v>577</v>
      </c>
      <c r="J217" t="s">
        <v>385</v>
      </c>
      <c r="K217" s="1">
        <v>184.66</v>
      </c>
      <c r="L217" s="1">
        <v>140</v>
      </c>
      <c r="M217" s="11">
        <f t="shared" si="26"/>
        <v>44.66</v>
      </c>
      <c r="N217">
        <v>9.7100000000000009</v>
      </c>
      <c r="P217" s="24">
        <f t="shared" si="27"/>
        <v>0.31899999999999995</v>
      </c>
    </row>
    <row r="218" spans="1:16">
      <c r="A218">
        <v>6</v>
      </c>
      <c r="B218" t="s">
        <v>578</v>
      </c>
      <c r="E218">
        <v>18</v>
      </c>
      <c r="F218" s="82" t="s">
        <v>579</v>
      </c>
      <c r="G218" s="6">
        <v>43074</v>
      </c>
      <c r="H218">
        <v>120</v>
      </c>
      <c r="I218" t="s">
        <v>580</v>
      </c>
      <c r="J218" t="s">
        <v>385</v>
      </c>
      <c r="K218" s="1">
        <v>3841.2</v>
      </c>
      <c r="L218" s="1">
        <v>3759.12</v>
      </c>
      <c r="M218" s="11">
        <f t="shared" si="26"/>
        <v>82.079999999999927</v>
      </c>
      <c r="N218">
        <v>11.69</v>
      </c>
      <c r="P218" s="24">
        <f t="shared" si="27"/>
        <v>2.1834897529208863E-2</v>
      </c>
    </row>
    <row r="219" spans="1:16">
      <c r="B219" t="s">
        <v>581</v>
      </c>
      <c r="E219">
        <v>64</v>
      </c>
      <c r="F219" t="s">
        <v>135</v>
      </c>
      <c r="G219" s="6">
        <v>43075</v>
      </c>
      <c r="H219">
        <v>90</v>
      </c>
      <c r="I219" t="s">
        <v>582</v>
      </c>
      <c r="K219" s="1">
        <v>3388.16</v>
      </c>
      <c r="L219" s="1">
        <v>3314.26</v>
      </c>
      <c r="M219" s="11">
        <f t="shared" si="26"/>
        <v>73.899999999999636</v>
      </c>
      <c r="N219">
        <v>13.86</v>
      </c>
      <c r="P219" s="24">
        <f t="shared" si="27"/>
        <v>2.2297586791621526E-2</v>
      </c>
    </row>
    <row r="220" spans="1:16">
      <c r="A220">
        <v>7</v>
      </c>
      <c r="B220" t="s">
        <v>583</v>
      </c>
      <c r="E220">
        <v>2</v>
      </c>
      <c r="F220" t="s">
        <v>135</v>
      </c>
      <c r="G220" s="6">
        <v>43075</v>
      </c>
      <c r="H220">
        <v>70</v>
      </c>
      <c r="I220" t="s">
        <v>584</v>
      </c>
      <c r="J220" t="s">
        <v>385</v>
      </c>
      <c r="K220" s="1">
        <v>946.8</v>
      </c>
      <c r="L220" s="1">
        <v>916.98</v>
      </c>
      <c r="M220" s="11">
        <f t="shared" si="26"/>
        <v>29.819999999999936</v>
      </c>
      <c r="N220">
        <v>10.15</v>
      </c>
      <c r="P220" s="24">
        <f t="shared" si="27"/>
        <v>3.2519793234312644E-2</v>
      </c>
    </row>
    <row r="221" spans="1:16">
      <c r="A221">
        <v>8</v>
      </c>
      <c r="B221" t="s">
        <v>585</v>
      </c>
      <c r="E221">
        <v>2</v>
      </c>
      <c r="F221" t="s">
        <v>139</v>
      </c>
      <c r="G221" s="6">
        <v>43075</v>
      </c>
      <c r="H221">
        <v>60</v>
      </c>
      <c r="I221" t="s">
        <v>586</v>
      </c>
      <c r="J221" t="s">
        <v>385</v>
      </c>
      <c r="K221" s="1">
        <v>142</v>
      </c>
      <c r="L221">
        <v>123.5</v>
      </c>
      <c r="M221" s="11">
        <f t="shared" si="26"/>
        <v>18.5</v>
      </c>
      <c r="N221">
        <v>8.8800000000000008</v>
      </c>
      <c r="P221" s="24">
        <f t="shared" si="27"/>
        <v>0.1497975708502024</v>
      </c>
    </row>
    <row r="222" spans="1:16">
      <c r="A222">
        <v>9</v>
      </c>
      <c r="B222" t="s">
        <v>587</v>
      </c>
      <c r="E222">
        <v>1</v>
      </c>
      <c r="F222" s="4" t="s">
        <v>588</v>
      </c>
      <c r="G222" s="6">
        <v>43076</v>
      </c>
      <c r="H222">
        <v>90</v>
      </c>
      <c r="I222" s="25" t="s">
        <v>589</v>
      </c>
      <c r="J222" t="s">
        <v>385</v>
      </c>
      <c r="K222" s="1">
        <v>249.64</v>
      </c>
      <c r="L222" s="1">
        <v>162.49</v>
      </c>
      <c r="M222" s="11">
        <f t="shared" si="26"/>
        <v>87.149999999999977</v>
      </c>
      <c r="N222">
        <v>10.15</v>
      </c>
      <c r="P222" s="24">
        <f t="shared" si="27"/>
        <v>0.53634069788910077</v>
      </c>
    </row>
    <row r="223" spans="1:16">
      <c r="A223">
        <v>10</v>
      </c>
      <c r="B223" t="s">
        <v>590</v>
      </c>
      <c r="E223">
        <v>2</v>
      </c>
      <c r="F223" s="4" t="s">
        <v>135</v>
      </c>
      <c r="G223" s="6">
        <v>43077</v>
      </c>
      <c r="H223">
        <v>70</v>
      </c>
      <c r="I223" s="93" t="s">
        <v>563</v>
      </c>
      <c r="K223" s="1">
        <v>452.8</v>
      </c>
      <c r="L223" s="1">
        <v>179.76</v>
      </c>
      <c r="M223" s="11">
        <f t="shared" si="26"/>
        <v>273.04000000000002</v>
      </c>
      <c r="P223" s="24">
        <f t="shared" si="27"/>
        <v>1.5189141076991546</v>
      </c>
    </row>
    <row r="224" spans="1:16">
      <c r="A224">
        <v>11</v>
      </c>
      <c r="B224" t="s">
        <v>591</v>
      </c>
      <c r="E224">
        <v>4</v>
      </c>
      <c r="F224" t="s">
        <v>135</v>
      </c>
      <c r="G224" s="6">
        <v>43077</v>
      </c>
      <c r="H224">
        <v>60</v>
      </c>
      <c r="I224" t="s">
        <v>592</v>
      </c>
      <c r="K224" s="1">
        <v>390.64</v>
      </c>
      <c r="L224" s="1">
        <v>534</v>
      </c>
      <c r="M224" s="11">
        <f t="shared" si="26"/>
        <v>-143.36000000000001</v>
      </c>
      <c r="N224" s="75">
        <v>10.17</v>
      </c>
      <c r="P224" s="24">
        <f t="shared" si="27"/>
        <v>-0.26846441947565547</v>
      </c>
    </row>
    <row r="225" spans="1:16">
      <c r="A225">
        <v>12</v>
      </c>
      <c r="B225" s="73" t="s">
        <v>593</v>
      </c>
      <c r="E225">
        <v>2</v>
      </c>
      <c r="F225" t="s">
        <v>135</v>
      </c>
      <c r="G225" s="6">
        <v>43077</v>
      </c>
      <c r="H225">
        <v>60</v>
      </c>
      <c r="I225" t="s">
        <v>594</v>
      </c>
      <c r="J225" t="s">
        <v>385</v>
      </c>
      <c r="K225" s="1">
        <v>408.16</v>
      </c>
      <c r="L225" s="1">
        <v>388.72</v>
      </c>
      <c r="M225" s="11">
        <f t="shared" si="26"/>
        <v>19.439999999999998</v>
      </c>
      <c r="N225">
        <v>10.15</v>
      </c>
      <c r="P225" s="24">
        <f t="shared" si="27"/>
        <v>5.0010290183165163E-2</v>
      </c>
    </row>
    <row r="226" spans="1:16">
      <c r="A226">
        <v>13</v>
      </c>
      <c r="B226" t="s">
        <v>595</v>
      </c>
      <c r="E226">
        <v>3</v>
      </c>
      <c r="F226" s="72" t="s">
        <v>135</v>
      </c>
      <c r="G226" s="6">
        <v>43077</v>
      </c>
      <c r="H226">
        <v>60</v>
      </c>
      <c r="I226" s="75" t="s">
        <v>227</v>
      </c>
      <c r="K226" s="1">
        <v>328.89</v>
      </c>
      <c r="L226" s="1">
        <v>328.89</v>
      </c>
      <c r="M226" s="11">
        <f t="shared" si="26"/>
        <v>0</v>
      </c>
      <c r="N226" s="75" t="s">
        <v>596</v>
      </c>
      <c r="O226" t="s">
        <v>597</v>
      </c>
      <c r="P226" s="24">
        <f t="shared" si="27"/>
        <v>0</v>
      </c>
    </row>
    <row r="227" spans="1:16">
      <c r="A227">
        <v>14</v>
      </c>
      <c r="B227" t="s">
        <v>598</v>
      </c>
      <c r="E227">
        <v>3</v>
      </c>
      <c r="F227" s="4" t="s">
        <v>135</v>
      </c>
      <c r="G227" s="6">
        <v>43079</v>
      </c>
      <c r="H227">
        <v>70</v>
      </c>
      <c r="I227" s="25" t="s">
        <v>589</v>
      </c>
      <c r="J227" t="s">
        <v>385</v>
      </c>
      <c r="K227" s="1">
        <v>593.16</v>
      </c>
      <c r="L227">
        <v>487.47</v>
      </c>
      <c r="M227" s="11">
        <f t="shared" si="26"/>
        <v>105.68999999999994</v>
      </c>
      <c r="P227" s="24">
        <f t="shared" si="27"/>
        <v>0.21681334235952976</v>
      </c>
    </row>
    <row r="228" spans="1:16">
      <c r="A228">
        <v>15</v>
      </c>
      <c r="F228" s="75" t="s">
        <v>599</v>
      </c>
      <c r="G228" s="6"/>
      <c r="I228" t="s">
        <v>227</v>
      </c>
      <c r="K228" s="1">
        <v>0</v>
      </c>
      <c r="L228" s="1">
        <v>0</v>
      </c>
      <c r="M228" s="11">
        <f t="shared" si="26"/>
        <v>0</v>
      </c>
      <c r="P228" s="24">
        <v>0</v>
      </c>
    </row>
    <row r="229" spans="1:16">
      <c r="A229">
        <v>16</v>
      </c>
      <c r="B229" t="s">
        <v>600</v>
      </c>
      <c r="E229">
        <v>84</v>
      </c>
      <c r="F229" t="s">
        <v>576</v>
      </c>
      <c r="G229" s="6">
        <v>43080</v>
      </c>
      <c r="H229">
        <v>190</v>
      </c>
      <c r="I229" t="s">
        <v>601</v>
      </c>
      <c r="J229" t="s">
        <v>489</v>
      </c>
      <c r="K229" s="1">
        <v>19706.400000000001</v>
      </c>
      <c r="L229" s="1">
        <v>19224.240000000002</v>
      </c>
      <c r="M229" s="11">
        <f t="shared" si="26"/>
        <v>482.15999999999985</v>
      </c>
      <c r="P229" s="24">
        <f t="shared" ref="P229:P250" si="28">(K229/L229)-1</f>
        <v>2.5080835445250305E-2</v>
      </c>
    </row>
    <row r="230" spans="1:16">
      <c r="A230">
        <v>17</v>
      </c>
      <c r="B230" t="s">
        <v>602</v>
      </c>
      <c r="E230">
        <v>113</v>
      </c>
      <c r="F230" t="s">
        <v>603</v>
      </c>
      <c r="G230" s="6">
        <v>43080</v>
      </c>
      <c r="H230">
        <v>120</v>
      </c>
      <c r="I230" t="s">
        <v>604</v>
      </c>
      <c r="J230" t="s">
        <v>385</v>
      </c>
      <c r="K230" s="1">
        <v>9236.6200000000008</v>
      </c>
      <c r="L230" s="1">
        <v>8976.7199999999993</v>
      </c>
      <c r="M230" s="11">
        <f t="shared" si="26"/>
        <v>259.90000000000146</v>
      </c>
      <c r="P230" s="24">
        <f t="shared" si="28"/>
        <v>2.8952668680765514E-2</v>
      </c>
    </row>
    <row r="231" spans="1:16">
      <c r="A231">
        <v>18</v>
      </c>
      <c r="B231" t="s">
        <v>605</v>
      </c>
      <c r="E231">
        <v>2</v>
      </c>
      <c r="F231" t="s">
        <v>606</v>
      </c>
      <c r="G231" s="6">
        <v>43080</v>
      </c>
      <c r="H231">
        <v>140</v>
      </c>
      <c r="I231" t="s">
        <v>607</v>
      </c>
      <c r="K231" s="9">
        <v>6772</v>
      </c>
      <c r="L231" s="1">
        <v>6612.84</v>
      </c>
      <c r="M231" s="11">
        <f t="shared" si="26"/>
        <v>159.15999999999985</v>
      </c>
      <c r="P231" s="24">
        <f t="shared" si="28"/>
        <v>2.4068327677669421E-2</v>
      </c>
    </row>
    <row r="232" spans="1:16">
      <c r="A232">
        <v>19</v>
      </c>
      <c r="B232" t="s">
        <v>608</v>
      </c>
      <c r="E232">
        <v>1</v>
      </c>
      <c r="F232" s="28" t="s">
        <v>129</v>
      </c>
      <c r="G232" s="6">
        <v>43081</v>
      </c>
      <c r="H232">
        <v>120</v>
      </c>
      <c r="I232" t="s">
        <v>609</v>
      </c>
      <c r="K232" s="9">
        <v>0</v>
      </c>
      <c r="L232" s="9">
        <v>0</v>
      </c>
      <c r="M232" s="11">
        <f t="shared" si="26"/>
        <v>0</v>
      </c>
      <c r="P232" s="24" t="e">
        <f t="shared" si="28"/>
        <v>#DIV/0!</v>
      </c>
    </row>
    <row r="233" spans="1:16">
      <c r="A233">
        <v>20</v>
      </c>
      <c r="B233" t="s">
        <v>610</v>
      </c>
      <c r="E233">
        <v>81</v>
      </c>
      <c r="F233" t="s">
        <v>251</v>
      </c>
      <c r="G233" s="6">
        <v>43082</v>
      </c>
      <c r="H233">
        <v>90</v>
      </c>
      <c r="I233" t="s">
        <v>611</v>
      </c>
      <c r="J233" t="s">
        <v>385</v>
      </c>
      <c r="K233" s="1">
        <v>3237.57</v>
      </c>
      <c r="L233" s="1">
        <v>3159</v>
      </c>
      <c r="M233" s="11">
        <f t="shared" si="26"/>
        <v>78.570000000000164</v>
      </c>
      <c r="N233">
        <v>13.94</v>
      </c>
      <c r="P233" s="24">
        <f t="shared" si="28"/>
        <v>2.4871794871794917E-2</v>
      </c>
    </row>
    <row r="234" spans="1:16">
      <c r="A234">
        <v>21</v>
      </c>
      <c r="B234" t="s">
        <v>612</v>
      </c>
      <c r="E234">
        <v>9</v>
      </c>
      <c r="F234" t="s">
        <v>404</v>
      </c>
      <c r="G234" s="6">
        <v>43083</v>
      </c>
      <c r="H234">
        <v>230</v>
      </c>
      <c r="I234" t="s">
        <v>613</v>
      </c>
      <c r="J234" t="s">
        <v>385</v>
      </c>
      <c r="K234" s="1">
        <v>5730.66</v>
      </c>
      <c r="L234" s="1">
        <v>5658.39</v>
      </c>
      <c r="M234" s="11">
        <f t="shared" si="26"/>
        <v>72.269999999999527</v>
      </c>
      <c r="N234">
        <v>12.83</v>
      </c>
      <c r="P234" s="24">
        <f t="shared" si="28"/>
        <v>1.2772184313912582E-2</v>
      </c>
    </row>
    <row r="235" spans="1:16">
      <c r="A235">
        <v>22</v>
      </c>
      <c r="B235" t="s">
        <v>614</v>
      </c>
      <c r="E235">
        <v>56</v>
      </c>
      <c r="F235" t="s">
        <v>603</v>
      </c>
      <c r="G235" s="6">
        <v>43087</v>
      </c>
      <c r="H235">
        <v>120</v>
      </c>
      <c r="I235" t="s">
        <v>615</v>
      </c>
      <c r="J235" t="s">
        <v>489</v>
      </c>
      <c r="K235" s="1">
        <v>5275.76</v>
      </c>
      <c r="L235" s="1">
        <v>5063.5200000000004</v>
      </c>
      <c r="M235" s="11">
        <f t="shared" si="26"/>
        <v>212.23999999999978</v>
      </c>
      <c r="N235">
        <v>11.69</v>
      </c>
      <c r="P235" s="24">
        <f t="shared" si="28"/>
        <v>4.1915505419154897E-2</v>
      </c>
    </row>
    <row r="236" spans="1:16">
      <c r="A236">
        <v>23</v>
      </c>
      <c r="B236" t="s">
        <v>616</v>
      </c>
      <c r="E236">
        <v>69</v>
      </c>
      <c r="F236" t="s">
        <v>135</v>
      </c>
      <c r="G236" s="6">
        <v>43088</v>
      </c>
      <c r="H236">
        <v>130</v>
      </c>
      <c r="I236" t="s">
        <v>617</v>
      </c>
      <c r="J236" t="s">
        <v>489</v>
      </c>
      <c r="K236" s="1">
        <v>13493.64</v>
      </c>
      <c r="L236" s="1">
        <v>13319.14</v>
      </c>
      <c r="M236" s="11">
        <f t="shared" si="26"/>
        <v>174.5</v>
      </c>
      <c r="N236">
        <v>25.65</v>
      </c>
      <c r="P236" s="24">
        <f t="shared" si="28"/>
        <v>1.3101446489788282E-2</v>
      </c>
    </row>
    <row r="237" spans="1:16">
      <c r="A237">
        <v>24</v>
      </c>
      <c r="B237" t="s">
        <v>618</v>
      </c>
      <c r="E237">
        <v>1</v>
      </c>
      <c r="F237" t="s">
        <v>135</v>
      </c>
      <c r="G237" s="6">
        <v>43088</v>
      </c>
      <c r="H237">
        <v>110</v>
      </c>
      <c r="I237" t="s">
        <v>619</v>
      </c>
      <c r="J237" t="s">
        <v>489</v>
      </c>
      <c r="K237" s="1">
        <v>842.44</v>
      </c>
      <c r="L237" s="1">
        <v>807.54</v>
      </c>
      <c r="M237" s="11">
        <f t="shared" si="26"/>
        <v>34.900000000000091</v>
      </c>
      <c r="N237">
        <v>10.15</v>
      </c>
      <c r="P237" s="24">
        <f t="shared" si="28"/>
        <v>4.3217673427941694E-2</v>
      </c>
    </row>
    <row r="238" spans="1:16">
      <c r="A238">
        <v>25</v>
      </c>
      <c r="B238" t="s">
        <v>620</v>
      </c>
      <c r="E238">
        <v>4</v>
      </c>
      <c r="F238" t="s">
        <v>501</v>
      </c>
      <c r="G238" s="6">
        <v>43088</v>
      </c>
      <c r="H238">
        <v>60</v>
      </c>
      <c r="I238" t="s">
        <v>621</v>
      </c>
      <c r="J238" t="s">
        <v>385</v>
      </c>
      <c r="K238" s="1">
        <v>643.04</v>
      </c>
      <c r="L238" s="1">
        <v>616</v>
      </c>
      <c r="M238" s="11">
        <f t="shared" si="26"/>
        <v>27.039999999999964</v>
      </c>
      <c r="P238" s="24">
        <f t="shared" si="28"/>
        <v>4.3896103896103877E-2</v>
      </c>
    </row>
    <row r="239" spans="1:16">
      <c r="A239">
        <v>26</v>
      </c>
      <c r="B239" t="s">
        <v>622</v>
      </c>
      <c r="E239">
        <v>13</v>
      </c>
      <c r="F239" s="72" t="s">
        <v>135</v>
      </c>
      <c r="G239" s="6">
        <v>43088</v>
      </c>
      <c r="H239">
        <v>90</v>
      </c>
      <c r="I239" s="75" t="s">
        <v>227</v>
      </c>
      <c r="K239" s="1">
        <v>850.2</v>
      </c>
      <c r="L239" s="1">
        <v>850.2</v>
      </c>
      <c r="M239" s="11">
        <f t="shared" si="26"/>
        <v>0</v>
      </c>
      <c r="N239" s="75" t="s">
        <v>623</v>
      </c>
      <c r="O239" t="s">
        <v>597</v>
      </c>
      <c r="P239" s="24">
        <f t="shared" si="28"/>
        <v>0</v>
      </c>
    </row>
    <row r="240" spans="1:16">
      <c r="A240">
        <v>27</v>
      </c>
      <c r="B240" t="s">
        <v>624</v>
      </c>
      <c r="E240">
        <v>226</v>
      </c>
      <c r="F240" t="s">
        <v>625</v>
      </c>
      <c r="G240" s="6">
        <v>43089</v>
      </c>
      <c r="H240">
        <v>160</v>
      </c>
      <c r="I240" t="s">
        <v>626</v>
      </c>
      <c r="J240" t="s">
        <v>385</v>
      </c>
      <c r="K240" s="1">
        <v>13652.66</v>
      </c>
      <c r="L240" s="1">
        <v>13449.26</v>
      </c>
      <c r="M240" s="11">
        <f t="shared" si="26"/>
        <v>203.39999999999964</v>
      </c>
      <c r="P240" s="24">
        <f t="shared" si="28"/>
        <v>1.51235086540078E-2</v>
      </c>
    </row>
    <row r="241" spans="1:16">
      <c r="A241">
        <v>28</v>
      </c>
      <c r="B241" t="s">
        <v>627</v>
      </c>
      <c r="E241">
        <v>7</v>
      </c>
      <c r="F241" t="s">
        <v>139</v>
      </c>
      <c r="G241" s="6">
        <v>43089</v>
      </c>
      <c r="H241">
        <v>100</v>
      </c>
      <c r="I241" t="s">
        <v>628</v>
      </c>
      <c r="K241" s="1">
        <v>4327.3999999999996</v>
      </c>
      <c r="L241" s="1">
        <v>4186</v>
      </c>
      <c r="M241" s="11">
        <f t="shared" si="26"/>
        <v>141.39999999999964</v>
      </c>
      <c r="N241">
        <v>60.1</v>
      </c>
      <c r="P241" s="24">
        <f t="shared" si="28"/>
        <v>3.3779264214046645E-2</v>
      </c>
    </row>
    <row r="242" spans="1:16">
      <c r="A242">
        <v>29</v>
      </c>
      <c r="B242" t="s">
        <v>629</v>
      </c>
      <c r="E242" t="s">
        <v>630</v>
      </c>
      <c r="F242" t="s">
        <v>603</v>
      </c>
      <c r="G242" s="6">
        <v>43090</v>
      </c>
      <c r="H242">
        <v>140</v>
      </c>
      <c r="I242" t="s">
        <v>631</v>
      </c>
      <c r="J242" t="s">
        <v>489</v>
      </c>
      <c r="K242" s="1">
        <v>5933.44</v>
      </c>
      <c r="L242" s="1">
        <v>5778.5</v>
      </c>
      <c r="M242" s="11">
        <f t="shared" si="26"/>
        <v>154.9399999999996</v>
      </c>
      <c r="N242">
        <v>14.52</v>
      </c>
      <c r="P242" s="24">
        <f t="shared" si="28"/>
        <v>2.6813186813186674E-2</v>
      </c>
    </row>
    <row r="243" spans="1:16">
      <c r="A243">
        <v>30</v>
      </c>
      <c r="B243" t="s">
        <v>632</v>
      </c>
      <c r="E243">
        <v>10</v>
      </c>
      <c r="F243" t="s">
        <v>633</v>
      </c>
      <c r="G243" s="6">
        <v>43090</v>
      </c>
      <c r="H243">
        <v>140</v>
      </c>
      <c r="I243" t="s">
        <v>634</v>
      </c>
      <c r="J243" t="s">
        <v>385</v>
      </c>
      <c r="K243" s="1">
        <v>6949.4</v>
      </c>
      <c r="L243" s="1">
        <v>6833.8</v>
      </c>
      <c r="M243" s="11">
        <f t="shared" si="26"/>
        <v>115.59999999999945</v>
      </c>
      <c r="P243" s="24">
        <f t="shared" si="28"/>
        <v>1.6915917937311509E-2</v>
      </c>
    </row>
    <row r="244" spans="1:16">
      <c r="A244">
        <v>31</v>
      </c>
      <c r="B244" t="s">
        <v>635</v>
      </c>
      <c r="E244">
        <v>1912</v>
      </c>
      <c r="F244" t="s">
        <v>625</v>
      </c>
      <c r="G244" s="6">
        <v>43091</v>
      </c>
      <c r="H244">
        <v>110</v>
      </c>
      <c r="I244" t="s">
        <v>636</v>
      </c>
      <c r="J244" t="s">
        <v>385</v>
      </c>
      <c r="K244" s="1">
        <v>6070.98</v>
      </c>
      <c r="L244" s="1">
        <v>5880</v>
      </c>
      <c r="M244" s="11">
        <f t="shared" si="26"/>
        <v>190.97999999999956</v>
      </c>
      <c r="N244">
        <f>22.67+22.67+22.67+22.67</f>
        <v>90.68</v>
      </c>
      <c r="O244" s="11">
        <f t="shared" ref="O244:O275" si="29">M244-N244</f>
        <v>100.29999999999956</v>
      </c>
      <c r="P244" s="24">
        <f t="shared" si="28"/>
        <v>3.2479591836734656E-2</v>
      </c>
    </row>
    <row r="245" spans="1:16">
      <c r="A245">
        <v>32</v>
      </c>
      <c r="B245" t="s">
        <v>637</v>
      </c>
      <c r="E245">
        <v>7</v>
      </c>
      <c r="F245" t="s">
        <v>606</v>
      </c>
      <c r="G245" s="6">
        <v>43095</v>
      </c>
      <c r="H245">
        <v>130</v>
      </c>
      <c r="I245" t="s">
        <v>638</v>
      </c>
      <c r="K245" s="9">
        <v>2265.48</v>
      </c>
      <c r="L245" s="11">
        <v>2131.71</v>
      </c>
      <c r="M245" s="11">
        <f t="shared" si="26"/>
        <v>133.76999999999998</v>
      </c>
      <c r="O245" s="11">
        <f t="shared" si="29"/>
        <v>133.76999999999998</v>
      </c>
      <c r="P245" s="24">
        <f t="shared" si="28"/>
        <v>6.2752438183430126E-2</v>
      </c>
    </row>
    <row r="246" spans="1:16">
      <c r="A246">
        <v>33</v>
      </c>
      <c r="B246" t="s">
        <v>639</v>
      </c>
      <c r="E246">
        <v>12</v>
      </c>
      <c r="F246" t="s">
        <v>508</v>
      </c>
      <c r="G246" s="6">
        <v>43096</v>
      </c>
      <c r="H246">
        <v>110</v>
      </c>
      <c r="I246" t="s">
        <v>640</v>
      </c>
      <c r="J246" t="s">
        <v>385</v>
      </c>
      <c r="K246" s="1">
        <v>958.2</v>
      </c>
      <c r="L246" s="11">
        <v>913.68</v>
      </c>
      <c r="M246" s="11">
        <f t="shared" si="26"/>
        <v>44.520000000000095</v>
      </c>
      <c r="N246">
        <v>14.52</v>
      </c>
      <c r="O246" s="11">
        <f t="shared" si="29"/>
        <v>30.000000000000096</v>
      </c>
      <c r="P246" s="24">
        <f t="shared" si="28"/>
        <v>4.872603099553463E-2</v>
      </c>
    </row>
    <row r="247" spans="1:16">
      <c r="A247">
        <v>34</v>
      </c>
      <c r="B247" t="s">
        <v>641</v>
      </c>
      <c r="E247">
        <v>2</v>
      </c>
      <c r="F247" t="s">
        <v>135</v>
      </c>
      <c r="G247" s="6">
        <v>43096</v>
      </c>
      <c r="H247">
        <v>70</v>
      </c>
      <c r="I247" s="146" t="s">
        <v>563</v>
      </c>
      <c r="K247" s="1">
        <v>412.78</v>
      </c>
      <c r="L247" s="11">
        <v>179.76</v>
      </c>
      <c r="M247" s="11">
        <f t="shared" si="26"/>
        <v>233.01999999999998</v>
      </c>
      <c r="O247" s="11">
        <f t="shared" si="29"/>
        <v>233.01999999999998</v>
      </c>
      <c r="P247" s="24">
        <f t="shared" si="28"/>
        <v>1.2962839341344012</v>
      </c>
    </row>
    <row r="248" spans="1:16">
      <c r="A248">
        <v>35</v>
      </c>
      <c r="B248" t="s">
        <v>642</v>
      </c>
      <c r="E248">
        <v>3</v>
      </c>
      <c r="F248" t="s">
        <v>501</v>
      </c>
      <c r="G248" s="6">
        <v>43097</v>
      </c>
      <c r="H248">
        <v>60</v>
      </c>
      <c r="I248" t="s">
        <v>643</v>
      </c>
      <c r="J248" t="s">
        <v>644</v>
      </c>
      <c r="K248" s="70">
        <v>1813.14</v>
      </c>
      <c r="L248" s="11">
        <v>1776</v>
      </c>
      <c r="M248" s="11">
        <f t="shared" si="26"/>
        <v>37.1400000000001</v>
      </c>
      <c r="O248" s="11">
        <f t="shared" si="29"/>
        <v>37.1400000000001</v>
      </c>
      <c r="P248" s="24">
        <f t="shared" si="28"/>
        <v>2.0912162162162184E-2</v>
      </c>
    </row>
    <row r="249" spans="1:16">
      <c r="A249">
        <v>36</v>
      </c>
      <c r="B249" t="s">
        <v>645</v>
      </c>
      <c r="E249">
        <v>8</v>
      </c>
      <c r="F249" t="s">
        <v>576</v>
      </c>
      <c r="G249" s="6">
        <v>43098</v>
      </c>
      <c r="H249">
        <v>60</v>
      </c>
      <c r="I249" t="s">
        <v>646</v>
      </c>
      <c r="J249" t="s">
        <v>385</v>
      </c>
      <c r="K249" s="1">
        <v>210.72</v>
      </c>
      <c r="L249" s="11">
        <v>160</v>
      </c>
      <c r="M249" s="11">
        <f t="shared" si="26"/>
        <v>50.72</v>
      </c>
      <c r="O249" s="11">
        <f t="shared" si="29"/>
        <v>50.72</v>
      </c>
      <c r="P249" s="24">
        <f t="shared" si="28"/>
        <v>0.31699999999999995</v>
      </c>
    </row>
    <row r="250" spans="1:16">
      <c r="K250" s="26">
        <f>SUM(K213:K249)</f>
        <v>133591</v>
      </c>
      <c r="L250" s="26">
        <f>SUM(L213:L249)</f>
        <v>129791.76</v>
      </c>
      <c r="M250" s="26">
        <f t="shared" si="26"/>
        <v>3799.2400000000052</v>
      </c>
      <c r="O250" s="11">
        <f t="shared" si="29"/>
        <v>3799.2400000000052</v>
      </c>
      <c r="P250" s="129">
        <f t="shared" si="28"/>
        <v>2.9271812016417709E-2</v>
      </c>
    </row>
    <row r="251" spans="1:16">
      <c r="O251" s="11">
        <f t="shared" si="29"/>
        <v>0</v>
      </c>
    </row>
    <row r="252" spans="1:16">
      <c r="A252">
        <v>1</v>
      </c>
      <c r="B252" t="s">
        <v>647</v>
      </c>
      <c r="E252">
        <v>15</v>
      </c>
      <c r="F252" s="73" t="s">
        <v>648</v>
      </c>
      <c r="G252" s="6">
        <v>43102</v>
      </c>
      <c r="H252">
        <v>90</v>
      </c>
      <c r="I252" s="72" t="s">
        <v>649</v>
      </c>
      <c r="K252" s="1">
        <v>13837.35</v>
      </c>
      <c r="L252" s="11">
        <v>7648</v>
      </c>
      <c r="M252" s="11">
        <f t="shared" ref="M252:M266" si="30">K252-L252</f>
        <v>6189.35</v>
      </c>
      <c r="O252" s="11">
        <f t="shared" si="29"/>
        <v>6189.35</v>
      </c>
      <c r="P252" s="24">
        <f t="shared" ref="P252:P286" si="31">(K252/L252)-1</f>
        <v>0.8092769351464435</v>
      </c>
    </row>
    <row r="253" spans="1:16">
      <c r="A253">
        <v>2</v>
      </c>
      <c r="B253" t="s">
        <v>650</v>
      </c>
      <c r="E253">
        <v>1</v>
      </c>
      <c r="F253" s="75" t="s">
        <v>651</v>
      </c>
      <c r="G253" s="6">
        <v>43102</v>
      </c>
      <c r="H253">
        <v>60</v>
      </c>
      <c r="I253" s="75" t="s">
        <v>227</v>
      </c>
      <c r="K253" s="1">
        <v>0</v>
      </c>
      <c r="L253" s="11">
        <v>0</v>
      </c>
      <c r="M253" s="11">
        <f t="shared" si="30"/>
        <v>0</v>
      </c>
      <c r="N253" s="75" t="s">
        <v>596</v>
      </c>
      <c r="O253" s="11" t="e">
        <f t="shared" si="29"/>
        <v>#VALUE!</v>
      </c>
      <c r="P253" s="24" t="e">
        <f t="shared" si="31"/>
        <v>#DIV/0!</v>
      </c>
    </row>
    <row r="254" spans="1:16">
      <c r="A254">
        <v>3</v>
      </c>
      <c r="B254" t="s">
        <v>652</v>
      </c>
      <c r="E254">
        <v>5</v>
      </c>
      <c r="F254" t="s">
        <v>399</v>
      </c>
      <c r="G254" s="6">
        <v>43102</v>
      </c>
      <c r="H254">
        <v>100</v>
      </c>
      <c r="I254" t="s">
        <v>653</v>
      </c>
      <c r="J254" t="s">
        <v>654</v>
      </c>
      <c r="K254" s="1">
        <v>12183</v>
      </c>
      <c r="L254" s="1">
        <v>11970</v>
      </c>
      <c r="M254" s="11">
        <f t="shared" si="30"/>
        <v>213</v>
      </c>
      <c r="N254">
        <v>81.22</v>
      </c>
      <c r="O254" s="11">
        <f t="shared" si="29"/>
        <v>131.78</v>
      </c>
      <c r="P254" s="24">
        <f t="shared" si="31"/>
        <v>1.7794486215538807E-2</v>
      </c>
    </row>
    <row r="255" spans="1:16">
      <c r="A255">
        <v>4</v>
      </c>
      <c r="B255" t="s">
        <v>655</v>
      </c>
      <c r="E255">
        <v>63</v>
      </c>
      <c r="F255" t="s">
        <v>135</v>
      </c>
      <c r="G255" s="6">
        <v>43104</v>
      </c>
      <c r="H255">
        <v>110</v>
      </c>
      <c r="I255" t="s">
        <v>656</v>
      </c>
      <c r="J255" t="s">
        <v>654</v>
      </c>
      <c r="K255" s="1">
        <v>7299.18</v>
      </c>
      <c r="L255" s="1">
        <v>7143.57</v>
      </c>
      <c r="M255" s="11">
        <f t="shared" si="30"/>
        <v>155.61000000000058</v>
      </c>
      <c r="N255">
        <v>19.05</v>
      </c>
      <c r="O255" s="11">
        <f t="shared" si="29"/>
        <v>136.56000000000057</v>
      </c>
      <c r="P255" s="24">
        <f t="shared" si="31"/>
        <v>2.1783226034041814E-2</v>
      </c>
    </row>
    <row r="256" spans="1:16">
      <c r="A256">
        <v>5</v>
      </c>
      <c r="B256" t="s">
        <v>657</v>
      </c>
      <c r="E256">
        <v>1</v>
      </c>
      <c r="F256" t="s">
        <v>565</v>
      </c>
      <c r="G256" s="6">
        <v>43104</v>
      </c>
      <c r="H256">
        <v>30</v>
      </c>
      <c r="I256" t="s">
        <v>658</v>
      </c>
      <c r="J256" t="s">
        <v>654</v>
      </c>
      <c r="K256" s="1">
        <v>33.840000000000003</v>
      </c>
      <c r="L256" s="1">
        <v>5</v>
      </c>
      <c r="M256" s="11">
        <f t="shared" si="30"/>
        <v>28.840000000000003</v>
      </c>
      <c r="O256" s="11">
        <f t="shared" si="29"/>
        <v>28.840000000000003</v>
      </c>
      <c r="P256" s="24">
        <f t="shared" si="31"/>
        <v>5.7680000000000007</v>
      </c>
    </row>
    <row r="257" spans="1:16">
      <c r="A257">
        <v>6</v>
      </c>
      <c r="B257" t="s">
        <v>659</v>
      </c>
      <c r="E257" s="75">
        <v>29</v>
      </c>
      <c r="F257" s="75" t="s">
        <v>135</v>
      </c>
      <c r="G257" s="6">
        <v>43104</v>
      </c>
      <c r="I257" s="75" t="s">
        <v>227</v>
      </c>
      <c r="K257" s="1">
        <v>0</v>
      </c>
      <c r="L257" s="1">
        <v>0</v>
      </c>
      <c r="M257" s="11">
        <f t="shared" si="30"/>
        <v>0</v>
      </c>
      <c r="N257" s="75" t="s">
        <v>227</v>
      </c>
      <c r="O257" s="11" t="e">
        <f t="shared" si="29"/>
        <v>#VALUE!</v>
      </c>
      <c r="P257" s="24" t="e">
        <f t="shared" si="31"/>
        <v>#DIV/0!</v>
      </c>
    </row>
    <row r="258" spans="1:16">
      <c r="A258">
        <v>7</v>
      </c>
      <c r="B258" t="s">
        <v>660</v>
      </c>
      <c r="E258">
        <v>2</v>
      </c>
      <c r="F258" t="s">
        <v>661</v>
      </c>
      <c r="G258" s="6">
        <v>43104</v>
      </c>
      <c r="H258">
        <v>110</v>
      </c>
      <c r="I258" t="s">
        <v>662</v>
      </c>
      <c r="J258" t="s">
        <v>654</v>
      </c>
      <c r="K258" s="1">
        <v>2375.94</v>
      </c>
      <c r="L258" s="1">
        <v>2330</v>
      </c>
      <c r="M258" s="11">
        <f t="shared" si="30"/>
        <v>45.940000000000055</v>
      </c>
      <c r="N258">
        <v>10.17</v>
      </c>
      <c r="O258" s="11">
        <f t="shared" si="29"/>
        <v>35.770000000000053</v>
      </c>
      <c r="P258" s="24">
        <f t="shared" si="31"/>
        <v>1.971673819742481E-2</v>
      </c>
    </row>
    <row r="259" spans="1:16">
      <c r="A259">
        <v>8</v>
      </c>
      <c r="B259" t="s">
        <v>663</v>
      </c>
      <c r="E259">
        <v>264</v>
      </c>
      <c r="F259" t="s">
        <v>135</v>
      </c>
      <c r="G259" s="6">
        <v>43104</v>
      </c>
      <c r="I259" t="s">
        <v>664</v>
      </c>
      <c r="J259" t="s">
        <v>654</v>
      </c>
      <c r="K259" s="1">
        <v>12571.79</v>
      </c>
      <c r="L259" s="1">
        <v>12344.64</v>
      </c>
      <c r="M259" s="11">
        <f t="shared" si="30"/>
        <v>227.15000000000146</v>
      </c>
      <c r="N259">
        <v>34.5</v>
      </c>
      <c r="O259" s="11">
        <f t="shared" si="29"/>
        <v>192.65000000000146</v>
      </c>
      <c r="P259" s="24">
        <f t="shared" si="31"/>
        <v>1.8400698602794474E-2</v>
      </c>
    </row>
    <row r="260" spans="1:16">
      <c r="A260">
        <v>9</v>
      </c>
      <c r="B260" t="s">
        <v>665</v>
      </c>
      <c r="E260">
        <v>10</v>
      </c>
      <c r="F260" t="s">
        <v>666</v>
      </c>
      <c r="G260" s="6">
        <v>43109</v>
      </c>
      <c r="H260">
        <v>70</v>
      </c>
      <c r="I260" t="s">
        <v>667</v>
      </c>
      <c r="J260" t="s">
        <v>644</v>
      </c>
      <c r="K260" s="11">
        <v>198.7</v>
      </c>
      <c r="L260" s="11">
        <v>155.9</v>
      </c>
      <c r="M260" s="11">
        <f t="shared" si="30"/>
        <v>42.799999999999983</v>
      </c>
      <c r="N260">
        <v>9.5299999999999994</v>
      </c>
      <c r="O260" s="11">
        <f t="shared" si="29"/>
        <v>33.269999999999982</v>
      </c>
      <c r="P260" s="24">
        <f t="shared" si="31"/>
        <v>0.27453495830660657</v>
      </c>
    </row>
    <row r="261" spans="1:16">
      <c r="A261">
        <v>10</v>
      </c>
      <c r="B261" t="s">
        <v>668</v>
      </c>
      <c r="E261">
        <v>3</v>
      </c>
      <c r="F261" t="s">
        <v>669</v>
      </c>
      <c r="G261" s="6">
        <v>43109</v>
      </c>
      <c r="H261">
        <v>100</v>
      </c>
      <c r="I261" t="s">
        <v>670</v>
      </c>
      <c r="J261" t="s">
        <v>654</v>
      </c>
      <c r="K261" s="11">
        <v>850.29</v>
      </c>
      <c r="L261" s="11">
        <v>810</v>
      </c>
      <c r="M261" s="11">
        <f t="shared" si="30"/>
        <v>40.289999999999964</v>
      </c>
      <c r="N261">
        <v>15.4</v>
      </c>
      <c r="O261" s="11">
        <f t="shared" si="29"/>
        <v>24.889999999999965</v>
      </c>
      <c r="P261" s="24">
        <f t="shared" si="31"/>
        <v>4.9740740740740641E-2</v>
      </c>
    </row>
    <row r="262" spans="1:16">
      <c r="A262">
        <v>11</v>
      </c>
      <c r="B262" t="s">
        <v>671</v>
      </c>
      <c r="E262">
        <v>1</v>
      </c>
      <c r="F262" t="s">
        <v>672</v>
      </c>
      <c r="G262" s="6">
        <v>43109</v>
      </c>
      <c r="H262">
        <v>30</v>
      </c>
      <c r="I262" t="s">
        <v>673</v>
      </c>
      <c r="J262" t="s">
        <v>654</v>
      </c>
      <c r="K262" s="11">
        <v>98</v>
      </c>
      <c r="L262" s="11">
        <v>42</v>
      </c>
      <c r="M262" s="11">
        <f t="shared" si="30"/>
        <v>56</v>
      </c>
      <c r="O262" s="11">
        <f t="shared" si="29"/>
        <v>56</v>
      </c>
      <c r="P262" s="24">
        <f t="shared" si="31"/>
        <v>1.3333333333333335</v>
      </c>
    </row>
    <row r="263" spans="1:16">
      <c r="A263">
        <v>12</v>
      </c>
      <c r="B263" t="s">
        <v>674</v>
      </c>
      <c r="E263">
        <v>1</v>
      </c>
      <c r="F263" t="s">
        <v>254</v>
      </c>
      <c r="G263" s="6">
        <v>43109</v>
      </c>
      <c r="H263">
        <v>70</v>
      </c>
      <c r="I263" t="s">
        <v>675</v>
      </c>
      <c r="J263" t="s">
        <v>654</v>
      </c>
      <c r="K263" s="11">
        <v>4298.42</v>
      </c>
      <c r="L263" s="11">
        <v>4200</v>
      </c>
      <c r="M263" s="11">
        <f t="shared" si="30"/>
        <v>98.420000000000073</v>
      </c>
      <c r="N263">
        <v>10.17</v>
      </c>
      <c r="O263" s="11">
        <f t="shared" si="29"/>
        <v>88.250000000000071</v>
      </c>
      <c r="P263" s="24">
        <f t="shared" si="31"/>
        <v>2.3433333333333417E-2</v>
      </c>
    </row>
    <row r="264" spans="1:16">
      <c r="A264">
        <v>13</v>
      </c>
      <c r="B264" t="s">
        <v>676</v>
      </c>
      <c r="E264">
        <v>19</v>
      </c>
      <c r="F264" t="s">
        <v>236</v>
      </c>
      <c r="G264" s="6">
        <v>43110</v>
      </c>
      <c r="H264">
        <v>90</v>
      </c>
      <c r="I264" t="s">
        <v>677</v>
      </c>
      <c r="J264" t="s">
        <v>644</v>
      </c>
      <c r="K264" s="70">
        <v>6376.02</v>
      </c>
      <c r="L264">
        <v>6197.04</v>
      </c>
      <c r="M264" s="11">
        <f t="shared" si="30"/>
        <v>178.98000000000047</v>
      </c>
      <c r="N264">
        <v>48.33</v>
      </c>
      <c r="O264" s="11">
        <f t="shared" si="29"/>
        <v>130.65000000000049</v>
      </c>
      <c r="P264" s="24">
        <f t="shared" si="31"/>
        <v>2.8881530537159694E-2</v>
      </c>
    </row>
    <row r="265" spans="1:16">
      <c r="A265">
        <v>14</v>
      </c>
      <c r="B265" t="s">
        <v>678</v>
      </c>
      <c r="E265">
        <v>1</v>
      </c>
      <c r="F265" t="s">
        <v>679</v>
      </c>
      <c r="G265" s="6">
        <v>43111</v>
      </c>
      <c r="H265">
        <v>140</v>
      </c>
      <c r="I265" t="s">
        <v>680</v>
      </c>
      <c r="J265" t="s">
        <v>654</v>
      </c>
      <c r="K265" s="70">
        <v>4588</v>
      </c>
      <c r="L265" s="11">
        <v>4482.24</v>
      </c>
      <c r="M265" s="11">
        <f t="shared" si="30"/>
        <v>105.76000000000022</v>
      </c>
      <c r="O265" s="11">
        <f t="shared" si="29"/>
        <v>105.76000000000022</v>
      </c>
      <c r="P265" s="24">
        <f t="shared" si="31"/>
        <v>2.3595345184550531E-2</v>
      </c>
    </row>
    <row r="266" spans="1:16">
      <c r="A266">
        <v>15</v>
      </c>
      <c r="B266" t="s">
        <v>681</v>
      </c>
      <c r="E266">
        <v>40</v>
      </c>
      <c r="F266" t="s">
        <v>682</v>
      </c>
      <c r="G266" s="6">
        <v>43112</v>
      </c>
      <c r="H266">
        <v>70</v>
      </c>
      <c r="I266" t="s">
        <v>683</v>
      </c>
      <c r="J266" t="s">
        <v>654</v>
      </c>
      <c r="K266" s="70">
        <v>1836.8</v>
      </c>
      <c r="L266">
        <v>1798.8</v>
      </c>
      <c r="M266" s="11">
        <f t="shared" si="30"/>
        <v>38</v>
      </c>
      <c r="N266">
        <v>120.46</v>
      </c>
      <c r="O266" s="11">
        <f t="shared" si="29"/>
        <v>-82.46</v>
      </c>
      <c r="P266" s="24">
        <f t="shared" si="31"/>
        <v>2.1125194574160622E-2</v>
      </c>
    </row>
    <row r="267" spans="1:16">
      <c r="A267">
        <v>16</v>
      </c>
      <c r="B267" t="s">
        <v>684</v>
      </c>
      <c r="E267">
        <v>1</v>
      </c>
      <c r="F267" s="75" t="s">
        <v>685</v>
      </c>
      <c r="G267" s="6">
        <v>43112</v>
      </c>
      <c r="H267">
        <v>120</v>
      </c>
      <c r="K267" s="149">
        <v>0</v>
      </c>
      <c r="L267" s="11">
        <v>0</v>
      </c>
      <c r="M267" s="11">
        <v>0</v>
      </c>
      <c r="O267" s="11">
        <f t="shared" si="29"/>
        <v>0</v>
      </c>
      <c r="P267" s="24" t="e">
        <f t="shared" si="31"/>
        <v>#DIV/0!</v>
      </c>
    </row>
    <row r="268" spans="1:16">
      <c r="A268">
        <v>17</v>
      </c>
      <c r="B268" t="s">
        <v>686</v>
      </c>
      <c r="E268">
        <v>10</v>
      </c>
      <c r="F268" t="s">
        <v>633</v>
      </c>
      <c r="G268" s="6">
        <v>43112</v>
      </c>
      <c r="H268">
        <v>130</v>
      </c>
      <c r="I268" t="s">
        <v>687</v>
      </c>
      <c r="J268" t="s">
        <v>654</v>
      </c>
      <c r="K268" s="70">
        <v>7498.4</v>
      </c>
      <c r="L268" s="1">
        <v>7354</v>
      </c>
      <c r="M268" s="11">
        <f t="shared" ref="M268:M286" si="32">K268-L268</f>
        <v>144.39999999999964</v>
      </c>
      <c r="N268">
        <v>31.63</v>
      </c>
      <c r="O268" s="11">
        <f t="shared" si="29"/>
        <v>112.76999999999964</v>
      </c>
      <c r="P268" s="24">
        <f t="shared" si="31"/>
        <v>1.9635572477563201E-2</v>
      </c>
    </row>
    <row r="269" spans="1:16">
      <c r="A269">
        <v>18</v>
      </c>
      <c r="B269" t="s">
        <v>688</v>
      </c>
      <c r="E269">
        <v>10</v>
      </c>
      <c r="F269" t="s">
        <v>633</v>
      </c>
      <c r="G269" s="6">
        <v>43112</v>
      </c>
      <c r="H269">
        <v>200</v>
      </c>
      <c r="I269" t="s">
        <v>689</v>
      </c>
      <c r="J269" t="s">
        <v>654</v>
      </c>
      <c r="K269" s="70">
        <v>7312.8</v>
      </c>
      <c r="L269" s="1">
        <v>7148.6</v>
      </c>
      <c r="M269" s="11">
        <f t="shared" si="32"/>
        <v>164.19999999999982</v>
      </c>
      <c r="O269" s="11">
        <f t="shared" si="29"/>
        <v>164.19999999999982</v>
      </c>
      <c r="P269" s="24">
        <f t="shared" si="31"/>
        <v>2.2969532495873191E-2</v>
      </c>
    </row>
    <row r="270" spans="1:16">
      <c r="A270">
        <v>19</v>
      </c>
      <c r="B270" t="s">
        <v>690</v>
      </c>
      <c r="E270">
        <v>90</v>
      </c>
      <c r="F270" t="s">
        <v>135</v>
      </c>
      <c r="G270" s="6">
        <v>43112</v>
      </c>
      <c r="H270">
        <v>160</v>
      </c>
      <c r="I270" s="72" t="s">
        <v>649</v>
      </c>
      <c r="K270" s="9">
        <v>49377.599999999999</v>
      </c>
      <c r="L270" s="1">
        <v>45892</v>
      </c>
      <c r="M270" s="11">
        <f t="shared" si="32"/>
        <v>3485.5999999999985</v>
      </c>
      <c r="O270" s="11">
        <f t="shared" si="29"/>
        <v>3485.5999999999985</v>
      </c>
      <c r="P270" s="24">
        <f t="shared" si="31"/>
        <v>7.5952235683779179E-2</v>
      </c>
    </row>
    <row r="271" spans="1:16">
      <c r="A271">
        <v>20</v>
      </c>
      <c r="B271" t="s">
        <v>691</v>
      </c>
      <c r="E271">
        <v>25</v>
      </c>
      <c r="F271" t="s">
        <v>508</v>
      </c>
      <c r="G271" s="6">
        <v>43117</v>
      </c>
      <c r="H271">
        <v>160</v>
      </c>
      <c r="I271" t="s">
        <v>692</v>
      </c>
      <c r="J271" t="s">
        <v>654</v>
      </c>
      <c r="K271" s="9">
        <v>14825.7</v>
      </c>
      <c r="L271" s="1">
        <v>14448.75</v>
      </c>
      <c r="M271" s="11">
        <f t="shared" si="32"/>
        <v>376.95000000000073</v>
      </c>
      <c r="O271" s="11">
        <f t="shared" si="29"/>
        <v>376.95000000000073</v>
      </c>
      <c r="P271" s="24">
        <f t="shared" si="31"/>
        <v>2.6088762003633637E-2</v>
      </c>
    </row>
    <row r="272" spans="1:16">
      <c r="A272">
        <v>21</v>
      </c>
      <c r="B272" t="s">
        <v>693</v>
      </c>
      <c r="E272">
        <v>1</v>
      </c>
      <c r="F272" t="s">
        <v>694</v>
      </c>
      <c r="G272" s="6">
        <v>43117</v>
      </c>
      <c r="H272">
        <v>70</v>
      </c>
      <c r="I272" t="s">
        <v>695</v>
      </c>
      <c r="J272" t="s">
        <v>644</v>
      </c>
      <c r="K272" s="9">
        <v>298.47000000000003</v>
      </c>
      <c r="L272" s="1">
        <v>175</v>
      </c>
      <c r="M272" s="11">
        <f t="shared" si="32"/>
        <v>123.47000000000003</v>
      </c>
      <c r="O272" s="11">
        <f t="shared" si="29"/>
        <v>123.47000000000003</v>
      </c>
      <c r="P272" s="24">
        <f t="shared" si="31"/>
        <v>0.70554285714285725</v>
      </c>
    </row>
    <row r="273" spans="1:16">
      <c r="A273">
        <v>22</v>
      </c>
      <c r="B273" t="s">
        <v>696</v>
      </c>
      <c r="E273">
        <v>10</v>
      </c>
      <c r="F273" t="s">
        <v>633</v>
      </c>
      <c r="G273" s="6">
        <v>43117</v>
      </c>
      <c r="H273">
        <v>200</v>
      </c>
      <c r="I273" t="s">
        <v>697</v>
      </c>
      <c r="J273" t="s">
        <v>654</v>
      </c>
      <c r="K273" s="9">
        <v>6147.8</v>
      </c>
      <c r="L273" s="1">
        <v>6035.58</v>
      </c>
      <c r="M273" s="11">
        <f t="shared" si="32"/>
        <v>112.22000000000025</v>
      </c>
      <c r="O273" s="11">
        <f t="shared" si="29"/>
        <v>112.22000000000025</v>
      </c>
      <c r="P273" s="24">
        <f t="shared" si="31"/>
        <v>1.8593076390338581E-2</v>
      </c>
    </row>
    <row r="274" spans="1:16">
      <c r="A274">
        <v>23</v>
      </c>
      <c r="B274" t="s">
        <v>698</v>
      </c>
      <c r="E274">
        <v>1</v>
      </c>
      <c r="F274" t="s">
        <v>699</v>
      </c>
      <c r="G274" s="6">
        <v>43117</v>
      </c>
      <c r="H274">
        <v>60</v>
      </c>
      <c r="I274" t="s">
        <v>700</v>
      </c>
      <c r="J274" t="s">
        <v>654</v>
      </c>
      <c r="K274" s="9">
        <v>122.2</v>
      </c>
      <c r="L274" s="1">
        <v>64.8</v>
      </c>
      <c r="M274" s="11">
        <f t="shared" si="32"/>
        <v>57.400000000000006</v>
      </c>
      <c r="O274" s="11">
        <f t="shared" si="29"/>
        <v>57.400000000000006</v>
      </c>
      <c r="P274" s="24">
        <f t="shared" si="31"/>
        <v>0.88580246913580263</v>
      </c>
    </row>
    <row r="275" spans="1:16">
      <c r="A275">
        <v>24</v>
      </c>
      <c r="B275" t="s">
        <v>701</v>
      </c>
      <c r="E275">
        <v>1</v>
      </c>
      <c r="F275" t="s">
        <v>694</v>
      </c>
      <c r="G275" s="6">
        <v>43118</v>
      </c>
      <c r="H275">
        <v>70</v>
      </c>
      <c r="I275" t="s">
        <v>695</v>
      </c>
      <c r="J275" t="s">
        <v>644</v>
      </c>
      <c r="K275" s="9">
        <v>298.47000000000003</v>
      </c>
      <c r="L275" s="1">
        <v>175</v>
      </c>
      <c r="M275" s="11">
        <f t="shared" si="32"/>
        <v>123.47000000000003</v>
      </c>
      <c r="N275" s="75" t="s">
        <v>702</v>
      </c>
      <c r="O275" s="11" t="e">
        <f t="shared" si="29"/>
        <v>#VALUE!</v>
      </c>
      <c r="P275" s="24">
        <f t="shared" si="31"/>
        <v>0.70554285714285725</v>
      </c>
    </row>
    <row r="276" spans="1:16">
      <c r="A276">
        <v>25</v>
      </c>
      <c r="B276" t="s">
        <v>703</v>
      </c>
      <c r="E276">
        <v>8</v>
      </c>
      <c r="F276" t="s">
        <v>704</v>
      </c>
      <c r="G276" s="6">
        <v>43119</v>
      </c>
      <c r="H276">
        <v>70</v>
      </c>
      <c r="I276" t="s">
        <v>705</v>
      </c>
      <c r="J276" t="s">
        <v>654</v>
      </c>
      <c r="K276" s="9">
        <v>185.12</v>
      </c>
      <c r="L276" s="1">
        <v>93</v>
      </c>
      <c r="M276" s="11">
        <f t="shared" si="32"/>
        <v>92.12</v>
      </c>
      <c r="O276" s="11">
        <f t="shared" ref="O276:O307" si="33">M276-N276</f>
        <v>92.12</v>
      </c>
      <c r="P276" s="24">
        <f t="shared" si="31"/>
        <v>0.9905376344086021</v>
      </c>
    </row>
    <row r="277" spans="1:16">
      <c r="A277">
        <v>26</v>
      </c>
      <c r="B277" t="s">
        <v>706</v>
      </c>
      <c r="E277">
        <v>33</v>
      </c>
      <c r="F277" t="s">
        <v>315</v>
      </c>
      <c r="G277" s="6">
        <v>43119</v>
      </c>
      <c r="H277">
        <v>120</v>
      </c>
      <c r="I277" t="s">
        <v>707</v>
      </c>
      <c r="J277" t="s">
        <v>644</v>
      </c>
      <c r="K277" s="9">
        <v>8389.92</v>
      </c>
      <c r="L277" s="1">
        <v>8316</v>
      </c>
      <c r="M277" s="11">
        <f t="shared" si="32"/>
        <v>73.920000000000073</v>
      </c>
      <c r="O277" s="11">
        <f t="shared" si="33"/>
        <v>73.920000000000073</v>
      </c>
      <c r="P277" s="24">
        <f t="shared" si="31"/>
        <v>8.8888888888889461E-3</v>
      </c>
    </row>
    <row r="278" spans="1:16">
      <c r="A278">
        <v>27</v>
      </c>
      <c r="B278" s="4" t="s">
        <v>708</v>
      </c>
      <c r="E278">
        <v>66</v>
      </c>
      <c r="F278" t="s">
        <v>347</v>
      </c>
      <c r="G278" s="6">
        <v>43119</v>
      </c>
      <c r="H278">
        <v>100</v>
      </c>
      <c r="I278" t="s">
        <v>709</v>
      </c>
      <c r="J278" t="s">
        <v>654</v>
      </c>
      <c r="K278" s="9">
        <v>981.42</v>
      </c>
      <c r="L278" s="1">
        <v>924</v>
      </c>
      <c r="M278" s="11">
        <f t="shared" si="32"/>
        <v>57.419999999999959</v>
      </c>
      <c r="N278">
        <v>13.29</v>
      </c>
      <c r="O278" s="11">
        <f t="shared" si="33"/>
        <v>44.12999999999996</v>
      </c>
      <c r="P278" s="24">
        <f t="shared" si="31"/>
        <v>6.2142857142857055E-2</v>
      </c>
    </row>
    <row r="279" spans="1:16">
      <c r="A279">
        <v>28</v>
      </c>
      <c r="B279" t="s">
        <v>710</v>
      </c>
      <c r="E279">
        <v>8</v>
      </c>
      <c r="F279" t="s">
        <v>399</v>
      </c>
      <c r="G279" s="6">
        <v>43124</v>
      </c>
      <c r="H279">
        <v>70</v>
      </c>
      <c r="I279" t="s">
        <v>711</v>
      </c>
      <c r="J279" t="s">
        <v>644</v>
      </c>
      <c r="K279" s="9">
        <v>543.04</v>
      </c>
      <c r="L279" s="1">
        <v>504</v>
      </c>
      <c r="M279" s="11">
        <f t="shared" si="32"/>
        <v>39.039999999999964</v>
      </c>
      <c r="N279">
        <v>10.17</v>
      </c>
      <c r="O279" s="11">
        <f t="shared" si="33"/>
        <v>28.869999999999962</v>
      </c>
      <c r="P279" s="24">
        <f t="shared" si="31"/>
        <v>7.7460317460317452E-2</v>
      </c>
    </row>
    <row r="280" spans="1:16">
      <c r="A280">
        <v>29</v>
      </c>
      <c r="B280" t="s">
        <v>712</v>
      </c>
      <c r="E280">
        <v>13</v>
      </c>
      <c r="F280" t="s">
        <v>266</v>
      </c>
      <c r="G280" s="6">
        <v>43124</v>
      </c>
      <c r="H280">
        <v>90</v>
      </c>
      <c r="I280" t="s">
        <v>713</v>
      </c>
      <c r="J280" t="s">
        <v>644</v>
      </c>
      <c r="K280" s="9">
        <v>619.97</v>
      </c>
      <c r="L280" s="1">
        <v>559</v>
      </c>
      <c r="M280" s="11">
        <f t="shared" si="32"/>
        <v>60.970000000000027</v>
      </c>
      <c r="O280" s="11">
        <f t="shared" si="33"/>
        <v>60.970000000000027</v>
      </c>
      <c r="P280" s="24">
        <f t="shared" si="31"/>
        <v>0.10906976744186059</v>
      </c>
    </row>
    <row r="281" spans="1:16">
      <c r="A281">
        <v>30</v>
      </c>
      <c r="B281" t="s">
        <v>714</v>
      </c>
      <c r="E281">
        <v>15</v>
      </c>
      <c r="F281" t="s">
        <v>135</v>
      </c>
      <c r="G281" s="6">
        <v>43126</v>
      </c>
      <c r="H281">
        <v>130</v>
      </c>
      <c r="I281" t="s">
        <v>715</v>
      </c>
      <c r="J281" t="s">
        <v>644</v>
      </c>
      <c r="K281" s="11">
        <v>12174.6</v>
      </c>
      <c r="L281" s="11">
        <v>7468.8</v>
      </c>
      <c r="M281" s="11">
        <f t="shared" si="32"/>
        <v>4705.8</v>
      </c>
      <c r="O281" s="11">
        <f t="shared" si="33"/>
        <v>4705.8</v>
      </c>
      <c r="P281" s="24">
        <f t="shared" si="31"/>
        <v>0.6300610539845759</v>
      </c>
    </row>
    <row r="282" spans="1:16">
      <c r="A282">
        <v>31</v>
      </c>
      <c r="B282" t="s">
        <v>716</v>
      </c>
      <c r="E282">
        <v>91</v>
      </c>
      <c r="F282" t="s">
        <v>211</v>
      </c>
      <c r="G282" s="6">
        <v>43129</v>
      </c>
      <c r="H282">
        <v>110</v>
      </c>
      <c r="I282" t="s">
        <v>717</v>
      </c>
      <c r="J282" t="s">
        <v>654</v>
      </c>
      <c r="K282" s="11">
        <v>4045.86</v>
      </c>
      <c r="L282" s="11">
        <v>3968.51</v>
      </c>
      <c r="M282" s="11">
        <f t="shared" si="32"/>
        <v>77.349999999999909</v>
      </c>
      <c r="O282" s="11">
        <f t="shared" si="33"/>
        <v>77.349999999999909</v>
      </c>
      <c r="P282" s="24">
        <f t="shared" si="31"/>
        <v>1.9490942444393422E-2</v>
      </c>
    </row>
    <row r="283" spans="1:16">
      <c r="A283">
        <v>32</v>
      </c>
      <c r="B283" t="s">
        <v>718</v>
      </c>
      <c r="E283">
        <v>1</v>
      </c>
      <c r="F283" t="s">
        <v>565</v>
      </c>
      <c r="G283" s="6">
        <v>43129</v>
      </c>
      <c r="H283">
        <v>40</v>
      </c>
      <c r="I283" t="s">
        <v>719</v>
      </c>
      <c r="J283" t="s">
        <v>644</v>
      </c>
      <c r="K283" s="9">
        <v>56.48</v>
      </c>
      <c r="L283" s="11">
        <v>19.53</v>
      </c>
      <c r="M283" s="11">
        <f t="shared" si="32"/>
        <v>36.949999999999996</v>
      </c>
      <c r="O283" s="11">
        <f t="shared" si="33"/>
        <v>36.949999999999996</v>
      </c>
      <c r="P283" s="24">
        <f t="shared" si="31"/>
        <v>1.8919610855094722</v>
      </c>
    </row>
    <row r="284" spans="1:16">
      <c r="A284">
        <v>33</v>
      </c>
      <c r="B284" t="s">
        <v>720</v>
      </c>
      <c r="E284">
        <v>9</v>
      </c>
      <c r="F284" t="s">
        <v>501</v>
      </c>
      <c r="G284" s="6">
        <v>43130</v>
      </c>
      <c r="H284">
        <v>100</v>
      </c>
      <c r="I284" t="s">
        <v>721</v>
      </c>
      <c r="J284" t="s">
        <v>654</v>
      </c>
      <c r="K284" s="9">
        <v>859.41</v>
      </c>
      <c r="L284" s="11">
        <v>819</v>
      </c>
      <c r="M284" s="11">
        <f t="shared" si="32"/>
        <v>40.409999999999968</v>
      </c>
      <c r="O284" s="11">
        <f t="shared" si="33"/>
        <v>40.409999999999968</v>
      </c>
      <c r="P284" s="24">
        <f t="shared" si="31"/>
        <v>4.9340659340659343E-2</v>
      </c>
    </row>
    <row r="285" spans="1:16">
      <c r="A285">
        <v>34</v>
      </c>
      <c r="B285" t="s">
        <v>722</v>
      </c>
      <c r="E285">
        <v>44</v>
      </c>
      <c r="F285" t="s">
        <v>679</v>
      </c>
      <c r="G285" s="6">
        <v>43131</v>
      </c>
      <c r="H285">
        <v>80</v>
      </c>
      <c r="I285" t="s">
        <v>723</v>
      </c>
      <c r="J285" t="s">
        <v>644</v>
      </c>
      <c r="K285" s="9">
        <v>762.52</v>
      </c>
      <c r="L285" s="11">
        <v>719.14</v>
      </c>
      <c r="M285" s="11">
        <f t="shared" si="32"/>
        <v>43.379999999999995</v>
      </c>
      <c r="O285" s="11">
        <f t="shared" si="33"/>
        <v>43.379999999999995</v>
      </c>
      <c r="P285" s="24">
        <f t="shared" si="31"/>
        <v>6.0322051339099403E-2</v>
      </c>
    </row>
    <row r="286" spans="1:16">
      <c r="K286" s="26">
        <f>SUM(K252:K285)</f>
        <v>181047.11000000004</v>
      </c>
      <c r="L286" s="26">
        <f>SUM(L252:L285)</f>
        <v>163811.9</v>
      </c>
      <c r="M286" s="26">
        <f t="shared" si="32"/>
        <v>17235.21000000005</v>
      </c>
      <c r="O286" s="11">
        <f t="shared" si="33"/>
        <v>17235.21000000005</v>
      </c>
      <c r="P286" s="129">
        <f t="shared" si="31"/>
        <v>0.10521341856116706</v>
      </c>
    </row>
    <row r="287" spans="1:16">
      <c r="O287" s="11">
        <f t="shared" si="33"/>
        <v>0</v>
      </c>
    </row>
    <row r="288" spans="1:16">
      <c r="A288">
        <v>1</v>
      </c>
      <c r="B288" t="s">
        <v>724</v>
      </c>
      <c r="E288">
        <v>1</v>
      </c>
      <c r="F288" t="s">
        <v>129</v>
      </c>
      <c r="G288" s="6">
        <v>43133</v>
      </c>
      <c r="H288">
        <v>100</v>
      </c>
      <c r="I288" t="s">
        <v>725</v>
      </c>
      <c r="J288" t="s">
        <v>644</v>
      </c>
      <c r="K288" s="9">
        <v>1025.48</v>
      </c>
      <c r="L288" s="11">
        <f>980+12.38</f>
        <v>992.38</v>
      </c>
      <c r="M288" s="11">
        <f t="shared" ref="M288:M321" si="34">K288-L288</f>
        <v>33.100000000000023</v>
      </c>
      <c r="N288">
        <v>12.67</v>
      </c>
      <c r="O288" s="11">
        <f t="shared" si="33"/>
        <v>20.430000000000021</v>
      </c>
      <c r="P288" s="24">
        <f t="shared" ref="P288:P293" si="35">(K288/L288)-1</f>
        <v>3.3354158689211877E-2</v>
      </c>
    </row>
    <row r="289" spans="1:16">
      <c r="A289">
        <v>2</v>
      </c>
      <c r="B289" t="s">
        <v>726</v>
      </c>
      <c r="E289">
        <v>1</v>
      </c>
      <c r="F289" t="s">
        <v>279</v>
      </c>
      <c r="G289" s="6">
        <v>43134</v>
      </c>
      <c r="H289">
        <v>130</v>
      </c>
      <c r="I289" t="s">
        <v>727</v>
      </c>
      <c r="J289" t="s">
        <v>644</v>
      </c>
      <c r="K289" s="9">
        <v>4069</v>
      </c>
      <c r="L289" s="11">
        <v>3943.2</v>
      </c>
      <c r="M289" s="11">
        <f t="shared" si="34"/>
        <v>125.80000000000018</v>
      </c>
      <c r="O289" s="11">
        <f t="shared" si="33"/>
        <v>125.80000000000018</v>
      </c>
      <c r="P289" s="24">
        <f t="shared" si="35"/>
        <v>3.1903022925542812E-2</v>
      </c>
    </row>
    <row r="290" spans="1:16">
      <c r="A290">
        <v>3</v>
      </c>
      <c r="B290" t="s">
        <v>728</v>
      </c>
      <c r="E290">
        <v>1</v>
      </c>
      <c r="F290" t="s">
        <v>729</v>
      </c>
      <c r="G290" s="6">
        <v>43136</v>
      </c>
      <c r="H290">
        <v>60</v>
      </c>
      <c r="I290" t="s">
        <v>730</v>
      </c>
      <c r="J290" t="s">
        <v>644</v>
      </c>
      <c r="K290" s="9">
        <v>116.49</v>
      </c>
      <c r="L290" s="1">
        <v>79.95</v>
      </c>
      <c r="M290" s="11">
        <f t="shared" si="34"/>
        <v>36.539999999999992</v>
      </c>
      <c r="O290" s="11">
        <f t="shared" si="33"/>
        <v>36.539999999999992</v>
      </c>
      <c r="P290" s="24">
        <f t="shared" si="35"/>
        <v>0.4570356472795496</v>
      </c>
    </row>
    <row r="291" spans="1:16">
      <c r="A291">
        <v>4</v>
      </c>
      <c r="B291" t="s">
        <v>731</v>
      </c>
      <c r="E291">
        <v>6</v>
      </c>
      <c r="F291" t="s">
        <v>279</v>
      </c>
      <c r="G291" s="6">
        <v>43137</v>
      </c>
      <c r="H291">
        <v>100</v>
      </c>
      <c r="I291" t="s">
        <v>732</v>
      </c>
      <c r="J291" t="s">
        <v>644</v>
      </c>
      <c r="K291" s="9">
        <v>10473.84</v>
      </c>
      <c r="L291" s="1">
        <v>10254.24</v>
      </c>
      <c r="M291" s="11">
        <f t="shared" si="34"/>
        <v>219.60000000000036</v>
      </c>
      <c r="O291" s="11">
        <f t="shared" si="33"/>
        <v>219.60000000000036</v>
      </c>
      <c r="P291" s="24">
        <f t="shared" si="35"/>
        <v>2.1415531526471021E-2</v>
      </c>
    </row>
    <row r="292" spans="1:16">
      <c r="A292">
        <v>5</v>
      </c>
      <c r="B292" t="s">
        <v>733</v>
      </c>
      <c r="E292">
        <v>13</v>
      </c>
      <c r="F292" t="s">
        <v>135</v>
      </c>
      <c r="G292" s="6">
        <v>43137</v>
      </c>
      <c r="H292">
        <v>140</v>
      </c>
      <c r="I292" t="s">
        <v>734</v>
      </c>
      <c r="J292" t="s">
        <v>654</v>
      </c>
      <c r="K292" s="9">
        <v>10551.32</v>
      </c>
      <c r="L292" s="1">
        <v>6628.96</v>
      </c>
      <c r="M292" s="11">
        <f t="shared" si="34"/>
        <v>3922.3599999999997</v>
      </c>
      <c r="O292" s="11">
        <f t="shared" si="33"/>
        <v>3922.3599999999997</v>
      </c>
      <c r="P292" s="24">
        <f t="shared" si="35"/>
        <v>0.5917006589268905</v>
      </c>
    </row>
    <row r="293" spans="1:16">
      <c r="A293">
        <v>6</v>
      </c>
      <c r="B293" t="s">
        <v>735</v>
      </c>
      <c r="E293">
        <v>3</v>
      </c>
      <c r="F293" t="s">
        <v>315</v>
      </c>
      <c r="G293" s="6">
        <v>43138</v>
      </c>
      <c r="H293">
        <v>160</v>
      </c>
      <c r="I293" t="s">
        <v>736</v>
      </c>
      <c r="J293" t="s">
        <v>654</v>
      </c>
      <c r="K293" s="9">
        <v>3953.67</v>
      </c>
      <c r="L293" s="1">
        <v>3918</v>
      </c>
      <c r="M293" s="11">
        <f t="shared" si="34"/>
        <v>35.670000000000073</v>
      </c>
      <c r="O293" s="11">
        <f t="shared" si="33"/>
        <v>35.670000000000073</v>
      </c>
      <c r="P293" s="24">
        <f t="shared" si="35"/>
        <v>9.1041347626339419E-3</v>
      </c>
    </row>
    <row r="294" spans="1:16">
      <c r="A294">
        <v>7</v>
      </c>
      <c r="B294" t="s">
        <v>737</v>
      </c>
      <c r="E294">
        <v>15</v>
      </c>
      <c r="F294" t="s">
        <v>576</v>
      </c>
      <c r="G294" s="6">
        <v>43138</v>
      </c>
      <c r="I294" s="75"/>
      <c r="K294" s="9">
        <v>8238.4500000000007</v>
      </c>
      <c r="L294" s="1">
        <v>8184</v>
      </c>
      <c r="M294" s="11">
        <f t="shared" si="34"/>
        <v>54.450000000000728</v>
      </c>
      <c r="O294" s="11">
        <f t="shared" si="33"/>
        <v>54.450000000000728</v>
      </c>
      <c r="P294" s="24">
        <f>(I294/L294)-1</f>
        <v>-1</v>
      </c>
    </row>
    <row r="295" spans="1:16">
      <c r="A295">
        <v>8</v>
      </c>
      <c r="B295" t="s">
        <v>738</v>
      </c>
      <c r="E295">
        <v>1</v>
      </c>
      <c r="F295" t="s">
        <v>135</v>
      </c>
      <c r="G295" s="6">
        <v>43138</v>
      </c>
      <c r="H295">
        <v>120</v>
      </c>
      <c r="I295" t="s">
        <v>739</v>
      </c>
      <c r="J295" t="s">
        <v>644</v>
      </c>
      <c r="K295" s="9">
        <v>2739.81</v>
      </c>
      <c r="L295" s="1">
        <v>2705.04</v>
      </c>
      <c r="M295" s="11">
        <f t="shared" si="34"/>
        <v>34.769999999999982</v>
      </c>
      <c r="O295" s="11">
        <f t="shared" si="33"/>
        <v>34.769999999999982</v>
      </c>
      <c r="P295" s="24">
        <f t="shared" ref="P295:P326" si="36">(K295/L295)-1</f>
        <v>1.2853784047555772E-2</v>
      </c>
    </row>
    <row r="296" spans="1:16">
      <c r="A296">
        <v>9</v>
      </c>
      <c r="B296" t="s">
        <v>740</v>
      </c>
      <c r="E296">
        <v>18</v>
      </c>
      <c r="F296" t="s">
        <v>532</v>
      </c>
      <c r="G296" s="6">
        <v>43139</v>
      </c>
      <c r="H296">
        <v>230</v>
      </c>
      <c r="I296" t="s">
        <v>741</v>
      </c>
      <c r="J296" t="s">
        <v>644</v>
      </c>
      <c r="K296" s="9">
        <v>2925</v>
      </c>
      <c r="L296" s="1">
        <v>2780.46</v>
      </c>
      <c r="M296" s="11">
        <f t="shared" si="34"/>
        <v>144.53999999999996</v>
      </c>
      <c r="O296" s="11">
        <f t="shared" si="33"/>
        <v>144.53999999999996</v>
      </c>
      <c r="P296" s="24">
        <f t="shared" si="36"/>
        <v>5.1984204052566874E-2</v>
      </c>
    </row>
    <row r="297" spans="1:16">
      <c r="A297">
        <v>10</v>
      </c>
      <c r="B297" t="s">
        <v>742</v>
      </c>
      <c r="E297">
        <v>5</v>
      </c>
      <c r="F297" t="s">
        <v>606</v>
      </c>
      <c r="G297" s="6">
        <v>43139</v>
      </c>
      <c r="H297">
        <v>130</v>
      </c>
      <c r="I297" t="s">
        <v>743</v>
      </c>
      <c r="J297" t="s">
        <v>644</v>
      </c>
      <c r="K297" s="9">
        <v>8313.2000000000007</v>
      </c>
      <c r="L297" s="1">
        <v>8102.9</v>
      </c>
      <c r="M297" s="11">
        <f t="shared" si="34"/>
        <v>210.30000000000109</v>
      </c>
      <c r="O297" s="11">
        <f t="shared" si="33"/>
        <v>210.30000000000109</v>
      </c>
      <c r="P297" s="24">
        <f t="shared" si="36"/>
        <v>2.5953670907946647E-2</v>
      </c>
    </row>
    <row r="298" spans="1:16">
      <c r="A298">
        <v>11</v>
      </c>
      <c r="B298" t="s">
        <v>744</v>
      </c>
      <c r="E298">
        <v>2</v>
      </c>
      <c r="F298" t="s">
        <v>501</v>
      </c>
      <c r="G298" s="6">
        <v>43143</v>
      </c>
      <c r="H298">
        <v>100</v>
      </c>
      <c r="I298" t="s">
        <v>745</v>
      </c>
      <c r="J298" t="s">
        <v>644</v>
      </c>
      <c r="K298" s="9">
        <v>6054.9</v>
      </c>
      <c r="L298" s="9">
        <v>5998</v>
      </c>
      <c r="M298" s="9">
        <f t="shared" si="34"/>
        <v>56.899999999999636</v>
      </c>
      <c r="O298" s="11">
        <f t="shared" si="33"/>
        <v>56.899999999999636</v>
      </c>
      <c r="P298" s="24">
        <f t="shared" si="36"/>
        <v>9.4864954984994476E-3</v>
      </c>
    </row>
    <row r="299" spans="1:16">
      <c r="A299">
        <v>12</v>
      </c>
      <c r="B299" t="s">
        <v>746</v>
      </c>
      <c r="E299">
        <v>5</v>
      </c>
      <c r="F299" t="s">
        <v>135</v>
      </c>
      <c r="G299" s="6">
        <v>43143</v>
      </c>
      <c r="H299">
        <v>90</v>
      </c>
      <c r="I299" t="s">
        <v>747</v>
      </c>
      <c r="J299" t="s">
        <v>644</v>
      </c>
      <c r="K299" s="9">
        <v>1532.1</v>
      </c>
      <c r="L299" s="148">
        <v>1495.05</v>
      </c>
      <c r="M299" s="9">
        <f t="shared" si="34"/>
        <v>37.049999999999955</v>
      </c>
      <c r="O299" s="11">
        <f t="shared" si="33"/>
        <v>37.049999999999955</v>
      </c>
      <c r="P299" s="24">
        <f t="shared" si="36"/>
        <v>2.4781779873582765E-2</v>
      </c>
    </row>
    <row r="300" spans="1:16">
      <c r="A300">
        <v>13</v>
      </c>
      <c r="B300" t="s">
        <v>748</v>
      </c>
      <c r="E300">
        <v>73</v>
      </c>
      <c r="F300" t="s">
        <v>135</v>
      </c>
      <c r="G300" s="6">
        <v>43143</v>
      </c>
      <c r="H300">
        <v>90</v>
      </c>
      <c r="I300" t="s">
        <v>749</v>
      </c>
      <c r="J300" t="s">
        <v>644</v>
      </c>
      <c r="K300" s="1">
        <v>4060.99</v>
      </c>
      <c r="L300" s="1">
        <v>3926.67</v>
      </c>
      <c r="M300" s="9">
        <f t="shared" si="34"/>
        <v>134.31999999999971</v>
      </c>
      <c r="N300">
        <v>13.82</v>
      </c>
      <c r="O300" s="11">
        <f t="shared" si="33"/>
        <v>120.49999999999972</v>
      </c>
      <c r="P300" s="24">
        <f t="shared" si="36"/>
        <v>3.4207101691764219E-2</v>
      </c>
    </row>
    <row r="301" spans="1:16">
      <c r="A301">
        <v>14</v>
      </c>
      <c r="B301" t="s">
        <v>750</v>
      </c>
      <c r="E301">
        <v>111</v>
      </c>
      <c r="F301" t="s">
        <v>347</v>
      </c>
      <c r="G301" s="6">
        <v>43143</v>
      </c>
      <c r="H301">
        <v>140</v>
      </c>
      <c r="I301" t="s">
        <v>751</v>
      </c>
      <c r="J301" t="s">
        <v>644</v>
      </c>
      <c r="K301" s="1">
        <v>1950.27</v>
      </c>
      <c r="L301" s="1">
        <v>1887</v>
      </c>
      <c r="M301" s="9">
        <f t="shared" si="34"/>
        <v>63.269999999999982</v>
      </c>
      <c r="O301" s="11">
        <f t="shared" si="33"/>
        <v>63.269999999999982</v>
      </c>
      <c r="P301" s="24">
        <f t="shared" si="36"/>
        <v>3.3529411764705808E-2</v>
      </c>
    </row>
    <row r="302" spans="1:16">
      <c r="A302">
        <v>15</v>
      </c>
      <c r="B302" t="s">
        <v>752</v>
      </c>
      <c r="E302">
        <v>1</v>
      </c>
      <c r="F302" t="s">
        <v>753</v>
      </c>
      <c r="G302" s="6">
        <v>43143</v>
      </c>
      <c r="H302">
        <v>120</v>
      </c>
      <c r="I302" t="s">
        <v>754</v>
      </c>
      <c r="J302" t="s">
        <v>644</v>
      </c>
      <c r="K302" s="1">
        <v>1252.8900000000001</v>
      </c>
      <c r="L302" s="1">
        <v>1206.4000000000001</v>
      </c>
      <c r="M302" s="9">
        <f t="shared" si="34"/>
        <v>46.490000000000009</v>
      </c>
      <c r="O302" s="11">
        <f t="shared" si="33"/>
        <v>46.490000000000009</v>
      </c>
      <c r="P302" s="24">
        <f t="shared" si="36"/>
        <v>3.8536140583554479E-2</v>
      </c>
    </row>
    <row r="303" spans="1:16">
      <c r="A303">
        <v>16</v>
      </c>
      <c r="B303" t="s">
        <v>755</v>
      </c>
      <c r="E303">
        <v>2</v>
      </c>
      <c r="F303" t="s">
        <v>129</v>
      </c>
      <c r="G303" s="6">
        <v>43143</v>
      </c>
      <c r="H303">
        <v>130</v>
      </c>
      <c r="I303" t="s">
        <v>756</v>
      </c>
      <c r="J303" t="s">
        <v>644</v>
      </c>
      <c r="K303" s="9">
        <v>13726.88</v>
      </c>
      <c r="L303" s="1">
        <f>13480+50.14</f>
        <v>13530.14</v>
      </c>
      <c r="M303" s="9">
        <f t="shared" si="34"/>
        <v>196.73999999999978</v>
      </c>
      <c r="N303">
        <v>60.44</v>
      </c>
      <c r="O303" s="11">
        <f t="shared" si="33"/>
        <v>136.29999999999978</v>
      </c>
      <c r="P303" s="24">
        <f t="shared" si="36"/>
        <v>1.4540869495807129E-2</v>
      </c>
    </row>
    <row r="304" spans="1:16">
      <c r="A304">
        <v>17</v>
      </c>
      <c r="B304" t="s">
        <v>757</v>
      </c>
      <c r="E304">
        <v>2</v>
      </c>
      <c r="F304" t="s">
        <v>129</v>
      </c>
      <c r="G304" s="6">
        <v>43144</v>
      </c>
      <c r="H304">
        <v>110</v>
      </c>
      <c r="I304" t="s">
        <v>758</v>
      </c>
      <c r="J304" t="s">
        <v>644</v>
      </c>
      <c r="K304" s="9">
        <v>3595.96</v>
      </c>
      <c r="L304" s="1">
        <f>3530+12.35</f>
        <v>3542.35</v>
      </c>
      <c r="M304" s="9">
        <f t="shared" si="34"/>
        <v>53.610000000000127</v>
      </c>
      <c r="N304">
        <v>13.19</v>
      </c>
      <c r="O304" s="11">
        <f t="shared" si="33"/>
        <v>40.42000000000013</v>
      </c>
      <c r="P304" s="24">
        <f t="shared" si="36"/>
        <v>1.5134021200615466E-2</v>
      </c>
    </row>
    <row r="305" spans="1:16">
      <c r="B305" t="s">
        <v>759</v>
      </c>
      <c r="E305">
        <v>20</v>
      </c>
      <c r="F305" t="s">
        <v>760</v>
      </c>
      <c r="G305" s="6">
        <v>43144</v>
      </c>
      <c r="I305" t="s">
        <v>227</v>
      </c>
      <c r="K305" s="70">
        <v>0</v>
      </c>
      <c r="L305" s="1">
        <v>0</v>
      </c>
      <c r="M305" s="9">
        <f t="shared" si="34"/>
        <v>0</v>
      </c>
      <c r="O305" s="11">
        <f t="shared" si="33"/>
        <v>0</v>
      </c>
      <c r="P305" s="24" t="e">
        <f t="shared" si="36"/>
        <v>#DIV/0!</v>
      </c>
    </row>
    <row r="306" spans="1:16">
      <c r="A306">
        <v>18</v>
      </c>
      <c r="B306" t="s">
        <v>761</v>
      </c>
      <c r="E306">
        <v>16</v>
      </c>
      <c r="F306" t="s">
        <v>135</v>
      </c>
      <c r="G306" s="6">
        <v>43144</v>
      </c>
      <c r="H306">
        <v>100</v>
      </c>
      <c r="I306" s="4" t="s">
        <v>762</v>
      </c>
      <c r="J306" t="s">
        <v>644</v>
      </c>
      <c r="K306" s="9">
        <v>2831.04</v>
      </c>
      <c r="L306" s="1">
        <v>2778.6</v>
      </c>
      <c r="M306" s="9">
        <f t="shared" si="34"/>
        <v>52.440000000000055</v>
      </c>
      <c r="N306">
        <v>14.56</v>
      </c>
      <c r="O306" s="11">
        <f t="shared" si="33"/>
        <v>37.880000000000052</v>
      </c>
      <c r="P306" s="24">
        <f t="shared" si="36"/>
        <v>1.8872813647160536E-2</v>
      </c>
    </row>
    <row r="307" spans="1:16">
      <c r="A307">
        <v>19</v>
      </c>
      <c r="B307" t="s">
        <v>763</v>
      </c>
      <c r="E307">
        <v>13</v>
      </c>
      <c r="F307" t="s">
        <v>129</v>
      </c>
      <c r="G307" s="6">
        <v>43144</v>
      </c>
      <c r="H307">
        <v>120</v>
      </c>
      <c r="I307" s="157" t="s">
        <v>764</v>
      </c>
      <c r="J307" t="s">
        <v>644</v>
      </c>
      <c r="K307" s="9">
        <v>9267.44</v>
      </c>
      <c r="L307" s="1">
        <f>9100+44.23</f>
        <v>9144.23</v>
      </c>
      <c r="M307" s="9">
        <f t="shared" si="34"/>
        <v>123.21000000000095</v>
      </c>
      <c r="N307" s="75">
        <f>23.88+29.06+23.88</f>
        <v>76.819999999999993</v>
      </c>
      <c r="O307" s="11">
        <f t="shared" si="33"/>
        <v>46.390000000000953</v>
      </c>
      <c r="P307" s="24">
        <f t="shared" si="36"/>
        <v>1.3474070534096549E-2</v>
      </c>
    </row>
    <row r="308" spans="1:16">
      <c r="A308">
        <v>20</v>
      </c>
      <c r="B308" t="s">
        <v>765</v>
      </c>
      <c r="E308">
        <v>88</v>
      </c>
      <c r="F308" t="s">
        <v>565</v>
      </c>
      <c r="G308" s="6">
        <v>43145</v>
      </c>
      <c r="H308">
        <v>100</v>
      </c>
      <c r="I308" t="s">
        <v>766</v>
      </c>
      <c r="J308" t="s">
        <v>644</v>
      </c>
      <c r="K308" s="9">
        <v>2850.32</v>
      </c>
      <c r="L308" s="1">
        <v>2723.6</v>
      </c>
      <c r="M308" s="9">
        <f t="shared" si="34"/>
        <v>126.72000000000025</v>
      </c>
      <c r="O308" s="11">
        <f t="shared" ref="O308:O339" si="37">M308-N308</f>
        <v>126.72000000000025</v>
      </c>
      <c r="P308" s="24">
        <f t="shared" si="36"/>
        <v>4.6526655896607538E-2</v>
      </c>
    </row>
    <row r="309" spans="1:16">
      <c r="A309">
        <v>21</v>
      </c>
      <c r="B309" t="s">
        <v>767</v>
      </c>
      <c r="E309">
        <v>28</v>
      </c>
      <c r="F309" t="s">
        <v>606</v>
      </c>
      <c r="G309" s="6">
        <v>43147</v>
      </c>
      <c r="H309">
        <v>150</v>
      </c>
      <c r="I309" s="75" t="s">
        <v>768</v>
      </c>
      <c r="K309" s="70">
        <v>17770.759999999998</v>
      </c>
      <c r="L309" s="70">
        <v>17770.759999999998</v>
      </c>
      <c r="M309" s="9">
        <f t="shared" si="34"/>
        <v>0</v>
      </c>
      <c r="O309" s="11">
        <f t="shared" si="37"/>
        <v>0</v>
      </c>
      <c r="P309" s="24">
        <f t="shared" si="36"/>
        <v>0</v>
      </c>
    </row>
    <row r="310" spans="1:16">
      <c r="A310">
        <v>22</v>
      </c>
      <c r="B310" t="s">
        <v>769</v>
      </c>
      <c r="E310">
        <v>49</v>
      </c>
      <c r="F310" t="s">
        <v>135</v>
      </c>
      <c r="G310" s="6">
        <v>43151</v>
      </c>
      <c r="H310">
        <v>120</v>
      </c>
      <c r="I310" t="s">
        <v>770</v>
      </c>
      <c r="K310" s="9">
        <v>6652.73</v>
      </c>
      <c r="L310" s="70">
        <v>6516</v>
      </c>
      <c r="M310" s="9">
        <f t="shared" si="34"/>
        <v>136.72999999999956</v>
      </c>
      <c r="N310">
        <v>37.96</v>
      </c>
      <c r="O310" s="11">
        <f t="shared" si="37"/>
        <v>98.769999999999555</v>
      </c>
      <c r="P310" s="24">
        <f t="shared" si="36"/>
        <v>2.0983732351135709E-2</v>
      </c>
    </row>
    <row r="311" spans="1:16">
      <c r="A311">
        <v>23</v>
      </c>
      <c r="B311" t="s">
        <v>771</v>
      </c>
      <c r="E311">
        <v>9</v>
      </c>
      <c r="F311" t="s">
        <v>139</v>
      </c>
      <c r="G311" s="6">
        <v>43151</v>
      </c>
      <c r="H311">
        <v>95</v>
      </c>
      <c r="I311" t="s">
        <v>772</v>
      </c>
      <c r="J311" t="s">
        <v>644</v>
      </c>
      <c r="K311" s="9">
        <v>5550.48</v>
      </c>
      <c r="L311" s="1">
        <v>5445</v>
      </c>
      <c r="M311" s="9">
        <f t="shared" si="34"/>
        <v>105.47999999999956</v>
      </c>
      <c r="O311" s="11">
        <f t="shared" si="37"/>
        <v>105.47999999999956</v>
      </c>
      <c r="P311" s="24">
        <f t="shared" si="36"/>
        <v>1.9371900826446131E-2</v>
      </c>
    </row>
    <row r="312" spans="1:16">
      <c r="A312">
        <v>24</v>
      </c>
      <c r="B312" t="s">
        <v>773</v>
      </c>
      <c r="E312">
        <v>8</v>
      </c>
      <c r="F312" t="s">
        <v>135</v>
      </c>
      <c r="G312" s="6">
        <v>43151</v>
      </c>
      <c r="H312">
        <v>110</v>
      </c>
      <c r="I312" t="s">
        <v>774</v>
      </c>
      <c r="K312" s="9">
        <v>2413.7600000000002</v>
      </c>
      <c r="L312" s="148">
        <v>2370.6</v>
      </c>
      <c r="M312" s="9">
        <f t="shared" si="34"/>
        <v>43.160000000000309</v>
      </c>
      <c r="O312" s="11">
        <f t="shared" si="37"/>
        <v>43.160000000000309</v>
      </c>
      <c r="P312" s="24">
        <f t="shared" si="36"/>
        <v>1.8206361258753079E-2</v>
      </c>
    </row>
    <row r="313" spans="1:16">
      <c r="A313">
        <v>25</v>
      </c>
      <c r="B313" t="s">
        <v>775</v>
      </c>
      <c r="E313">
        <v>1</v>
      </c>
      <c r="F313" t="s">
        <v>776</v>
      </c>
      <c r="G313" s="6">
        <v>43153</v>
      </c>
      <c r="H313">
        <v>70</v>
      </c>
      <c r="I313" t="s">
        <v>777</v>
      </c>
      <c r="J313" t="s">
        <v>385</v>
      </c>
      <c r="K313" s="9">
        <v>937.8</v>
      </c>
      <c r="L313">
        <v>892.05</v>
      </c>
      <c r="M313" s="9">
        <f t="shared" si="34"/>
        <v>45.75</v>
      </c>
      <c r="N313">
        <v>11.9</v>
      </c>
      <c r="O313" s="11">
        <f t="shared" si="37"/>
        <v>33.85</v>
      </c>
      <c r="P313" s="24">
        <f t="shared" si="36"/>
        <v>5.1286362872036362E-2</v>
      </c>
    </row>
    <row r="314" spans="1:16">
      <c r="A314">
        <v>26</v>
      </c>
      <c r="B314" s="4" t="s">
        <v>778</v>
      </c>
      <c r="E314">
        <v>2</v>
      </c>
      <c r="F314" t="s">
        <v>779</v>
      </c>
      <c r="G314" s="6">
        <v>43154</v>
      </c>
      <c r="H314">
        <v>270</v>
      </c>
      <c r="I314" t="s">
        <v>780</v>
      </c>
      <c r="J314" t="s">
        <v>489</v>
      </c>
      <c r="K314" s="9">
        <v>39956</v>
      </c>
      <c r="L314" s="1">
        <v>38164</v>
      </c>
      <c r="M314" s="9">
        <f t="shared" si="34"/>
        <v>1792</v>
      </c>
      <c r="O314" s="11">
        <f t="shared" si="37"/>
        <v>1792</v>
      </c>
      <c r="P314" s="24">
        <f t="shared" si="36"/>
        <v>4.6955245781364674E-2</v>
      </c>
    </row>
    <row r="315" spans="1:16">
      <c r="A315">
        <v>27</v>
      </c>
      <c r="B315" t="s">
        <v>781</v>
      </c>
      <c r="E315">
        <v>250</v>
      </c>
      <c r="F315" t="s">
        <v>135</v>
      </c>
      <c r="G315" s="6">
        <v>43154</v>
      </c>
      <c r="H315">
        <v>120</v>
      </c>
      <c r="I315" t="s">
        <v>782</v>
      </c>
      <c r="J315" t="s">
        <v>644</v>
      </c>
      <c r="K315" s="9">
        <v>3777.5</v>
      </c>
      <c r="L315" s="1">
        <v>3640</v>
      </c>
      <c r="M315" s="9">
        <f t="shared" si="34"/>
        <v>137.5</v>
      </c>
      <c r="N315">
        <v>10.15</v>
      </c>
      <c r="O315" s="11">
        <f t="shared" si="37"/>
        <v>127.35</v>
      </c>
      <c r="P315" s="24">
        <f t="shared" si="36"/>
        <v>3.7774725274725363E-2</v>
      </c>
    </row>
    <row r="316" spans="1:16">
      <c r="A316">
        <v>28</v>
      </c>
      <c r="B316" t="s">
        <v>608</v>
      </c>
      <c r="E316">
        <v>1</v>
      </c>
      <c r="F316" s="93" t="s">
        <v>783</v>
      </c>
      <c r="G316" s="6">
        <v>43157</v>
      </c>
      <c r="H316">
        <v>120</v>
      </c>
      <c r="I316" t="s">
        <v>784</v>
      </c>
      <c r="J316" t="s">
        <v>644</v>
      </c>
      <c r="K316" s="9">
        <v>6748.81</v>
      </c>
      <c r="L316" s="1">
        <f>6610+20.12</f>
        <v>6630.12</v>
      </c>
      <c r="M316" s="9">
        <f t="shared" si="34"/>
        <v>118.69000000000051</v>
      </c>
      <c r="N316">
        <v>21.17</v>
      </c>
      <c r="O316" s="11">
        <f t="shared" si="37"/>
        <v>97.520000000000508</v>
      </c>
      <c r="P316" s="24">
        <f t="shared" si="36"/>
        <v>1.7901636772788443E-2</v>
      </c>
    </row>
    <row r="317" spans="1:16">
      <c r="A317">
        <v>29</v>
      </c>
      <c r="B317" t="s">
        <v>785</v>
      </c>
      <c r="E317">
        <v>31</v>
      </c>
      <c r="F317" t="s">
        <v>135</v>
      </c>
      <c r="G317" s="6">
        <v>43158</v>
      </c>
      <c r="H317">
        <v>110</v>
      </c>
      <c r="I317" t="s">
        <v>786</v>
      </c>
      <c r="J317" t="s">
        <v>644</v>
      </c>
      <c r="K317" s="9">
        <v>2650.19</v>
      </c>
      <c r="L317" s="1">
        <v>2595.6</v>
      </c>
      <c r="M317" s="9">
        <f t="shared" si="34"/>
        <v>54.590000000000146</v>
      </c>
      <c r="O317" s="11">
        <f t="shared" si="37"/>
        <v>54.590000000000146</v>
      </c>
      <c r="P317" s="24">
        <f t="shared" si="36"/>
        <v>2.1031746031746179E-2</v>
      </c>
    </row>
    <row r="318" spans="1:16">
      <c r="A318">
        <v>30</v>
      </c>
      <c r="B318" t="s">
        <v>787</v>
      </c>
      <c r="E318">
        <v>7</v>
      </c>
      <c r="F318" t="s">
        <v>129</v>
      </c>
      <c r="G318" s="6">
        <v>43158</v>
      </c>
      <c r="H318">
        <v>130</v>
      </c>
      <c r="I318" s="83" t="s">
        <v>788</v>
      </c>
      <c r="J318" t="s">
        <v>644</v>
      </c>
      <c r="K318" s="9">
        <v>11959.36</v>
      </c>
      <c r="L318" s="1">
        <f>11760+20.12</f>
        <v>11780.12</v>
      </c>
      <c r="M318" s="9">
        <f t="shared" si="34"/>
        <v>179.23999999999978</v>
      </c>
      <c r="N318">
        <v>21.17</v>
      </c>
      <c r="O318" s="11">
        <f t="shared" si="37"/>
        <v>158.06999999999977</v>
      </c>
      <c r="P318" s="24">
        <f t="shared" si="36"/>
        <v>1.5215464698152381E-2</v>
      </c>
    </row>
    <row r="319" spans="1:16">
      <c r="A319">
        <v>31</v>
      </c>
      <c r="B319" t="s">
        <v>789</v>
      </c>
      <c r="E319">
        <v>127</v>
      </c>
      <c r="F319" t="s">
        <v>508</v>
      </c>
      <c r="G319" s="6">
        <v>43158</v>
      </c>
      <c r="H319">
        <v>75</v>
      </c>
      <c r="I319" t="s">
        <v>790</v>
      </c>
      <c r="J319" t="s">
        <v>644</v>
      </c>
      <c r="K319" s="9">
        <v>845.82</v>
      </c>
      <c r="L319" s="1">
        <v>787.4</v>
      </c>
      <c r="M319" s="9">
        <f t="shared" si="34"/>
        <v>58.420000000000073</v>
      </c>
      <c r="O319" s="11">
        <f t="shared" si="37"/>
        <v>58.420000000000073</v>
      </c>
      <c r="P319" s="24">
        <f t="shared" si="36"/>
        <v>7.4193548387096797E-2</v>
      </c>
    </row>
    <row r="320" spans="1:16">
      <c r="A320">
        <v>32</v>
      </c>
      <c r="B320" t="s">
        <v>791</v>
      </c>
      <c r="E320">
        <v>1</v>
      </c>
      <c r="F320" t="s">
        <v>792</v>
      </c>
      <c r="G320" s="6">
        <v>43158</v>
      </c>
      <c r="H320">
        <v>110</v>
      </c>
      <c r="I320" t="s">
        <v>793</v>
      </c>
      <c r="J320" t="s">
        <v>644</v>
      </c>
      <c r="K320" s="9">
        <v>1524.4</v>
      </c>
      <c r="L320" s="1">
        <v>1431.7</v>
      </c>
      <c r="M320" s="9">
        <f t="shared" si="34"/>
        <v>92.700000000000045</v>
      </c>
      <c r="N320">
        <v>12.88</v>
      </c>
      <c r="O320" s="11">
        <f t="shared" si="37"/>
        <v>79.82000000000005</v>
      </c>
      <c r="P320" s="24">
        <f t="shared" si="36"/>
        <v>6.4748201438848962E-2</v>
      </c>
    </row>
    <row r="321" spans="1:16">
      <c r="K321" s="64">
        <f>SUM(K288:K320)</f>
        <v>200316.66</v>
      </c>
      <c r="L321" s="26">
        <f>SUM(L288:L320)</f>
        <v>191844.52000000002</v>
      </c>
      <c r="M321" s="64">
        <f t="shared" si="34"/>
        <v>8472.1399999999849</v>
      </c>
      <c r="N321" s="4"/>
      <c r="O321" s="11">
        <f t="shared" si="37"/>
        <v>8472.1399999999849</v>
      </c>
      <c r="P321" s="129">
        <f t="shared" si="36"/>
        <v>4.4161490773882761E-2</v>
      </c>
    </row>
    <row r="322" spans="1:16">
      <c r="O322" s="11">
        <f t="shared" si="37"/>
        <v>0</v>
      </c>
      <c r="P322" s="24" t="e">
        <f t="shared" si="36"/>
        <v>#DIV/0!</v>
      </c>
    </row>
    <row r="323" spans="1:16">
      <c r="A323">
        <v>1</v>
      </c>
      <c r="B323" t="s">
        <v>794</v>
      </c>
      <c r="E323">
        <v>1</v>
      </c>
      <c r="F323" t="s">
        <v>606</v>
      </c>
      <c r="G323" s="6">
        <v>43161</v>
      </c>
      <c r="H323">
        <v>140</v>
      </c>
      <c r="I323" t="s">
        <v>795</v>
      </c>
      <c r="J323" t="s">
        <v>644</v>
      </c>
      <c r="K323" s="9">
        <v>2376.6999999999998</v>
      </c>
      <c r="L323" s="1">
        <v>2293.7199999999998</v>
      </c>
      <c r="M323" s="9">
        <f t="shared" ref="M323:M354" si="38">K323-L323</f>
        <v>82.980000000000018</v>
      </c>
      <c r="N323">
        <v>12.88</v>
      </c>
      <c r="O323" s="11">
        <f t="shared" si="37"/>
        <v>70.100000000000023</v>
      </c>
      <c r="P323" s="24">
        <f t="shared" si="36"/>
        <v>3.6177039917688392E-2</v>
      </c>
    </row>
    <row r="324" spans="1:16">
      <c r="A324">
        <v>2</v>
      </c>
      <c r="B324" t="s">
        <v>796</v>
      </c>
      <c r="E324">
        <v>2</v>
      </c>
      <c r="F324" t="s">
        <v>797</v>
      </c>
      <c r="G324" s="6">
        <v>43161</v>
      </c>
      <c r="H324">
        <v>170</v>
      </c>
      <c r="I324" t="s">
        <v>798</v>
      </c>
      <c r="J324" t="s">
        <v>644</v>
      </c>
      <c r="K324" s="9">
        <v>2344</v>
      </c>
      <c r="L324" s="1">
        <v>2310</v>
      </c>
      <c r="M324" s="9">
        <f t="shared" si="38"/>
        <v>34</v>
      </c>
      <c r="N324">
        <v>31.99</v>
      </c>
      <c r="O324" s="11">
        <f t="shared" si="37"/>
        <v>2.0100000000000016</v>
      </c>
      <c r="P324" s="24">
        <f t="shared" si="36"/>
        <v>1.4718614718614687E-2</v>
      </c>
    </row>
    <row r="325" spans="1:16">
      <c r="A325">
        <v>3</v>
      </c>
      <c r="B325" t="s">
        <v>799</v>
      </c>
      <c r="E325">
        <v>120</v>
      </c>
      <c r="F325" t="s">
        <v>800</v>
      </c>
      <c r="G325" s="6">
        <v>43161</v>
      </c>
      <c r="H325">
        <v>90</v>
      </c>
      <c r="I325" t="s">
        <v>801</v>
      </c>
      <c r="J325" t="s">
        <v>644</v>
      </c>
      <c r="K325" s="9">
        <v>8830.7999999999993</v>
      </c>
      <c r="L325" s="1">
        <v>8321.64</v>
      </c>
      <c r="M325" s="9">
        <f t="shared" si="38"/>
        <v>509.15999999999985</v>
      </c>
      <c r="N325" s="75">
        <v>389.16</v>
      </c>
      <c r="O325" s="11">
        <f t="shared" si="37"/>
        <v>119.99999999999983</v>
      </c>
      <c r="P325" s="24">
        <f t="shared" si="36"/>
        <v>6.1185054868992061E-2</v>
      </c>
    </row>
    <row r="326" spans="1:16">
      <c r="A326">
        <v>4</v>
      </c>
      <c r="B326" t="s">
        <v>802</v>
      </c>
      <c r="E326">
        <v>1</v>
      </c>
      <c r="F326" t="s">
        <v>129</v>
      </c>
      <c r="G326" s="6">
        <v>43161</v>
      </c>
      <c r="H326">
        <v>120</v>
      </c>
      <c r="I326" t="s">
        <v>803</v>
      </c>
      <c r="J326" t="s">
        <v>644</v>
      </c>
      <c r="K326" s="9">
        <v>1843.64</v>
      </c>
      <c r="L326" s="1">
        <f>1785+10</f>
        <v>1795</v>
      </c>
      <c r="M326" s="9">
        <f t="shared" si="38"/>
        <v>48.6400000000001</v>
      </c>
      <c r="O326" s="11">
        <f t="shared" si="37"/>
        <v>48.6400000000001</v>
      </c>
      <c r="P326" s="24">
        <f t="shared" si="36"/>
        <v>2.7097493036211784E-2</v>
      </c>
    </row>
    <row r="327" spans="1:16">
      <c r="A327">
        <v>5</v>
      </c>
      <c r="B327" t="s">
        <v>804</v>
      </c>
      <c r="E327">
        <v>60</v>
      </c>
      <c r="F327" t="s">
        <v>508</v>
      </c>
      <c r="G327" s="6">
        <v>43161</v>
      </c>
      <c r="H327">
        <v>160</v>
      </c>
      <c r="I327" t="s">
        <v>805</v>
      </c>
      <c r="J327" t="s">
        <v>644</v>
      </c>
      <c r="K327" s="9">
        <v>2031.6</v>
      </c>
      <c r="L327" s="1">
        <v>1900.2</v>
      </c>
      <c r="M327" s="9">
        <f t="shared" si="38"/>
        <v>131.39999999999986</v>
      </c>
      <c r="O327" s="11">
        <f t="shared" si="37"/>
        <v>131.39999999999986</v>
      </c>
      <c r="P327" s="24">
        <f t="shared" ref="P327:P358" si="39">(K327/L327)-1</f>
        <v>6.9150615724660414E-2</v>
      </c>
    </row>
    <row r="328" spans="1:16">
      <c r="A328">
        <v>6</v>
      </c>
      <c r="B328" t="s">
        <v>806</v>
      </c>
      <c r="E328">
        <v>9</v>
      </c>
      <c r="F328" t="s">
        <v>135</v>
      </c>
      <c r="G328" s="6">
        <v>43161</v>
      </c>
      <c r="H328">
        <v>100</v>
      </c>
      <c r="I328" t="s">
        <v>807</v>
      </c>
      <c r="J328" t="s">
        <v>644</v>
      </c>
      <c r="K328" s="9">
        <v>2293.11</v>
      </c>
      <c r="L328" s="1">
        <v>2240.1999999999998</v>
      </c>
      <c r="M328" s="9">
        <f t="shared" si="38"/>
        <v>52.910000000000309</v>
      </c>
      <c r="O328" s="11">
        <f t="shared" si="37"/>
        <v>52.910000000000309</v>
      </c>
      <c r="P328" s="24">
        <f t="shared" si="39"/>
        <v>2.3618426926167446E-2</v>
      </c>
    </row>
    <row r="329" spans="1:16">
      <c r="A329">
        <v>7</v>
      </c>
      <c r="B329" t="s">
        <v>808</v>
      </c>
      <c r="E329">
        <v>7</v>
      </c>
      <c r="F329" t="s">
        <v>809</v>
      </c>
      <c r="G329" s="6">
        <v>43161</v>
      </c>
      <c r="H329">
        <v>120</v>
      </c>
      <c r="I329" t="s">
        <v>810</v>
      </c>
      <c r="J329" t="s">
        <v>644</v>
      </c>
      <c r="K329" s="9">
        <v>990.01</v>
      </c>
      <c r="L329" s="1">
        <v>952.91</v>
      </c>
      <c r="M329" s="9">
        <f t="shared" si="38"/>
        <v>37.100000000000023</v>
      </c>
      <c r="N329">
        <v>10.59</v>
      </c>
      <c r="O329" s="11">
        <f t="shared" si="37"/>
        <v>26.510000000000023</v>
      </c>
      <c r="P329" s="24">
        <f t="shared" si="39"/>
        <v>3.8933372511569919E-2</v>
      </c>
    </row>
    <row r="330" spans="1:16">
      <c r="A330">
        <v>8</v>
      </c>
      <c r="B330" t="s">
        <v>811</v>
      </c>
      <c r="E330">
        <v>97</v>
      </c>
      <c r="F330" t="s">
        <v>135</v>
      </c>
      <c r="G330" s="6">
        <v>43164</v>
      </c>
      <c r="H330">
        <v>160</v>
      </c>
      <c r="I330" t="s">
        <v>812</v>
      </c>
      <c r="J330" t="s">
        <v>644</v>
      </c>
      <c r="K330" s="9">
        <v>20317.62</v>
      </c>
      <c r="L330" s="1">
        <v>17848</v>
      </c>
      <c r="M330" s="9">
        <f t="shared" si="38"/>
        <v>2469.619999999999</v>
      </c>
      <c r="O330" s="11">
        <f t="shared" si="37"/>
        <v>2469.619999999999</v>
      </c>
      <c r="P330" s="24">
        <f t="shared" si="39"/>
        <v>0.1383695652173913</v>
      </c>
    </row>
    <row r="331" spans="1:16">
      <c r="A331">
        <v>9</v>
      </c>
      <c r="B331" t="s">
        <v>813</v>
      </c>
      <c r="E331">
        <v>3</v>
      </c>
      <c r="F331" t="s">
        <v>814</v>
      </c>
      <c r="G331" s="6">
        <v>43165</v>
      </c>
      <c r="H331">
        <v>90</v>
      </c>
      <c r="I331" t="s">
        <v>815</v>
      </c>
      <c r="J331" t="s">
        <v>644</v>
      </c>
      <c r="K331" s="9">
        <v>935.52</v>
      </c>
      <c r="L331" s="1">
        <v>895.38</v>
      </c>
      <c r="M331" s="9">
        <f t="shared" si="38"/>
        <v>40.139999999999986</v>
      </c>
      <c r="N331">
        <v>25.5</v>
      </c>
      <c r="O331" s="11">
        <f t="shared" si="37"/>
        <v>14.639999999999986</v>
      </c>
      <c r="P331" s="24">
        <f t="shared" si="39"/>
        <v>4.4830127990350466E-2</v>
      </c>
    </row>
    <row r="332" spans="1:16">
      <c r="A332">
        <v>10</v>
      </c>
      <c r="B332" t="s">
        <v>816</v>
      </c>
      <c r="E332">
        <v>35</v>
      </c>
      <c r="F332" t="s">
        <v>817</v>
      </c>
      <c r="G332" s="6">
        <v>43165</v>
      </c>
      <c r="H332">
        <v>120</v>
      </c>
      <c r="I332" t="s">
        <v>818</v>
      </c>
      <c r="J332" t="s">
        <v>644</v>
      </c>
      <c r="K332" s="9">
        <v>7821.1</v>
      </c>
      <c r="L332" s="1">
        <v>7645.4</v>
      </c>
      <c r="M332" s="9">
        <f t="shared" si="38"/>
        <v>175.70000000000073</v>
      </c>
      <c r="N332" s="75">
        <v>109.36</v>
      </c>
      <c r="O332" s="11">
        <f t="shared" si="37"/>
        <v>66.340000000000728</v>
      </c>
      <c r="P332" s="24">
        <f t="shared" si="39"/>
        <v>2.2981138985533889E-2</v>
      </c>
    </row>
    <row r="333" spans="1:16">
      <c r="A333">
        <v>11</v>
      </c>
      <c r="B333" t="s">
        <v>819</v>
      </c>
      <c r="E333">
        <v>12</v>
      </c>
      <c r="F333" t="s">
        <v>135</v>
      </c>
      <c r="G333" s="6">
        <v>43165</v>
      </c>
      <c r="H333">
        <v>130</v>
      </c>
      <c r="I333" t="s">
        <v>715</v>
      </c>
      <c r="J333" t="s">
        <v>644</v>
      </c>
      <c r="K333" s="9">
        <v>10852.56</v>
      </c>
      <c r="L333" s="1">
        <v>6119.04</v>
      </c>
      <c r="M333" s="9">
        <f t="shared" si="38"/>
        <v>4733.5199999999995</v>
      </c>
      <c r="O333" s="11">
        <f t="shared" si="37"/>
        <v>4733.5199999999995</v>
      </c>
      <c r="P333" s="24">
        <f t="shared" si="39"/>
        <v>0.77357232507059925</v>
      </c>
    </row>
    <row r="334" spans="1:16">
      <c r="A334">
        <v>12</v>
      </c>
      <c r="B334" t="s">
        <v>820</v>
      </c>
      <c r="E334">
        <v>15</v>
      </c>
      <c r="F334" t="s">
        <v>821</v>
      </c>
      <c r="G334" s="6">
        <v>43167</v>
      </c>
      <c r="H334">
        <v>120</v>
      </c>
      <c r="I334" t="s">
        <v>822</v>
      </c>
      <c r="J334" t="s">
        <v>644</v>
      </c>
      <c r="K334" s="9">
        <v>1929</v>
      </c>
      <c r="L334" s="1">
        <v>1874.25</v>
      </c>
      <c r="M334" s="9">
        <f t="shared" si="38"/>
        <v>54.75</v>
      </c>
      <c r="N334" s="75">
        <v>43.76</v>
      </c>
      <c r="O334" s="11">
        <f t="shared" si="37"/>
        <v>10.990000000000002</v>
      </c>
      <c r="P334" s="24">
        <f t="shared" si="39"/>
        <v>2.9211684673869476E-2</v>
      </c>
    </row>
    <row r="335" spans="1:16">
      <c r="A335">
        <v>13</v>
      </c>
      <c r="B335" t="s">
        <v>823</v>
      </c>
      <c r="E335">
        <v>5</v>
      </c>
      <c r="F335" t="s">
        <v>729</v>
      </c>
      <c r="G335" s="6">
        <v>43167</v>
      </c>
      <c r="H335">
        <v>90</v>
      </c>
      <c r="I335" t="s">
        <v>824</v>
      </c>
      <c r="J335" t="s">
        <v>644</v>
      </c>
      <c r="K335" s="9">
        <v>397.55</v>
      </c>
      <c r="L335">
        <v>359.75</v>
      </c>
      <c r="M335" s="9">
        <f t="shared" si="38"/>
        <v>37.800000000000011</v>
      </c>
      <c r="N335">
        <v>10.56</v>
      </c>
      <c r="O335" s="11">
        <f t="shared" si="37"/>
        <v>27.240000000000009</v>
      </c>
      <c r="P335" s="24">
        <f t="shared" si="39"/>
        <v>0.10507296733842941</v>
      </c>
    </row>
    <row r="336" spans="1:16">
      <c r="A336">
        <v>14</v>
      </c>
      <c r="B336" t="s">
        <v>825</v>
      </c>
      <c r="E336">
        <v>7</v>
      </c>
      <c r="F336" t="s">
        <v>826</v>
      </c>
      <c r="G336" s="6">
        <v>43167</v>
      </c>
      <c r="H336">
        <v>110</v>
      </c>
      <c r="I336" t="s">
        <v>827</v>
      </c>
      <c r="J336" t="s">
        <v>644</v>
      </c>
      <c r="K336" s="9">
        <v>4456.0600000000004</v>
      </c>
      <c r="L336" s="1">
        <v>4347</v>
      </c>
      <c r="M336" s="9">
        <f t="shared" si="38"/>
        <v>109.0600000000004</v>
      </c>
      <c r="O336" s="11">
        <f t="shared" si="37"/>
        <v>109.0600000000004</v>
      </c>
      <c r="P336" s="24">
        <f t="shared" si="39"/>
        <v>2.5088566827697445E-2</v>
      </c>
    </row>
    <row r="337" spans="1:16">
      <c r="A337">
        <v>15</v>
      </c>
      <c r="B337" t="s">
        <v>828</v>
      </c>
      <c r="E337">
        <v>42</v>
      </c>
      <c r="F337" t="s">
        <v>606</v>
      </c>
      <c r="G337" s="6">
        <v>43167</v>
      </c>
      <c r="H337">
        <v>110</v>
      </c>
      <c r="I337" t="s">
        <v>829</v>
      </c>
      <c r="J337" t="s">
        <v>644</v>
      </c>
      <c r="K337" s="9">
        <v>3725.4</v>
      </c>
      <c r="L337" s="1">
        <v>3625.88</v>
      </c>
      <c r="M337" s="9">
        <f t="shared" si="38"/>
        <v>99.519999999999982</v>
      </c>
      <c r="O337" s="11">
        <f t="shared" si="37"/>
        <v>99.519999999999982</v>
      </c>
      <c r="P337" s="24">
        <f t="shared" si="39"/>
        <v>2.7447130076009074E-2</v>
      </c>
    </row>
    <row r="338" spans="1:16">
      <c r="A338">
        <v>16</v>
      </c>
      <c r="B338" t="s">
        <v>830</v>
      </c>
      <c r="E338">
        <v>5</v>
      </c>
      <c r="F338" t="s">
        <v>831</v>
      </c>
      <c r="G338" s="6">
        <v>43171</v>
      </c>
      <c r="H338">
        <v>90</v>
      </c>
      <c r="I338" t="s">
        <v>832</v>
      </c>
      <c r="J338" t="s">
        <v>654</v>
      </c>
      <c r="K338" s="9">
        <v>619.4</v>
      </c>
      <c r="L338" s="1">
        <v>445</v>
      </c>
      <c r="M338" s="9">
        <f t="shared" si="38"/>
        <v>174.39999999999998</v>
      </c>
      <c r="O338" s="11">
        <f t="shared" si="37"/>
        <v>174.39999999999998</v>
      </c>
      <c r="P338" s="24">
        <f t="shared" si="39"/>
        <v>0.39191011235955053</v>
      </c>
    </row>
    <row r="339" spans="1:16">
      <c r="A339">
        <v>17</v>
      </c>
      <c r="B339" t="s">
        <v>833</v>
      </c>
      <c r="E339">
        <v>4</v>
      </c>
      <c r="F339" t="s">
        <v>399</v>
      </c>
      <c r="G339" s="6">
        <v>43171</v>
      </c>
      <c r="H339">
        <v>290</v>
      </c>
      <c r="I339" t="s">
        <v>834</v>
      </c>
      <c r="J339" t="s">
        <v>644</v>
      </c>
      <c r="K339" s="9">
        <v>45975.040000000001</v>
      </c>
      <c r="L339" s="1">
        <v>45312</v>
      </c>
      <c r="M339" s="9">
        <f t="shared" si="38"/>
        <v>663.04000000000087</v>
      </c>
      <c r="N339" s="75">
        <f>27.11+31.24+31.24+55.44+27.11+27.11+55.44</f>
        <v>254.69</v>
      </c>
      <c r="O339" s="11">
        <f t="shared" si="37"/>
        <v>408.35000000000088</v>
      </c>
      <c r="P339" s="24">
        <f t="shared" si="39"/>
        <v>1.4632768361581894E-2</v>
      </c>
    </row>
    <row r="340" spans="1:16">
      <c r="A340">
        <v>18</v>
      </c>
      <c r="B340" t="s">
        <v>835</v>
      </c>
      <c r="E340">
        <v>56</v>
      </c>
      <c r="F340" t="s">
        <v>126</v>
      </c>
      <c r="G340" s="6">
        <v>43171</v>
      </c>
      <c r="H340">
        <v>120</v>
      </c>
      <c r="I340" t="s">
        <v>836</v>
      </c>
      <c r="J340" t="s">
        <v>644</v>
      </c>
      <c r="K340" s="9">
        <v>6591.2</v>
      </c>
      <c r="L340" s="1">
        <v>6440</v>
      </c>
      <c r="M340" s="9">
        <f t="shared" si="38"/>
        <v>151.19999999999982</v>
      </c>
      <c r="N340">
        <v>52.24</v>
      </c>
      <c r="O340" s="11">
        <f t="shared" ref="O340:O371" si="40">M340-N340</f>
        <v>98.959999999999809</v>
      </c>
      <c r="P340" s="24">
        <f t="shared" si="39"/>
        <v>2.3478260869565171E-2</v>
      </c>
    </row>
    <row r="341" spans="1:16">
      <c r="A341">
        <v>19</v>
      </c>
      <c r="B341" t="s">
        <v>837</v>
      </c>
      <c r="E341">
        <v>8</v>
      </c>
      <c r="F341" s="4" t="s">
        <v>838</v>
      </c>
      <c r="G341" s="6">
        <v>43172</v>
      </c>
      <c r="H341">
        <v>100</v>
      </c>
      <c r="I341" t="s">
        <v>832</v>
      </c>
      <c r="J341" t="s">
        <v>644</v>
      </c>
      <c r="K341" s="9">
        <v>1741.92</v>
      </c>
      <c r="L341" s="1">
        <v>1706.1</v>
      </c>
      <c r="M341" s="9">
        <f t="shared" si="38"/>
        <v>35.820000000000164</v>
      </c>
      <c r="O341" s="11">
        <f t="shared" si="40"/>
        <v>35.820000000000164</v>
      </c>
      <c r="P341" s="24">
        <f t="shared" si="39"/>
        <v>2.0995252329875314E-2</v>
      </c>
    </row>
    <row r="342" spans="1:16">
      <c r="A342">
        <v>20</v>
      </c>
      <c r="B342" t="s">
        <v>839</v>
      </c>
      <c r="E342">
        <v>4</v>
      </c>
      <c r="F342" t="s">
        <v>840</v>
      </c>
      <c r="G342" s="6">
        <v>43172</v>
      </c>
      <c r="H342">
        <v>130</v>
      </c>
      <c r="I342" t="s">
        <v>841</v>
      </c>
      <c r="J342" t="s">
        <v>654</v>
      </c>
      <c r="K342" s="9">
        <v>1139.76</v>
      </c>
      <c r="L342" s="1">
        <v>1097.44</v>
      </c>
      <c r="M342" s="9">
        <f t="shared" si="38"/>
        <v>42.319999999999936</v>
      </c>
      <c r="N342">
        <v>22.01</v>
      </c>
      <c r="O342" s="11">
        <f t="shared" si="40"/>
        <v>20.309999999999935</v>
      </c>
      <c r="P342" s="24">
        <f t="shared" si="39"/>
        <v>3.8562472663653535E-2</v>
      </c>
    </row>
    <row r="343" spans="1:16">
      <c r="A343">
        <v>21</v>
      </c>
      <c r="B343" t="s">
        <v>842</v>
      </c>
      <c r="E343">
        <v>2</v>
      </c>
      <c r="F343" t="s">
        <v>399</v>
      </c>
      <c r="G343" s="6">
        <v>43172</v>
      </c>
      <c r="H343">
        <v>160</v>
      </c>
      <c r="I343" t="s">
        <v>843</v>
      </c>
      <c r="J343" t="s">
        <v>644</v>
      </c>
      <c r="K343" s="9">
        <v>14123.24</v>
      </c>
      <c r="L343" s="1">
        <v>13896</v>
      </c>
      <c r="M343" s="9">
        <f t="shared" si="38"/>
        <v>227.23999999999978</v>
      </c>
      <c r="N343">
        <v>26.02</v>
      </c>
      <c r="O343" s="11">
        <f t="shared" si="40"/>
        <v>201.21999999999977</v>
      </c>
      <c r="P343" s="24">
        <f t="shared" si="39"/>
        <v>1.6352907311456555E-2</v>
      </c>
    </row>
    <row r="344" spans="1:16">
      <c r="A344">
        <v>22</v>
      </c>
      <c r="B344" t="s">
        <v>844</v>
      </c>
      <c r="E344">
        <v>7</v>
      </c>
      <c r="F344" s="90" t="s">
        <v>845</v>
      </c>
      <c r="G344" s="6">
        <v>43173</v>
      </c>
      <c r="H344">
        <v>150</v>
      </c>
      <c r="I344" t="s">
        <v>846</v>
      </c>
      <c r="J344" t="s">
        <v>644</v>
      </c>
      <c r="K344" s="9">
        <v>1426.74</v>
      </c>
      <c r="L344" s="1">
        <v>1632.2</v>
      </c>
      <c r="M344" s="9">
        <f t="shared" si="38"/>
        <v>-205.46000000000004</v>
      </c>
      <c r="N344">
        <v>58.12</v>
      </c>
      <c r="O344" s="11">
        <f t="shared" si="40"/>
        <v>-263.58000000000004</v>
      </c>
      <c r="P344" s="24">
        <f t="shared" si="39"/>
        <v>-0.1258791814728587</v>
      </c>
    </row>
    <row r="345" spans="1:16">
      <c r="A345">
        <v>23</v>
      </c>
      <c r="B345" t="s">
        <v>847</v>
      </c>
      <c r="E345">
        <v>386</v>
      </c>
      <c r="F345" t="s">
        <v>729</v>
      </c>
      <c r="G345" s="6">
        <v>43173</v>
      </c>
      <c r="H345">
        <v>95</v>
      </c>
      <c r="I345" t="s">
        <v>848</v>
      </c>
      <c r="J345" t="s">
        <v>644</v>
      </c>
      <c r="K345" s="9">
        <v>3412.24</v>
      </c>
      <c r="L345" s="1">
        <v>3300.3</v>
      </c>
      <c r="M345" s="9">
        <f t="shared" si="38"/>
        <v>111.9399999999996</v>
      </c>
      <c r="O345" s="11">
        <f t="shared" si="40"/>
        <v>111.9399999999996</v>
      </c>
      <c r="P345" s="24">
        <f t="shared" si="39"/>
        <v>3.391812865497057E-2</v>
      </c>
    </row>
    <row r="346" spans="1:16">
      <c r="A346">
        <v>24</v>
      </c>
      <c r="B346" t="s">
        <v>849</v>
      </c>
      <c r="E346">
        <v>47</v>
      </c>
      <c r="F346" t="s">
        <v>508</v>
      </c>
      <c r="G346" s="6">
        <v>43173</v>
      </c>
      <c r="H346">
        <v>180</v>
      </c>
      <c r="I346" t="s">
        <v>850</v>
      </c>
      <c r="J346" t="s">
        <v>654</v>
      </c>
      <c r="K346" s="9">
        <v>4590.96</v>
      </c>
      <c r="L346" s="1">
        <v>4450</v>
      </c>
      <c r="M346" s="9">
        <f t="shared" si="38"/>
        <v>140.96000000000004</v>
      </c>
      <c r="O346" s="11">
        <f t="shared" si="40"/>
        <v>140.96000000000004</v>
      </c>
      <c r="P346" s="24">
        <f t="shared" si="39"/>
        <v>3.1676404494382027E-2</v>
      </c>
    </row>
    <row r="347" spans="1:16">
      <c r="A347">
        <v>25</v>
      </c>
      <c r="B347" t="s">
        <v>851</v>
      </c>
      <c r="E347">
        <v>8</v>
      </c>
      <c r="F347" t="s">
        <v>729</v>
      </c>
      <c r="G347" s="6">
        <v>43173</v>
      </c>
      <c r="H347">
        <v>70</v>
      </c>
      <c r="I347" t="s">
        <v>852</v>
      </c>
      <c r="J347" t="s">
        <v>644</v>
      </c>
      <c r="K347" s="9">
        <v>99.92</v>
      </c>
      <c r="L347" s="1">
        <v>55.6</v>
      </c>
      <c r="M347" s="9">
        <f t="shared" si="38"/>
        <v>44.32</v>
      </c>
      <c r="O347" s="11">
        <f t="shared" si="40"/>
        <v>44.32</v>
      </c>
      <c r="P347" s="24">
        <f t="shared" si="39"/>
        <v>0.7971223021582734</v>
      </c>
    </row>
    <row r="348" spans="1:16">
      <c r="A348">
        <v>26</v>
      </c>
      <c r="B348" t="s">
        <v>853</v>
      </c>
      <c r="E348">
        <v>1</v>
      </c>
      <c r="F348" t="s">
        <v>129</v>
      </c>
      <c r="G348" s="6">
        <v>43173</v>
      </c>
      <c r="H348">
        <v>120</v>
      </c>
      <c r="I348" t="s">
        <v>854</v>
      </c>
      <c r="J348" t="s">
        <v>644</v>
      </c>
      <c r="K348" s="9">
        <v>2018.88</v>
      </c>
      <c r="L348" s="1">
        <f>1970+13.29</f>
        <v>1983.29</v>
      </c>
      <c r="M348" s="9">
        <f t="shared" si="38"/>
        <v>35.590000000000146</v>
      </c>
      <c r="N348">
        <v>15.69</v>
      </c>
      <c r="O348" s="11">
        <f t="shared" si="40"/>
        <v>19.900000000000148</v>
      </c>
      <c r="P348" s="24">
        <f t="shared" si="39"/>
        <v>1.794492988922447E-2</v>
      </c>
    </row>
    <row r="349" spans="1:16">
      <c r="A349">
        <v>27</v>
      </c>
      <c r="B349" t="s">
        <v>855</v>
      </c>
      <c r="E349">
        <v>3</v>
      </c>
      <c r="F349" t="s">
        <v>315</v>
      </c>
      <c r="G349" s="6">
        <v>43173</v>
      </c>
      <c r="H349">
        <v>160</v>
      </c>
      <c r="I349" t="s">
        <v>856</v>
      </c>
      <c r="J349" t="s">
        <v>644</v>
      </c>
      <c r="K349" s="9">
        <v>1439.7</v>
      </c>
      <c r="L349" s="1">
        <v>1401</v>
      </c>
      <c r="M349" s="9">
        <f t="shared" si="38"/>
        <v>38.700000000000045</v>
      </c>
      <c r="O349" s="11">
        <f t="shared" si="40"/>
        <v>38.700000000000045</v>
      </c>
      <c r="P349" s="24">
        <f t="shared" si="39"/>
        <v>2.7623126338329751E-2</v>
      </c>
    </row>
    <row r="350" spans="1:16">
      <c r="A350">
        <v>28</v>
      </c>
      <c r="B350" t="s">
        <v>857</v>
      </c>
      <c r="E350">
        <v>27</v>
      </c>
      <c r="F350" t="s">
        <v>858</v>
      </c>
      <c r="G350" s="6">
        <v>43174</v>
      </c>
      <c r="H350">
        <v>120</v>
      </c>
      <c r="I350" t="s">
        <v>859</v>
      </c>
      <c r="J350" t="s">
        <v>644</v>
      </c>
      <c r="K350" s="9">
        <v>5371.38</v>
      </c>
      <c r="L350" s="1">
        <v>5297.67</v>
      </c>
      <c r="M350" s="9">
        <f t="shared" si="38"/>
        <v>73.710000000000036</v>
      </c>
      <c r="O350" s="11">
        <f t="shared" si="40"/>
        <v>73.710000000000036</v>
      </c>
      <c r="P350" s="24">
        <f t="shared" si="39"/>
        <v>1.3913663931502063E-2</v>
      </c>
    </row>
    <row r="351" spans="1:16">
      <c r="A351">
        <v>29</v>
      </c>
      <c r="B351" t="s">
        <v>860</v>
      </c>
      <c r="E351">
        <v>132</v>
      </c>
      <c r="F351" t="s">
        <v>861</v>
      </c>
      <c r="G351" s="6">
        <v>43174</v>
      </c>
      <c r="H351">
        <v>145</v>
      </c>
      <c r="I351" t="s">
        <v>862</v>
      </c>
      <c r="J351" t="s">
        <v>644</v>
      </c>
      <c r="K351" s="9">
        <v>12524.16</v>
      </c>
      <c r="L351" s="1">
        <v>11841.66</v>
      </c>
      <c r="M351" s="9">
        <f t="shared" si="38"/>
        <v>682.5</v>
      </c>
      <c r="O351" s="11">
        <f t="shared" si="40"/>
        <v>682.5</v>
      </c>
      <c r="P351" s="24">
        <f t="shared" si="39"/>
        <v>5.7635500428149467E-2</v>
      </c>
    </row>
    <row r="352" spans="1:16">
      <c r="A352">
        <v>30</v>
      </c>
      <c r="B352" t="s">
        <v>863</v>
      </c>
      <c r="E352">
        <v>1</v>
      </c>
      <c r="F352" t="s">
        <v>753</v>
      </c>
      <c r="G352" s="6">
        <v>43174</v>
      </c>
      <c r="H352">
        <v>190</v>
      </c>
      <c r="I352" t="s">
        <v>864</v>
      </c>
      <c r="J352" t="s">
        <v>644</v>
      </c>
      <c r="K352" s="9">
        <v>5761.35</v>
      </c>
      <c r="L352" s="1">
        <v>5587.25</v>
      </c>
      <c r="M352" s="9">
        <f t="shared" si="38"/>
        <v>174.10000000000036</v>
      </c>
      <c r="O352" s="11">
        <f t="shared" si="40"/>
        <v>174.10000000000036</v>
      </c>
      <c r="P352" s="24">
        <f t="shared" si="39"/>
        <v>3.1160230882813611E-2</v>
      </c>
    </row>
    <row r="353" spans="1:17">
      <c r="A353">
        <v>31</v>
      </c>
      <c r="B353" t="s">
        <v>865</v>
      </c>
      <c r="E353">
        <v>21</v>
      </c>
      <c r="F353" t="s">
        <v>866</v>
      </c>
      <c r="G353" s="6">
        <v>43174</v>
      </c>
      <c r="H353">
        <v>120</v>
      </c>
      <c r="I353" t="s">
        <v>867</v>
      </c>
      <c r="J353" t="s">
        <v>644</v>
      </c>
      <c r="K353" s="9">
        <v>12952.8</v>
      </c>
      <c r="L353" s="1">
        <v>12491.43</v>
      </c>
      <c r="M353" s="9">
        <f t="shared" si="38"/>
        <v>461.36999999999898</v>
      </c>
      <c r="O353" s="11">
        <f t="shared" si="40"/>
        <v>461.36999999999898</v>
      </c>
      <c r="P353" s="24">
        <f t="shared" si="39"/>
        <v>3.6934922582922747E-2</v>
      </c>
    </row>
    <row r="354" spans="1:17">
      <c r="A354">
        <v>32</v>
      </c>
      <c r="B354" t="s">
        <v>868</v>
      </c>
      <c r="E354">
        <v>24</v>
      </c>
      <c r="F354" t="s">
        <v>866</v>
      </c>
      <c r="G354" s="6">
        <v>43175</v>
      </c>
      <c r="H354">
        <v>120</v>
      </c>
      <c r="I354" t="s">
        <v>869</v>
      </c>
      <c r="K354" s="9">
        <v>14803.43</v>
      </c>
      <c r="L354" s="1">
        <v>14275.92</v>
      </c>
      <c r="M354" s="9">
        <f t="shared" si="38"/>
        <v>527.51000000000022</v>
      </c>
      <c r="O354" s="11">
        <f t="shared" si="40"/>
        <v>527.51000000000022</v>
      </c>
      <c r="P354" s="24">
        <f t="shared" si="39"/>
        <v>3.6951033628655816E-2</v>
      </c>
    </row>
    <row r="355" spans="1:17">
      <c r="A355">
        <v>33</v>
      </c>
      <c r="B355" t="s">
        <v>870</v>
      </c>
      <c r="E355">
        <v>1</v>
      </c>
      <c r="F355" t="s">
        <v>135</v>
      </c>
      <c r="G355" s="6">
        <v>43175</v>
      </c>
      <c r="H355">
        <v>95</v>
      </c>
      <c r="I355" t="s">
        <v>747</v>
      </c>
      <c r="K355" s="9">
        <v>413.88</v>
      </c>
      <c r="L355" s="1">
        <v>299.01</v>
      </c>
      <c r="M355" s="9">
        <f t="shared" ref="M355:M380" si="41">K355-L355</f>
        <v>114.87</v>
      </c>
      <c r="O355" s="11">
        <f t="shared" si="40"/>
        <v>114.87</v>
      </c>
      <c r="P355" s="24">
        <f t="shared" si="39"/>
        <v>0.38416775358683664</v>
      </c>
    </row>
    <row r="356" spans="1:17">
      <c r="A356">
        <v>34</v>
      </c>
      <c r="B356" t="s">
        <v>871</v>
      </c>
      <c r="E356">
        <v>3</v>
      </c>
      <c r="F356" s="90" t="s">
        <v>872</v>
      </c>
      <c r="G356" s="6">
        <v>43175</v>
      </c>
      <c r="H356">
        <v>120</v>
      </c>
      <c r="I356" t="s">
        <v>873</v>
      </c>
      <c r="J356" t="s">
        <v>644</v>
      </c>
      <c r="K356" s="9">
        <v>763.02</v>
      </c>
      <c r="L356" s="1">
        <v>769.05</v>
      </c>
      <c r="M356" s="9">
        <f t="shared" si="41"/>
        <v>-6.0299999999999727</v>
      </c>
      <c r="O356" s="11">
        <f t="shared" si="40"/>
        <v>-6.0299999999999727</v>
      </c>
      <c r="P356" s="24">
        <f t="shared" si="39"/>
        <v>-7.8408425980105445E-3</v>
      </c>
    </row>
    <row r="357" spans="1:17">
      <c r="A357">
        <v>36</v>
      </c>
      <c r="B357" t="s">
        <v>874</v>
      </c>
      <c r="E357">
        <v>4</v>
      </c>
      <c r="F357" t="s">
        <v>875</v>
      </c>
      <c r="G357" s="6">
        <v>43178</v>
      </c>
      <c r="H357">
        <v>145</v>
      </c>
      <c r="I357" t="s">
        <v>876</v>
      </c>
      <c r="K357" s="9">
        <v>0</v>
      </c>
      <c r="L357" s="1">
        <v>0</v>
      </c>
      <c r="M357" s="9">
        <f t="shared" si="41"/>
        <v>0</v>
      </c>
      <c r="O357" s="11">
        <f t="shared" si="40"/>
        <v>0</v>
      </c>
      <c r="P357" s="24" t="e">
        <f t="shared" si="39"/>
        <v>#DIV/0!</v>
      </c>
    </row>
    <row r="358" spans="1:17">
      <c r="A358">
        <v>37</v>
      </c>
      <c r="B358" t="s">
        <v>877</v>
      </c>
      <c r="E358">
        <v>1</v>
      </c>
      <c r="F358" t="s">
        <v>129</v>
      </c>
      <c r="G358" s="6">
        <v>43179</v>
      </c>
      <c r="H358">
        <v>120</v>
      </c>
      <c r="I358" t="s">
        <v>878</v>
      </c>
      <c r="J358" t="s">
        <v>644</v>
      </c>
      <c r="K358" s="9">
        <v>3611</v>
      </c>
      <c r="L358" s="1">
        <v>3535</v>
      </c>
      <c r="M358" s="9">
        <f t="shared" si="41"/>
        <v>76</v>
      </c>
      <c r="O358" s="11">
        <f t="shared" si="40"/>
        <v>76</v>
      </c>
      <c r="P358" s="24">
        <f t="shared" si="39"/>
        <v>2.1499292786421487E-2</v>
      </c>
    </row>
    <row r="359" spans="1:17">
      <c r="A359">
        <v>38</v>
      </c>
      <c r="B359" t="s">
        <v>879</v>
      </c>
      <c r="E359">
        <v>1</v>
      </c>
      <c r="F359" t="s">
        <v>880</v>
      </c>
      <c r="G359" s="6">
        <v>43179</v>
      </c>
      <c r="H359">
        <v>120</v>
      </c>
      <c r="I359" t="s">
        <v>881</v>
      </c>
      <c r="J359" t="s">
        <v>644</v>
      </c>
      <c r="K359" s="9">
        <v>3786.8</v>
      </c>
      <c r="L359" s="1">
        <v>3710.82</v>
      </c>
      <c r="M359" s="9">
        <f t="shared" si="41"/>
        <v>75.980000000000018</v>
      </c>
      <c r="O359" s="11">
        <f t="shared" si="40"/>
        <v>75.980000000000018</v>
      </c>
      <c r="P359" s="24">
        <f t="shared" ref="P359:P368" si="42">(K359/L359)-1</f>
        <v>2.0475258837669319E-2</v>
      </c>
    </row>
    <row r="360" spans="1:17">
      <c r="A360">
        <v>39</v>
      </c>
      <c r="B360" t="s">
        <v>882</v>
      </c>
      <c r="E360">
        <v>150</v>
      </c>
      <c r="F360" t="s">
        <v>729</v>
      </c>
      <c r="G360" s="6">
        <v>43180</v>
      </c>
      <c r="H360">
        <v>100</v>
      </c>
      <c r="I360" t="s">
        <v>883</v>
      </c>
      <c r="J360" t="s">
        <v>644</v>
      </c>
      <c r="K360" s="9">
        <v>1768.5</v>
      </c>
      <c r="L360" s="1">
        <v>1680</v>
      </c>
      <c r="M360" s="9">
        <f t="shared" si="41"/>
        <v>88.5</v>
      </c>
      <c r="O360" s="11">
        <f t="shared" si="40"/>
        <v>88.5</v>
      </c>
      <c r="P360" s="24">
        <f t="shared" si="42"/>
        <v>5.2678571428571352E-2</v>
      </c>
    </row>
    <row r="361" spans="1:17">
      <c r="A361">
        <v>40</v>
      </c>
      <c r="B361" s="4" t="s">
        <v>884</v>
      </c>
      <c r="E361">
        <v>61</v>
      </c>
      <c r="F361" t="s">
        <v>532</v>
      </c>
      <c r="G361" s="6">
        <v>43181</v>
      </c>
      <c r="H361">
        <v>250</v>
      </c>
      <c r="I361" t="s">
        <v>885</v>
      </c>
      <c r="J361" t="s">
        <v>644</v>
      </c>
      <c r="K361" s="9">
        <v>7294.38</v>
      </c>
      <c r="L361" s="1">
        <v>6974</v>
      </c>
      <c r="M361" s="9">
        <f t="shared" si="41"/>
        <v>320.38000000000011</v>
      </c>
      <c r="O361" s="11">
        <f t="shared" si="40"/>
        <v>320.38000000000011</v>
      </c>
      <c r="P361" s="24">
        <f t="shared" si="42"/>
        <v>4.5939202753082942E-2</v>
      </c>
      <c r="Q361" s="73" t="s">
        <v>886</v>
      </c>
    </row>
    <row r="362" spans="1:17">
      <c r="A362">
        <v>41</v>
      </c>
      <c r="B362" t="s">
        <v>887</v>
      </c>
      <c r="E362">
        <v>1</v>
      </c>
      <c r="F362" t="s">
        <v>139</v>
      </c>
      <c r="G362" s="6">
        <v>43182</v>
      </c>
      <c r="H362">
        <v>110</v>
      </c>
      <c r="I362" t="s">
        <v>888</v>
      </c>
      <c r="J362" t="s">
        <v>644</v>
      </c>
      <c r="K362" s="9">
        <v>888.4</v>
      </c>
      <c r="L362" s="1">
        <v>832</v>
      </c>
      <c r="M362" s="9">
        <f t="shared" si="41"/>
        <v>56.399999999999977</v>
      </c>
      <c r="O362" s="11">
        <f t="shared" si="40"/>
        <v>56.399999999999977</v>
      </c>
      <c r="P362" s="24">
        <f t="shared" si="42"/>
        <v>6.7788461538461409E-2</v>
      </c>
    </row>
    <row r="363" spans="1:17">
      <c r="A363">
        <v>42</v>
      </c>
      <c r="B363" s="4" t="s">
        <v>889</v>
      </c>
      <c r="E363">
        <v>20</v>
      </c>
      <c r="F363" s="75" t="s">
        <v>508</v>
      </c>
      <c r="G363" s="6">
        <v>43182</v>
      </c>
      <c r="H363">
        <v>160</v>
      </c>
      <c r="I363" s="75" t="s">
        <v>890</v>
      </c>
      <c r="K363" s="9">
        <v>21892.799999999999</v>
      </c>
      <c r="L363" s="1">
        <v>19598.2</v>
      </c>
      <c r="M363" s="9">
        <f t="shared" si="41"/>
        <v>2294.5999999999985</v>
      </c>
      <c r="O363" s="11">
        <f t="shared" si="40"/>
        <v>2294.5999999999985</v>
      </c>
      <c r="P363" s="24">
        <f t="shared" si="42"/>
        <v>0.11708218101662382</v>
      </c>
    </row>
    <row r="364" spans="1:17">
      <c r="A364">
        <v>43</v>
      </c>
      <c r="B364" t="s">
        <v>891</v>
      </c>
      <c r="E364">
        <v>17</v>
      </c>
      <c r="F364" t="s">
        <v>501</v>
      </c>
      <c r="G364" s="6">
        <v>43182</v>
      </c>
      <c r="H364">
        <v>90</v>
      </c>
      <c r="I364" t="s">
        <v>892</v>
      </c>
      <c r="J364" t="s">
        <v>644</v>
      </c>
      <c r="K364" s="9">
        <v>2683.28</v>
      </c>
      <c r="L364" s="1">
        <v>2618</v>
      </c>
      <c r="M364" s="9">
        <f t="shared" si="41"/>
        <v>65.2800000000002</v>
      </c>
      <c r="O364" s="11">
        <f t="shared" si="40"/>
        <v>65.2800000000002</v>
      </c>
      <c r="P364" s="24">
        <f t="shared" si="42"/>
        <v>2.4935064935065032E-2</v>
      </c>
    </row>
    <row r="365" spans="1:17">
      <c r="A365">
        <v>44</v>
      </c>
      <c r="B365" t="s">
        <v>893</v>
      </c>
      <c r="E365">
        <v>13</v>
      </c>
      <c r="F365" t="s">
        <v>266</v>
      </c>
      <c r="G365" s="6">
        <v>43182</v>
      </c>
      <c r="H365">
        <v>120</v>
      </c>
      <c r="I365" t="s">
        <v>894</v>
      </c>
      <c r="J365" t="s">
        <v>644</v>
      </c>
      <c r="K365" s="9">
        <v>537.67999999999995</v>
      </c>
      <c r="L365" s="1">
        <v>481</v>
      </c>
      <c r="M365" s="9">
        <f t="shared" si="41"/>
        <v>56.67999999999995</v>
      </c>
      <c r="O365" s="11">
        <f t="shared" si="40"/>
        <v>56.67999999999995</v>
      </c>
      <c r="P365" s="24">
        <f t="shared" si="42"/>
        <v>0.11783783783783774</v>
      </c>
    </row>
    <row r="366" spans="1:17">
      <c r="A366">
        <v>45</v>
      </c>
      <c r="B366" t="s">
        <v>895</v>
      </c>
      <c r="E366">
        <v>29</v>
      </c>
      <c r="F366" t="s">
        <v>129</v>
      </c>
      <c r="G366" s="6">
        <v>43183</v>
      </c>
      <c r="H366">
        <v>120</v>
      </c>
      <c r="I366" t="s">
        <v>896</v>
      </c>
      <c r="J366" t="s">
        <v>644</v>
      </c>
      <c r="K366" s="9">
        <v>15040.56</v>
      </c>
      <c r="L366" s="1">
        <f>14703+58.4</f>
        <v>14761.4</v>
      </c>
      <c r="M366" s="9">
        <f t="shared" si="41"/>
        <v>279.15999999999985</v>
      </c>
      <c r="N366" s="75">
        <f>35.36+33.58</f>
        <v>68.94</v>
      </c>
      <c r="O366" s="11">
        <f t="shared" si="40"/>
        <v>210.21999999999986</v>
      </c>
      <c r="P366" s="24">
        <f t="shared" si="42"/>
        <v>1.8911485360467051E-2</v>
      </c>
    </row>
    <row r="367" spans="1:17">
      <c r="A367">
        <v>46</v>
      </c>
      <c r="B367" t="s">
        <v>897</v>
      </c>
      <c r="E367">
        <v>51</v>
      </c>
      <c r="F367" t="s">
        <v>898</v>
      </c>
      <c r="G367" s="6">
        <v>43185</v>
      </c>
      <c r="H367">
        <v>110</v>
      </c>
      <c r="I367" t="s">
        <v>899</v>
      </c>
      <c r="J367" t="s">
        <v>644</v>
      </c>
      <c r="K367" s="9">
        <v>10961.94</v>
      </c>
      <c r="L367" s="9">
        <v>10812.51</v>
      </c>
      <c r="M367" s="9">
        <f t="shared" si="41"/>
        <v>149.43000000000029</v>
      </c>
      <c r="O367" s="11">
        <f t="shared" si="40"/>
        <v>149.43000000000029</v>
      </c>
      <c r="P367" s="24">
        <f t="shared" si="42"/>
        <v>1.382010282533841E-2</v>
      </c>
    </row>
    <row r="368" spans="1:17">
      <c r="A368">
        <v>47</v>
      </c>
      <c r="B368" t="s">
        <v>900</v>
      </c>
      <c r="E368">
        <v>35</v>
      </c>
      <c r="F368" t="s">
        <v>898</v>
      </c>
      <c r="G368" s="6">
        <v>43185</v>
      </c>
      <c r="H368">
        <v>110</v>
      </c>
      <c r="I368" t="s">
        <v>901</v>
      </c>
      <c r="J368" t="s">
        <v>644</v>
      </c>
      <c r="K368" s="9">
        <v>9657.2000000000007</v>
      </c>
      <c r="L368" s="1">
        <v>9492</v>
      </c>
      <c r="M368" s="9">
        <f t="shared" si="41"/>
        <v>165.20000000000073</v>
      </c>
      <c r="O368" s="11">
        <f t="shared" si="40"/>
        <v>165.20000000000073</v>
      </c>
      <c r="P368" s="24">
        <f t="shared" si="42"/>
        <v>1.7404129793510359E-2</v>
      </c>
    </row>
    <row r="369" spans="1:16">
      <c r="A369">
        <v>48</v>
      </c>
      <c r="B369" t="s">
        <v>902</v>
      </c>
      <c r="E369">
        <v>19</v>
      </c>
      <c r="F369" t="s">
        <v>903</v>
      </c>
      <c r="G369" s="6">
        <v>43185</v>
      </c>
      <c r="H369">
        <v>120</v>
      </c>
      <c r="I369" t="s">
        <v>904</v>
      </c>
      <c r="J369" t="s">
        <v>644</v>
      </c>
      <c r="K369" s="9">
        <v>8620.2999999999993</v>
      </c>
      <c r="L369" s="1">
        <v>8459.4</v>
      </c>
      <c r="M369" s="9">
        <f t="shared" si="41"/>
        <v>160.89999999999964</v>
      </c>
      <c r="O369" s="11">
        <f t="shared" si="40"/>
        <v>160.89999999999964</v>
      </c>
      <c r="P369" s="24"/>
    </row>
    <row r="370" spans="1:16">
      <c r="A370">
        <v>49</v>
      </c>
      <c r="B370" t="s">
        <v>905</v>
      </c>
      <c r="E370">
        <v>52</v>
      </c>
      <c r="F370" t="s">
        <v>906</v>
      </c>
      <c r="G370" s="6">
        <v>43185</v>
      </c>
      <c r="H370">
        <v>140</v>
      </c>
      <c r="I370" t="s">
        <v>907</v>
      </c>
      <c r="J370" t="s">
        <v>644</v>
      </c>
      <c r="K370" s="9">
        <v>10831.08</v>
      </c>
      <c r="L370" s="1">
        <v>10660</v>
      </c>
      <c r="M370" s="9">
        <f t="shared" si="41"/>
        <v>171.07999999999993</v>
      </c>
      <c r="O370" s="11">
        <f t="shared" si="40"/>
        <v>171.07999999999993</v>
      </c>
      <c r="P370" s="24">
        <f t="shared" ref="P370:P380" si="43">(K370/L370)-1</f>
        <v>1.6048780487804892E-2</v>
      </c>
    </row>
    <row r="371" spans="1:16">
      <c r="A371">
        <v>50</v>
      </c>
      <c r="B371" t="s">
        <v>908</v>
      </c>
      <c r="E371">
        <v>51</v>
      </c>
      <c r="F371" t="s">
        <v>880</v>
      </c>
      <c r="G371" s="6">
        <v>43185</v>
      </c>
      <c r="H371">
        <v>120</v>
      </c>
      <c r="I371" t="s">
        <v>909</v>
      </c>
      <c r="J371" t="s">
        <v>644</v>
      </c>
      <c r="K371" s="9">
        <v>3252.27</v>
      </c>
      <c r="L371" s="1">
        <v>3192.09</v>
      </c>
      <c r="M371" s="9">
        <f t="shared" si="41"/>
        <v>60.179999999999836</v>
      </c>
      <c r="O371" s="11">
        <f t="shared" si="40"/>
        <v>60.179999999999836</v>
      </c>
      <c r="P371" s="24">
        <f t="shared" si="43"/>
        <v>1.885285189327357E-2</v>
      </c>
    </row>
    <row r="372" spans="1:16">
      <c r="A372">
        <v>51</v>
      </c>
      <c r="B372" t="s">
        <v>910</v>
      </c>
      <c r="E372">
        <v>5</v>
      </c>
      <c r="F372" t="s">
        <v>911</v>
      </c>
      <c r="G372" s="6">
        <v>43187</v>
      </c>
      <c r="H372">
        <v>125</v>
      </c>
      <c r="I372" t="s">
        <v>912</v>
      </c>
      <c r="K372" s="9">
        <v>13393.4</v>
      </c>
      <c r="L372" s="1">
        <v>13250</v>
      </c>
      <c r="M372" s="9">
        <f t="shared" si="41"/>
        <v>143.39999999999964</v>
      </c>
      <c r="N372" s="75">
        <f>30.66+30.66+30.66+30.66+30.66</f>
        <v>153.30000000000001</v>
      </c>
      <c r="O372" s="154">
        <f t="shared" ref="O372:O380" si="44">M372-N372</f>
        <v>-9.9000000000003752</v>
      </c>
      <c r="P372" s="24">
        <f t="shared" si="43"/>
        <v>1.0822641509433906E-2</v>
      </c>
    </row>
    <row r="373" spans="1:16">
      <c r="A373">
        <v>52</v>
      </c>
      <c r="B373" t="s">
        <v>913</v>
      </c>
      <c r="E373">
        <v>1</v>
      </c>
      <c r="F373" t="s">
        <v>606</v>
      </c>
      <c r="G373" s="6">
        <v>43187</v>
      </c>
      <c r="H373">
        <v>140</v>
      </c>
      <c r="I373" t="s">
        <v>914</v>
      </c>
      <c r="J373" t="s">
        <v>644</v>
      </c>
      <c r="K373" s="9">
        <v>3137</v>
      </c>
      <c r="L373" s="1">
        <f>2914.06+60</f>
        <v>2974.06</v>
      </c>
      <c r="M373" s="9">
        <f t="shared" si="41"/>
        <v>162.94000000000005</v>
      </c>
      <c r="O373" s="11">
        <f t="shared" si="44"/>
        <v>162.94000000000005</v>
      </c>
      <c r="P373" s="24">
        <f t="shared" si="43"/>
        <v>5.4787058768148711E-2</v>
      </c>
    </row>
    <row r="374" spans="1:16">
      <c r="A374">
        <v>53</v>
      </c>
      <c r="B374" t="s">
        <v>915</v>
      </c>
      <c r="E374">
        <v>5</v>
      </c>
      <c r="F374" t="s">
        <v>880</v>
      </c>
      <c r="G374" s="6">
        <v>43187</v>
      </c>
      <c r="H374">
        <v>110</v>
      </c>
      <c r="I374" t="s">
        <v>916</v>
      </c>
      <c r="J374" t="s">
        <v>644</v>
      </c>
      <c r="K374" s="9">
        <v>1937</v>
      </c>
      <c r="L374" s="1">
        <v>1880.4</v>
      </c>
      <c r="M374" s="9">
        <f t="shared" si="41"/>
        <v>56.599999999999909</v>
      </c>
      <c r="O374" s="11">
        <f t="shared" si="44"/>
        <v>56.599999999999909</v>
      </c>
      <c r="P374" s="24">
        <f t="shared" si="43"/>
        <v>3.0099978727930132E-2</v>
      </c>
    </row>
    <row r="375" spans="1:16">
      <c r="A375">
        <v>54</v>
      </c>
      <c r="B375" t="s">
        <v>917</v>
      </c>
      <c r="E375">
        <v>1761</v>
      </c>
      <c r="F375" t="s">
        <v>266</v>
      </c>
      <c r="G375" s="6">
        <v>43187</v>
      </c>
      <c r="H375">
        <v>145</v>
      </c>
      <c r="I375" t="s">
        <v>918</v>
      </c>
      <c r="J375" t="s">
        <v>644</v>
      </c>
      <c r="K375" s="9">
        <v>4296.84</v>
      </c>
      <c r="L375" s="1">
        <v>3522</v>
      </c>
      <c r="M375" s="9">
        <f t="shared" si="41"/>
        <v>774.84000000000015</v>
      </c>
      <c r="N375">
        <v>4</v>
      </c>
      <c r="O375" s="11">
        <f t="shared" si="44"/>
        <v>770.84000000000015</v>
      </c>
      <c r="P375" s="24">
        <f t="shared" si="43"/>
        <v>0.21999999999999997</v>
      </c>
    </row>
    <row r="376" spans="1:16">
      <c r="A376">
        <v>55</v>
      </c>
      <c r="B376" t="s">
        <v>919</v>
      </c>
      <c r="E376">
        <v>317</v>
      </c>
      <c r="F376" t="s">
        <v>135</v>
      </c>
      <c r="G376" s="6">
        <v>43188</v>
      </c>
      <c r="H376">
        <v>120</v>
      </c>
      <c r="I376" t="s">
        <v>920</v>
      </c>
      <c r="J376" t="s">
        <v>644</v>
      </c>
      <c r="K376" s="9">
        <v>26377.57</v>
      </c>
      <c r="L376" s="1">
        <v>25817.3</v>
      </c>
      <c r="M376" s="9">
        <f t="shared" si="41"/>
        <v>560.27000000000044</v>
      </c>
      <c r="O376" s="11">
        <f t="shared" si="44"/>
        <v>560.27000000000044</v>
      </c>
      <c r="P376" s="24">
        <f t="shared" si="43"/>
        <v>2.1701339799281794E-2</v>
      </c>
    </row>
    <row r="377" spans="1:16">
      <c r="A377">
        <v>56</v>
      </c>
      <c r="B377" t="s">
        <v>921</v>
      </c>
      <c r="E377">
        <v>19</v>
      </c>
      <c r="F377" t="s">
        <v>922</v>
      </c>
      <c r="G377" s="6">
        <v>43189</v>
      </c>
      <c r="H377">
        <v>160</v>
      </c>
      <c r="I377" t="s">
        <v>923</v>
      </c>
      <c r="J377" t="s">
        <v>644</v>
      </c>
      <c r="K377" s="9">
        <v>3796.96</v>
      </c>
      <c r="L377" s="1">
        <v>3725.06</v>
      </c>
      <c r="M377" s="9">
        <f t="shared" si="41"/>
        <v>71.900000000000091</v>
      </c>
      <c r="O377" s="11">
        <f t="shared" si="44"/>
        <v>71.900000000000091</v>
      </c>
      <c r="P377" s="24">
        <f t="shared" si="43"/>
        <v>1.9301702522912301E-2</v>
      </c>
    </row>
    <row r="378" spans="1:16">
      <c r="A378">
        <v>57</v>
      </c>
      <c r="B378" t="s">
        <v>924</v>
      </c>
      <c r="E378">
        <v>135</v>
      </c>
      <c r="F378" t="s">
        <v>126</v>
      </c>
      <c r="G378" s="6">
        <v>43189</v>
      </c>
      <c r="H378">
        <v>120</v>
      </c>
      <c r="I378" t="s">
        <v>925</v>
      </c>
      <c r="J378" t="s">
        <v>644</v>
      </c>
      <c r="K378" s="9">
        <v>15114.6</v>
      </c>
      <c r="L378" s="1">
        <v>14850</v>
      </c>
      <c r="M378" s="9">
        <f t="shared" si="41"/>
        <v>264.60000000000036</v>
      </c>
      <c r="N378" s="148">
        <f>39.83+39.83+39.83</f>
        <v>119.49</v>
      </c>
      <c r="O378" s="11">
        <f t="shared" si="44"/>
        <v>145.11000000000035</v>
      </c>
      <c r="P378" s="24">
        <f t="shared" si="43"/>
        <v>1.7818181818181733E-2</v>
      </c>
    </row>
    <row r="379" spans="1:16">
      <c r="A379">
        <v>58</v>
      </c>
      <c r="B379" s="4" t="s">
        <v>926</v>
      </c>
      <c r="E379">
        <v>1</v>
      </c>
      <c r="F379" t="s">
        <v>779</v>
      </c>
      <c r="G379" s="6">
        <v>43189</v>
      </c>
      <c r="H379">
        <v>270</v>
      </c>
      <c r="I379" t="s">
        <v>927</v>
      </c>
      <c r="J379" t="s">
        <v>654</v>
      </c>
      <c r="K379" s="9">
        <v>16539.82</v>
      </c>
      <c r="L379" s="1">
        <v>16106</v>
      </c>
      <c r="M379" s="9">
        <f t="shared" si="41"/>
        <v>433.81999999999971</v>
      </c>
      <c r="O379" s="11">
        <f t="shared" si="44"/>
        <v>433.81999999999971</v>
      </c>
      <c r="P379" s="24">
        <f t="shared" si="43"/>
        <v>2.6935303613560224E-2</v>
      </c>
    </row>
    <row r="380" spans="1:16">
      <c r="K380" s="64">
        <f>SUM(K323:K379)</f>
        <v>392333.07000000007</v>
      </c>
      <c r="L380" s="26">
        <f>SUM(L323:L379)</f>
        <v>373740.53000000014</v>
      </c>
      <c r="M380" s="64">
        <f t="shared" si="41"/>
        <v>18592.539999999921</v>
      </c>
      <c r="O380" s="11">
        <f t="shared" si="44"/>
        <v>18592.539999999921</v>
      </c>
      <c r="P380" s="129">
        <f t="shared" si="43"/>
        <v>4.974718690531077E-2</v>
      </c>
    </row>
    <row r="381" spans="1:16">
      <c r="K381" s="9"/>
    </row>
    <row r="382" spans="1:16">
      <c r="A382">
        <v>1</v>
      </c>
      <c r="B382" t="s">
        <v>928</v>
      </c>
      <c r="E382">
        <v>2</v>
      </c>
      <c r="F382" t="s">
        <v>266</v>
      </c>
      <c r="G382" s="6">
        <v>43192</v>
      </c>
      <c r="H382">
        <v>110</v>
      </c>
      <c r="I382" t="s">
        <v>929</v>
      </c>
      <c r="J382" t="s">
        <v>644</v>
      </c>
      <c r="K382" s="9">
        <v>389.2</v>
      </c>
      <c r="L382" s="1">
        <v>258</v>
      </c>
      <c r="M382" s="9">
        <f t="shared" ref="M382:M413" si="45">K382-L382</f>
        <v>131.19999999999999</v>
      </c>
      <c r="O382" s="11">
        <f t="shared" ref="O382:O425" si="46">M382-N382</f>
        <v>131.19999999999999</v>
      </c>
      <c r="P382" s="24">
        <f t="shared" ref="P382:P413" si="47">(K382/L382)-1</f>
        <v>0.50852713178294562</v>
      </c>
    </row>
    <row r="383" spans="1:16">
      <c r="A383">
        <v>2</v>
      </c>
      <c r="B383" t="s">
        <v>930</v>
      </c>
      <c r="E383">
        <v>2</v>
      </c>
      <c r="F383" t="s">
        <v>931</v>
      </c>
      <c r="G383" s="6">
        <v>43192</v>
      </c>
      <c r="H383">
        <v>110</v>
      </c>
      <c r="I383" t="s">
        <v>932</v>
      </c>
      <c r="J383" t="s">
        <v>644</v>
      </c>
      <c r="K383" s="1">
        <v>1687.8</v>
      </c>
      <c r="L383" s="1">
        <v>1171</v>
      </c>
      <c r="M383" s="9">
        <f t="shared" si="45"/>
        <v>516.79999999999995</v>
      </c>
      <c r="O383" s="11">
        <f t="shared" si="46"/>
        <v>516.79999999999995</v>
      </c>
      <c r="P383" s="24">
        <f t="shared" si="47"/>
        <v>0.44133219470537988</v>
      </c>
    </row>
    <row r="384" spans="1:16">
      <c r="A384">
        <v>3</v>
      </c>
      <c r="B384" t="s">
        <v>933</v>
      </c>
      <c r="E384">
        <v>6</v>
      </c>
      <c r="F384" t="s">
        <v>129</v>
      </c>
      <c r="G384" s="6">
        <v>43192</v>
      </c>
      <c r="H384">
        <v>130</v>
      </c>
      <c r="I384" t="s">
        <v>934</v>
      </c>
      <c r="J384" t="s">
        <v>644</v>
      </c>
      <c r="K384" s="9">
        <v>4310.28</v>
      </c>
      <c r="L384" s="1">
        <f>4230+13.51</f>
        <v>4243.51</v>
      </c>
      <c r="M384" s="9">
        <f t="shared" si="45"/>
        <v>66.769999999999527</v>
      </c>
      <c r="N384">
        <v>15.01</v>
      </c>
      <c r="O384" s="11">
        <f t="shared" si="46"/>
        <v>51.759999999999529</v>
      </c>
      <c r="P384" s="24">
        <f t="shared" si="47"/>
        <v>1.5734615919368533E-2</v>
      </c>
    </row>
    <row r="385" spans="1:16">
      <c r="A385">
        <v>4</v>
      </c>
      <c r="B385" t="s">
        <v>935</v>
      </c>
      <c r="E385">
        <v>19</v>
      </c>
      <c r="F385" t="s">
        <v>135</v>
      </c>
      <c r="G385" s="6">
        <v>43192</v>
      </c>
      <c r="H385">
        <v>120</v>
      </c>
      <c r="I385" t="s">
        <v>936</v>
      </c>
      <c r="J385" t="s">
        <v>644</v>
      </c>
      <c r="K385" s="9">
        <v>5941.3</v>
      </c>
      <c r="L385" s="1">
        <v>5842.4</v>
      </c>
      <c r="M385" s="9">
        <f t="shared" si="45"/>
        <v>98.900000000000546</v>
      </c>
      <c r="O385" s="11">
        <f t="shared" si="46"/>
        <v>98.900000000000546</v>
      </c>
      <c r="P385" s="24">
        <f t="shared" si="47"/>
        <v>1.6927974804874735E-2</v>
      </c>
    </row>
    <row r="386" spans="1:16">
      <c r="A386">
        <v>5</v>
      </c>
      <c r="B386" t="s">
        <v>937</v>
      </c>
      <c r="E386">
        <v>6</v>
      </c>
      <c r="F386" t="s">
        <v>129</v>
      </c>
      <c r="G386" s="6">
        <v>43193</v>
      </c>
      <c r="H386">
        <v>120</v>
      </c>
      <c r="I386" t="s">
        <v>938</v>
      </c>
      <c r="J386" t="s">
        <v>644</v>
      </c>
      <c r="K386" s="9">
        <v>5198.3999999999996</v>
      </c>
      <c r="L386" s="1">
        <f>5070+27.84</f>
        <v>5097.84</v>
      </c>
      <c r="M386" s="9">
        <f t="shared" si="45"/>
        <v>100.55999999999949</v>
      </c>
      <c r="N386">
        <f>16.33+16.33</f>
        <v>32.659999999999997</v>
      </c>
      <c r="O386" s="11">
        <f t="shared" si="46"/>
        <v>67.899999999999494</v>
      </c>
      <c r="P386" s="24">
        <f t="shared" si="47"/>
        <v>1.9726001600677723E-2</v>
      </c>
    </row>
    <row r="387" spans="1:16">
      <c r="A387">
        <v>6</v>
      </c>
      <c r="B387" t="s">
        <v>939</v>
      </c>
      <c r="E387">
        <v>3</v>
      </c>
      <c r="F387" t="s">
        <v>129</v>
      </c>
      <c r="G387" s="6">
        <v>43193</v>
      </c>
      <c r="H387">
        <v>140</v>
      </c>
      <c r="I387" t="s">
        <v>940</v>
      </c>
      <c r="J387" t="s">
        <v>644</v>
      </c>
      <c r="K387" s="9">
        <v>7684.32</v>
      </c>
      <c r="L387" s="1">
        <f>7560+15.71</f>
        <v>7575.71</v>
      </c>
      <c r="M387" s="9">
        <f t="shared" si="45"/>
        <v>108.60999999999967</v>
      </c>
      <c r="N387">
        <v>19.37</v>
      </c>
      <c r="O387" s="11">
        <f t="shared" si="46"/>
        <v>89.239999999999668</v>
      </c>
      <c r="P387" s="24">
        <f t="shared" si="47"/>
        <v>1.4336610033911068E-2</v>
      </c>
    </row>
    <row r="388" spans="1:16">
      <c r="A388">
        <v>7</v>
      </c>
      <c r="B388" t="s">
        <v>941</v>
      </c>
      <c r="E388">
        <v>1</v>
      </c>
      <c r="F388" t="s">
        <v>501</v>
      </c>
      <c r="G388" s="6">
        <v>43194</v>
      </c>
      <c r="H388">
        <v>90</v>
      </c>
      <c r="I388" t="s">
        <v>942</v>
      </c>
      <c r="J388" t="s">
        <v>644</v>
      </c>
      <c r="K388" s="1">
        <v>1008.98</v>
      </c>
      <c r="L388" s="1">
        <v>974</v>
      </c>
      <c r="M388" s="9">
        <f t="shared" si="45"/>
        <v>34.980000000000018</v>
      </c>
      <c r="O388" s="11">
        <f t="shared" si="46"/>
        <v>34.980000000000018</v>
      </c>
      <c r="P388" s="24">
        <f t="shared" si="47"/>
        <v>3.5913757700205329E-2</v>
      </c>
    </row>
    <row r="389" spans="1:16">
      <c r="A389">
        <v>8</v>
      </c>
      <c r="B389" t="s">
        <v>943</v>
      </c>
      <c r="E389">
        <v>10</v>
      </c>
      <c r="F389" t="s">
        <v>633</v>
      </c>
      <c r="G389" s="6">
        <v>43194</v>
      </c>
      <c r="H389">
        <v>210</v>
      </c>
      <c r="I389" t="s">
        <v>944</v>
      </c>
      <c r="J389" t="s">
        <v>644</v>
      </c>
      <c r="K389" s="9">
        <v>12280.2</v>
      </c>
      <c r="L389" s="1">
        <v>12053.5</v>
      </c>
      <c r="M389" s="9">
        <f t="shared" si="45"/>
        <v>226.70000000000073</v>
      </c>
      <c r="N389">
        <v>0</v>
      </c>
      <c r="O389" s="11">
        <f t="shared" si="46"/>
        <v>226.70000000000073</v>
      </c>
      <c r="P389" s="24">
        <f t="shared" si="47"/>
        <v>1.8807815157423136E-2</v>
      </c>
    </row>
    <row r="390" spans="1:16">
      <c r="A390">
        <v>9</v>
      </c>
      <c r="B390" t="s">
        <v>945</v>
      </c>
      <c r="E390">
        <v>64</v>
      </c>
      <c r="F390" t="s">
        <v>946</v>
      </c>
      <c r="G390" s="6">
        <v>43194</v>
      </c>
      <c r="H390">
        <v>145</v>
      </c>
      <c r="I390" t="s">
        <v>947</v>
      </c>
      <c r="J390" t="s">
        <v>644</v>
      </c>
      <c r="K390" s="9">
        <v>10525.44</v>
      </c>
      <c r="L390" s="1">
        <v>9660.7900000000009</v>
      </c>
      <c r="M390" s="9">
        <f t="shared" si="45"/>
        <v>864.64999999999964</v>
      </c>
      <c r="O390" s="11">
        <f t="shared" si="46"/>
        <v>864.64999999999964</v>
      </c>
      <c r="P390" s="24">
        <f t="shared" si="47"/>
        <v>8.9500962136636719E-2</v>
      </c>
    </row>
    <row r="391" spans="1:16">
      <c r="A391">
        <v>10</v>
      </c>
      <c r="B391" t="s">
        <v>948</v>
      </c>
      <c r="E391">
        <v>2</v>
      </c>
      <c r="F391" t="s">
        <v>949</v>
      </c>
      <c r="G391" s="6">
        <v>43194</v>
      </c>
      <c r="H391">
        <v>160</v>
      </c>
      <c r="I391" t="s">
        <v>950</v>
      </c>
      <c r="J391" t="s">
        <v>644</v>
      </c>
      <c r="K391" s="9">
        <v>2654</v>
      </c>
      <c r="L391" s="1">
        <v>2538</v>
      </c>
      <c r="M391" s="9">
        <f t="shared" si="45"/>
        <v>116</v>
      </c>
      <c r="O391" s="11">
        <f t="shared" si="46"/>
        <v>116</v>
      </c>
      <c r="P391" s="24">
        <f t="shared" si="47"/>
        <v>4.5705279747833005E-2</v>
      </c>
    </row>
    <row r="392" spans="1:16">
      <c r="A392">
        <v>11</v>
      </c>
      <c r="B392" t="s">
        <v>951</v>
      </c>
      <c r="E392">
        <v>1</v>
      </c>
      <c r="F392" t="s">
        <v>129</v>
      </c>
      <c r="G392" s="6">
        <v>43195</v>
      </c>
      <c r="H392">
        <v>120</v>
      </c>
      <c r="I392" t="s">
        <v>952</v>
      </c>
      <c r="J392" t="s">
        <v>644</v>
      </c>
      <c r="K392" s="9">
        <v>3611</v>
      </c>
      <c r="L392" s="1">
        <f>3535+13.85</f>
        <v>3548.85</v>
      </c>
      <c r="M392" s="9">
        <f t="shared" si="45"/>
        <v>62.150000000000091</v>
      </c>
      <c r="O392" s="11">
        <f t="shared" si="46"/>
        <v>62.150000000000091</v>
      </c>
      <c r="P392" s="24">
        <f t="shared" si="47"/>
        <v>1.7512715386674538E-2</v>
      </c>
    </row>
    <row r="393" spans="1:16">
      <c r="A393">
        <v>12</v>
      </c>
      <c r="B393" s="4" t="s">
        <v>953</v>
      </c>
      <c r="E393">
        <v>65</v>
      </c>
      <c r="F393" t="s">
        <v>954</v>
      </c>
      <c r="G393" s="6">
        <v>43195</v>
      </c>
      <c r="H393">
        <v>240</v>
      </c>
      <c r="I393" t="s">
        <v>955</v>
      </c>
      <c r="J393" t="s">
        <v>644</v>
      </c>
      <c r="K393" s="9">
        <v>13611</v>
      </c>
      <c r="L393" s="1">
        <v>12759</v>
      </c>
      <c r="M393" s="9">
        <f t="shared" si="45"/>
        <v>852</v>
      </c>
      <c r="O393" s="11">
        <f t="shared" si="46"/>
        <v>852</v>
      </c>
      <c r="P393" s="24">
        <f t="shared" si="47"/>
        <v>6.6776393134258205E-2</v>
      </c>
    </row>
    <row r="394" spans="1:16">
      <c r="A394">
        <v>13</v>
      </c>
      <c r="B394" t="s">
        <v>684</v>
      </c>
      <c r="E394">
        <v>1</v>
      </c>
      <c r="F394" s="75" t="s">
        <v>685</v>
      </c>
      <c r="G394" s="6">
        <v>43199</v>
      </c>
      <c r="H394">
        <v>120</v>
      </c>
      <c r="I394" t="s">
        <v>956</v>
      </c>
      <c r="J394" t="s">
        <v>644</v>
      </c>
      <c r="K394" s="9">
        <v>2873</v>
      </c>
      <c r="L394" s="1">
        <f>2810+12.87</f>
        <v>2822.87</v>
      </c>
      <c r="M394" s="9">
        <f t="shared" si="45"/>
        <v>50.130000000000109</v>
      </c>
      <c r="O394" s="11">
        <f t="shared" si="46"/>
        <v>50.130000000000109</v>
      </c>
      <c r="P394" s="24">
        <f t="shared" si="47"/>
        <v>1.7758522354908379E-2</v>
      </c>
    </row>
    <row r="395" spans="1:16">
      <c r="A395">
        <v>14</v>
      </c>
      <c r="B395" t="s">
        <v>957</v>
      </c>
      <c r="E395">
        <v>91</v>
      </c>
      <c r="F395" t="s">
        <v>135</v>
      </c>
      <c r="G395" s="6">
        <v>43199</v>
      </c>
      <c r="H395">
        <v>140</v>
      </c>
      <c r="I395" t="s">
        <v>958</v>
      </c>
      <c r="K395" s="9">
        <v>6766.76</v>
      </c>
      <c r="L395" s="1">
        <v>6688</v>
      </c>
      <c r="M395" s="9">
        <f t="shared" si="45"/>
        <v>78.760000000000218</v>
      </c>
      <c r="O395" s="11">
        <f t="shared" si="46"/>
        <v>78.760000000000218</v>
      </c>
      <c r="P395" s="24">
        <f t="shared" si="47"/>
        <v>1.177631578947369E-2</v>
      </c>
    </row>
    <row r="396" spans="1:16">
      <c r="A396">
        <v>15</v>
      </c>
      <c r="B396" t="s">
        <v>959</v>
      </c>
      <c r="E396">
        <v>22</v>
      </c>
      <c r="F396" t="s">
        <v>135</v>
      </c>
      <c r="G396" s="6">
        <v>43199</v>
      </c>
      <c r="H396">
        <v>130</v>
      </c>
      <c r="I396" t="s">
        <v>899</v>
      </c>
      <c r="J396" t="s">
        <v>644</v>
      </c>
      <c r="K396" s="9">
        <v>6362.84</v>
      </c>
      <c r="L396" s="1">
        <v>4272.08</v>
      </c>
      <c r="M396" s="9">
        <f t="shared" si="45"/>
        <v>2090.7600000000002</v>
      </c>
      <c r="O396" s="11">
        <f t="shared" si="46"/>
        <v>2090.7600000000002</v>
      </c>
      <c r="P396" s="24">
        <f t="shared" si="47"/>
        <v>0.48940094754779873</v>
      </c>
    </row>
    <row r="397" spans="1:16">
      <c r="A397">
        <v>16</v>
      </c>
      <c r="B397" t="s">
        <v>960</v>
      </c>
      <c r="E397">
        <v>500</v>
      </c>
      <c r="F397" t="s">
        <v>954</v>
      </c>
      <c r="G397" s="6">
        <v>43199</v>
      </c>
      <c r="H397">
        <v>160</v>
      </c>
      <c r="I397" t="s">
        <v>961</v>
      </c>
      <c r="J397" t="s">
        <v>644</v>
      </c>
      <c r="K397" s="9">
        <v>10970</v>
      </c>
      <c r="L397" s="1">
        <v>10240</v>
      </c>
      <c r="M397" s="9">
        <f t="shared" si="45"/>
        <v>730</v>
      </c>
      <c r="N397">
        <v>52.24</v>
      </c>
      <c r="O397" s="11">
        <f t="shared" si="46"/>
        <v>677.76</v>
      </c>
      <c r="P397" s="24">
        <f t="shared" si="47"/>
        <v>7.12890625E-2</v>
      </c>
    </row>
    <row r="398" spans="1:16">
      <c r="A398">
        <v>17</v>
      </c>
      <c r="B398" t="s">
        <v>962</v>
      </c>
      <c r="E398">
        <v>47</v>
      </c>
      <c r="F398" s="75" t="s">
        <v>135</v>
      </c>
      <c r="G398" s="6">
        <v>43199</v>
      </c>
      <c r="H398">
        <v>120</v>
      </c>
      <c r="I398" t="s">
        <v>963</v>
      </c>
      <c r="J398" t="s">
        <v>644</v>
      </c>
      <c r="K398" s="9">
        <v>2906.48</v>
      </c>
      <c r="L398" s="1">
        <v>2758</v>
      </c>
      <c r="M398" s="9">
        <f t="shared" si="45"/>
        <v>148.48000000000002</v>
      </c>
      <c r="O398" s="11">
        <f t="shared" si="46"/>
        <v>148.48000000000002</v>
      </c>
      <c r="P398" s="24">
        <f t="shared" si="47"/>
        <v>5.3836113125453222E-2</v>
      </c>
    </row>
    <row r="399" spans="1:16">
      <c r="A399">
        <v>18</v>
      </c>
      <c r="B399" t="s">
        <v>964</v>
      </c>
      <c r="E399">
        <v>10</v>
      </c>
      <c r="F399" s="75" t="s">
        <v>965</v>
      </c>
      <c r="G399" s="6">
        <v>43199</v>
      </c>
      <c r="H399">
        <v>170</v>
      </c>
      <c r="I399" t="s">
        <v>966</v>
      </c>
      <c r="J399" t="s">
        <v>644</v>
      </c>
      <c r="K399" s="9">
        <v>21899</v>
      </c>
      <c r="L399" s="148">
        <v>20598.099999999999</v>
      </c>
      <c r="M399" s="9">
        <f t="shared" si="45"/>
        <v>1300.9000000000015</v>
      </c>
      <c r="O399" s="11">
        <f t="shared" si="46"/>
        <v>1300.9000000000015</v>
      </c>
      <c r="P399" s="24">
        <f t="shared" si="47"/>
        <v>6.3156310533495796E-2</v>
      </c>
    </row>
    <row r="400" spans="1:16">
      <c r="A400">
        <v>19</v>
      </c>
      <c r="B400" t="s">
        <v>967</v>
      </c>
      <c r="E400">
        <v>34</v>
      </c>
      <c r="F400" t="s">
        <v>840</v>
      </c>
      <c r="G400" s="6">
        <v>43199</v>
      </c>
      <c r="H400">
        <v>140</v>
      </c>
      <c r="I400" t="s">
        <v>968</v>
      </c>
      <c r="J400" t="s">
        <v>644</v>
      </c>
      <c r="K400" s="9">
        <v>9342.86</v>
      </c>
      <c r="L400" s="1">
        <v>9120.84</v>
      </c>
      <c r="M400" s="9">
        <f t="shared" si="45"/>
        <v>222.02000000000044</v>
      </c>
      <c r="N400" s="75">
        <v>119.26</v>
      </c>
      <c r="O400" s="11">
        <f t="shared" si="46"/>
        <v>102.76000000000043</v>
      </c>
      <c r="P400" s="24">
        <f t="shared" si="47"/>
        <v>2.4342056214120777E-2</v>
      </c>
    </row>
    <row r="401" spans="1:16">
      <c r="A401">
        <v>20</v>
      </c>
      <c r="B401" t="s">
        <v>737</v>
      </c>
      <c r="E401">
        <v>15</v>
      </c>
      <c r="F401" t="s">
        <v>969</v>
      </c>
      <c r="G401" s="6">
        <v>43199</v>
      </c>
      <c r="H401">
        <v>220</v>
      </c>
      <c r="I401" t="s">
        <v>970</v>
      </c>
      <c r="J401" t="s">
        <v>644</v>
      </c>
      <c r="K401" s="9">
        <v>8238.4500000000007</v>
      </c>
      <c r="L401" s="1">
        <v>8180</v>
      </c>
      <c r="M401" s="9">
        <f t="shared" si="45"/>
        <v>58.450000000000728</v>
      </c>
      <c r="O401" s="11">
        <f t="shared" si="46"/>
        <v>58.450000000000728</v>
      </c>
      <c r="P401" s="24">
        <f t="shared" si="47"/>
        <v>7.1454767726162327E-3</v>
      </c>
    </row>
    <row r="402" spans="1:16">
      <c r="A402">
        <v>21</v>
      </c>
      <c r="B402" t="s">
        <v>971</v>
      </c>
      <c r="E402">
        <v>23</v>
      </c>
      <c r="F402" t="s">
        <v>129</v>
      </c>
      <c r="G402" s="6">
        <v>43200</v>
      </c>
      <c r="H402">
        <v>130</v>
      </c>
      <c r="I402" t="s">
        <v>972</v>
      </c>
      <c r="J402" t="s">
        <v>654</v>
      </c>
      <c r="K402" s="9">
        <v>21178.400000000001</v>
      </c>
      <c r="L402" s="1">
        <f>20815+29.45</f>
        <v>20844.45</v>
      </c>
      <c r="M402" s="9">
        <f t="shared" si="45"/>
        <v>333.95000000000073</v>
      </c>
      <c r="N402">
        <v>37.090000000000003</v>
      </c>
      <c r="O402" s="11">
        <f t="shared" si="46"/>
        <v>296.8600000000007</v>
      </c>
      <c r="P402" s="24">
        <f t="shared" si="47"/>
        <v>1.6021051167097289E-2</v>
      </c>
    </row>
    <row r="403" spans="1:16">
      <c r="A403">
        <v>22</v>
      </c>
      <c r="B403" s="4" t="s">
        <v>973</v>
      </c>
      <c r="E403">
        <v>1</v>
      </c>
      <c r="F403" t="s">
        <v>308</v>
      </c>
      <c r="G403" s="6">
        <v>43200</v>
      </c>
      <c r="H403">
        <v>240</v>
      </c>
      <c r="I403" t="s">
        <v>974</v>
      </c>
      <c r="J403" t="s">
        <v>644</v>
      </c>
      <c r="K403" s="9">
        <v>19800</v>
      </c>
      <c r="L403" s="1">
        <v>19082</v>
      </c>
      <c r="M403" s="9">
        <f t="shared" si="45"/>
        <v>718</v>
      </c>
      <c r="O403" s="11">
        <f t="shared" si="46"/>
        <v>718</v>
      </c>
      <c r="P403" s="24">
        <f t="shared" si="47"/>
        <v>3.7627083114977422E-2</v>
      </c>
    </row>
    <row r="404" spans="1:16">
      <c r="A404">
        <v>23</v>
      </c>
      <c r="B404" t="s">
        <v>975</v>
      </c>
      <c r="E404">
        <v>2</v>
      </c>
      <c r="F404" t="s">
        <v>814</v>
      </c>
      <c r="G404" s="6">
        <v>43201</v>
      </c>
      <c r="H404">
        <v>120</v>
      </c>
      <c r="I404" t="s">
        <v>976</v>
      </c>
      <c r="J404" t="s">
        <v>644</v>
      </c>
      <c r="K404" s="9">
        <v>1137.56</v>
      </c>
      <c r="L404" s="1">
        <v>1050.94</v>
      </c>
      <c r="M404" s="9">
        <f t="shared" si="45"/>
        <v>86.619999999999891</v>
      </c>
      <c r="N404" s="1">
        <v>34.56</v>
      </c>
      <c r="O404" s="11">
        <f t="shared" si="46"/>
        <v>52.059999999999889</v>
      </c>
      <c r="P404" s="24">
        <f t="shared" si="47"/>
        <v>8.2421451272194357E-2</v>
      </c>
    </row>
    <row r="405" spans="1:16">
      <c r="A405">
        <v>24</v>
      </c>
      <c r="B405" t="s">
        <v>977</v>
      </c>
      <c r="E405">
        <v>2</v>
      </c>
      <c r="F405" t="s">
        <v>135</v>
      </c>
      <c r="G405" s="6">
        <v>43201</v>
      </c>
      <c r="H405">
        <v>90</v>
      </c>
      <c r="I405" t="s">
        <v>978</v>
      </c>
      <c r="J405" t="s">
        <v>644</v>
      </c>
      <c r="K405" s="9">
        <v>1113.6400000000001</v>
      </c>
      <c r="L405" s="1">
        <v>1077.68</v>
      </c>
      <c r="M405" s="9">
        <f t="shared" si="45"/>
        <v>35.960000000000036</v>
      </c>
      <c r="O405" s="11">
        <f t="shared" si="46"/>
        <v>35.960000000000036</v>
      </c>
      <c r="P405" s="24">
        <f t="shared" si="47"/>
        <v>3.3367975651399373E-2</v>
      </c>
    </row>
    <row r="406" spans="1:16">
      <c r="A406">
        <v>25</v>
      </c>
      <c r="B406" t="s">
        <v>979</v>
      </c>
      <c r="E406">
        <v>6</v>
      </c>
      <c r="F406" t="s">
        <v>129</v>
      </c>
      <c r="G406" s="6">
        <v>43201</v>
      </c>
      <c r="H406">
        <v>125</v>
      </c>
      <c r="I406" t="s">
        <v>980</v>
      </c>
      <c r="J406" t="s">
        <v>644</v>
      </c>
      <c r="K406" s="9">
        <v>7266</v>
      </c>
      <c r="L406" s="1">
        <v>7170</v>
      </c>
      <c r="M406" s="9">
        <f t="shared" si="45"/>
        <v>96</v>
      </c>
      <c r="N406">
        <v>29.76</v>
      </c>
      <c r="O406" s="11">
        <f t="shared" si="46"/>
        <v>66.239999999999995</v>
      </c>
      <c r="P406" s="24">
        <f t="shared" si="47"/>
        <v>1.3389121338912124E-2</v>
      </c>
    </row>
    <row r="407" spans="1:16">
      <c r="A407">
        <v>26</v>
      </c>
      <c r="B407" t="s">
        <v>981</v>
      </c>
      <c r="E407">
        <v>5</v>
      </c>
      <c r="F407" t="s">
        <v>129</v>
      </c>
      <c r="G407" s="6">
        <v>43201</v>
      </c>
      <c r="H407">
        <v>130</v>
      </c>
      <c r="I407" t="s">
        <v>982</v>
      </c>
      <c r="J407" t="s">
        <v>644</v>
      </c>
      <c r="K407" s="9">
        <v>8492</v>
      </c>
      <c r="L407" s="1">
        <f>8400+14.33</f>
        <v>8414.33</v>
      </c>
      <c r="M407" s="9">
        <f t="shared" si="45"/>
        <v>77.670000000000073</v>
      </c>
      <c r="O407" s="11">
        <f t="shared" si="46"/>
        <v>77.670000000000073</v>
      </c>
      <c r="P407" s="24">
        <f t="shared" si="47"/>
        <v>9.2306814683997818E-3</v>
      </c>
    </row>
    <row r="408" spans="1:16">
      <c r="A408">
        <v>27</v>
      </c>
      <c r="B408" t="s">
        <v>983</v>
      </c>
      <c r="E408">
        <v>11</v>
      </c>
      <c r="F408" t="s">
        <v>845</v>
      </c>
      <c r="G408" s="6">
        <v>43201</v>
      </c>
      <c r="H408">
        <v>140</v>
      </c>
      <c r="I408" t="s">
        <v>984</v>
      </c>
      <c r="J408" t="s">
        <v>644</v>
      </c>
      <c r="K408" s="9">
        <v>1889.58</v>
      </c>
      <c r="L408" s="1">
        <f>1632.2+163.22</f>
        <v>1795.42</v>
      </c>
      <c r="M408" s="9">
        <f t="shared" si="45"/>
        <v>94.159999999999854</v>
      </c>
      <c r="N408">
        <v>58.12</v>
      </c>
      <c r="O408" s="11">
        <f t="shared" si="46"/>
        <v>36.039999999999857</v>
      </c>
      <c r="P408" s="24">
        <f t="shared" si="47"/>
        <v>5.2444553363558244E-2</v>
      </c>
    </row>
    <row r="409" spans="1:16">
      <c r="A409">
        <v>28</v>
      </c>
      <c r="B409" t="s">
        <v>985</v>
      </c>
      <c r="E409">
        <v>6</v>
      </c>
      <c r="F409" t="s">
        <v>129</v>
      </c>
      <c r="G409" s="6">
        <v>43201</v>
      </c>
      <c r="H409">
        <v>70</v>
      </c>
      <c r="I409" t="s">
        <v>986</v>
      </c>
      <c r="J409" t="s">
        <v>644</v>
      </c>
      <c r="K409" s="9">
        <v>4107.42</v>
      </c>
      <c r="L409" s="1">
        <f>4020+40.3</f>
        <v>4060.3</v>
      </c>
      <c r="M409" s="9">
        <f t="shared" si="45"/>
        <v>47.119999999999891</v>
      </c>
      <c r="N409" s="75">
        <v>49.32</v>
      </c>
      <c r="O409" s="154">
        <f t="shared" si="46"/>
        <v>-2.2000000000001094</v>
      </c>
      <c r="P409" s="24">
        <f t="shared" si="47"/>
        <v>1.1605053813757538E-2</v>
      </c>
    </row>
    <row r="410" spans="1:16">
      <c r="A410">
        <v>29</v>
      </c>
      <c r="B410" t="s">
        <v>987</v>
      </c>
      <c r="E410">
        <v>23</v>
      </c>
      <c r="F410" s="75" t="s">
        <v>988</v>
      </c>
      <c r="G410" s="6">
        <v>43203</v>
      </c>
      <c r="I410" s="75" t="s">
        <v>623</v>
      </c>
      <c r="K410" s="9">
        <v>0</v>
      </c>
      <c r="L410" s="1">
        <v>0</v>
      </c>
      <c r="M410" s="9">
        <f t="shared" si="45"/>
        <v>0</v>
      </c>
      <c r="O410" s="11">
        <f t="shared" si="46"/>
        <v>0</v>
      </c>
      <c r="P410" s="24" t="e">
        <f t="shared" si="47"/>
        <v>#DIV/0!</v>
      </c>
    </row>
    <row r="411" spans="1:16">
      <c r="A411">
        <v>30</v>
      </c>
      <c r="B411" t="s">
        <v>989</v>
      </c>
      <c r="E411">
        <v>17</v>
      </c>
      <c r="F411" t="s">
        <v>129</v>
      </c>
      <c r="G411" s="6">
        <v>43203</v>
      </c>
      <c r="H411">
        <v>120</v>
      </c>
      <c r="I411" t="s">
        <v>990</v>
      </c>
      <c r="J411" t="s">
        <v>644</v>
      </c>
      <c r="K411" s="9">
        <v>17895.900000000001</v>
      </c>
      <c r="L411" s="1">
        <f>17425+47.6</f>
        <v>17472.599999999999</v>
      </c>
      <c r="M411" s="9">
        <f t="shared" si="45"/>
        <v>423.30000000000291</v>
      </c>
      <c r="N411">
        <v>57.32</v>
      </c>
      <c r="O411" s="11">
        <f t="shared" si="46"/>
        <v>365.98000000000292</v>
      </c>
      <c r="P411" s="24">
        <f t="shared" si="47"/>
        <v>2.4226503210741601E-2</v>
      </c>
    </row>
    <row r="412" spans="1:16">
      <c r="A412">
        <v>31</v>
      </c>
      <c r="B412" t="s">
        <v>991</v>
      </c>
      <c r="E412">
        <v>3</v>
      </c>
      <c r="F412" t="s">
        <v>129</v>
      </c>
      <c r="G412" s="6">
        <v>43203</v>
      </c>
      <c r="H412">
        <v>130</v>
      </c>
      <c r="I412" t="s">
        <v>992</v>
      </c>
      <c r="J412" t="s">
        <v>644</v>
      </c>
      <c r="K412" s="9">
        <v>2636.82</v>
      </c>
      <c r="L412" s="1">
        <f>2565+13.85</f>
        <v>2578.85</v>
      </c>
      <c r="M412" s="9">
        <f t="shared" si="45"/>
        <v>57.970000000000255</v>
      </c>
      <c r="N412">
        <v>15.62</v>
      </c>
      <c r="O412" s="11">
        <f t="shared" si="46"/>
        <v>42.350000000000257</v>
      </c>
      <c r="P412" s="24">
        <f t="shared" si="47"/>
        <v>2.2479011962696749E-2</v>
      </c>
    </row>
    <row r="413" spans="1:16">
      <c r="A413">
        <v>32</v>
      </c>
      <c r="B413" s="4" t="s">
        <v>993</v>
      </c>
      <c r="E413">
        <v>1</v>
      </c>
      <c r="F413" t="s">
        <v>308</v>
      </c>
      <c r="G413" s="6">
        <v>43203</v>
      </c>
      <c r="H413">
        <v>230</v>
      </c>
      <c r="I413" t="s">
        <v>994</v>
      </c>
      <c r="J413" t="s">
        <v>644</v>
      </c>
      <c r="K413" s="9">
        <v>1683.46</v>
      </c>
      <c r="L413" s="1">
        <v>1610</v>
      </c>
      <c r="M413" s="9">
        <f t="shared" si="45"/>
        <v>73.460000000000036</v>
      </c>
      <c r="O413" s="11">
        <f t="shared" si="46"/>
        <v>73.460000000000036</v>
      </c>
      <c r="P413" s="24">
        <f t="shared" si="47"/>
        <v>4.562732919254664E-2</v>
      </c>
    </row>
    <row r="414" spans="1:16">
      <c r="A414">
        <v>33</v>
      </c>
      <c r="B414" t="s">
        <v>995</v>
      </c>
      <c r="E414">
        <v>6</v>
      </c>
      <c r="F414" t="s">
        <v>129</v>
      </c>
      <c r="G414" s="6">
        <v>43204</v>
      </c>
      <c r="H414">
        <v>130</v>
      </c>
      <c r="I414" t="s">
        <v>996</v>
      </c>
      <c r="J414" t="s">
        <v>644</v>
      </c>
      <c r="K414" s="9">
        <v>8607.9599999999991</v>
      </c>
      <c r="L414" s="1">
        <f>8370+41.3</f>
        <v>8411.2999999999993</v>
      </c>
      <c r="M414" s="9">
        <f t="shared" ref="M414:M435" si="48">K414-L414</f>
        <v>196.65999999999985</v>
      </c>
      <c r="N414">
        <v>47.6</v>
      </c>
      <c r="O414" s="11">
        <f t="shared" si="46"/>
        <v>149.05999999999986</v>
      </c>
      <c r="P414" s="24">
        <f t="shared" ref="P414:P435" si="49">(K414/L414)-1</f>
        <v>2.3380452486535974E-2</v>
      </c>
    </row>
    <row r="415" spans="1:16">
      <c r="A415">
        <v>34</v>
      </c>
      <c r="B415" t="s">
        <v>997</v>
      </c>
      <c r="E415">
        <v>9</v>
      </c>
      <c r="F415" s="75" t="s">
        <v>998</v>
      </c>
      <c r="G415" s="6">
        <v>43206</v>
      </c>
      <c r="H415">
        <v>130</v>
      </c>
      <c r="I415" s="75" t="s">
        <v>623</v>
      </c>
      <c r="K415" s="9">
        <v>0</v>
      </c>
      <c r="L415" s="148">
        <v>0</v>
      </c>
      <c r="M415" s="9">
        <f t="shared" si="48"/>
        <v>0</v>
      </c>
      <c r="O415" s="11">
        <f t="shared" si="46"/>
        <v>0</v>
      </c>
      <c r="P415" s="24" t="e">
        <f t="shared" si="49"/>
        <v>#DIV/0!</v>
      </c>
    </row>
    <row r="416" spans="1:16">
      <c r="A416">
        <v>35</v>
      </c>
      <c r="B416" t="s">
        <v>999</v>
      </c>
      <c r="E416">
        <v>18</v>
      </c>
      <c r="F416" t="s">
        <v>251</v>
      </c>
      <c r="G416" s="6">
        <v>43206</v>
      </c>
      <c r="H416">
        <v>120</v>
      </c>
      <c r="I416" t="s">
        <v>1000</v>
      </c>
      <c r="J416" t="s">
        <v>644</v>
      </c>
      <c r="K416" s="9">
        <v>1311.66</v>
      </c>
      <c r="L416" s="1">
        <v>1260</v>
      </c>
      <c r="M416" s="9">
        <f t="shared" si="48"/>
        <v>51.660000000000082</v>
      </c>
      <c r="O416" s="11">
        <f t="shared" si="46"/>
        <v>51.660000000000082</v>
      </c>
      <c r="P416" s="24">
        <f t="shared" si="49"/>
        <v>4.1000000000000147E-2</v>
      </c>
    </row>
    <row r="417" spans="1:16">
      <c r="A417">
        <v>36</v>
      </c>
      <c r="B417" t="s">
        <v>1001</v>
      </c>
      <c r="E417">
        <v>8</v>
      </c>
      <c r="F417" t="s">
        <v>129</v>
      </c>
      <c r="G417" s="6">
        <v>43206</v>
      </c>
      <c r="H417">
        <v>140</v>
      </c>
      <c r="I417" t="s">
        <v>1002</v>
      </c>
      <c r="J417" t="s">
        <v>644</v>
      </c>
      <c r="K417" s="9">
        <v>11410.24</v>
      </c>
      <c r="L417" s="1">
        <f>11120+81.93</f>
        <v>11201.93</v>
      </c>
      <c r="M417" s="9">
        <f t="shared" si="48"/>
        <v>208.30999999999949</v>
      </c>
      <c r="N417" s="75">
        <f>46.68+46.68</f>
        <v>93.36</v>
      </c>
      <c r="O417" s="11">
        <f t="shared" si="46"/>
        <v>114.94999999999949</v>
      </c>
      <c r="P417" s="24">
        <f t="shared" si="49"/>
        <v>1.8595902670343278E-2</v>
      </c>
    </row>
    <row r="418" spans="1:16">
      <c r="A418">
        <v>37</v>
      </c>
      <c r="B418" t="s">
        <v>1003</v>
      </c>
      <c r="E418">
        <v>2</v>
      </c>
      <c r="F418" t="s">
        <v>1004</v>
      </c>
      <c r="G418" s="6">
        <v>43206</v>
      </c>
      <c r="H418">
        <v>140</v>
      </c>
      <c r="I418" t="s">
        <v>1005</v>
      </c>
      <c r="J418" t="s">
        <v>644</v>
      </c>
      <c r="K418" s="9">
        <v>6084</v>
      </c>
      <c r="L418" s="1">
        <v>5975.02</v>
      </c>
      <c r="M418" s="9">
        <f t="shared" si="48"/>
        <v>108.97999999999956</v>
      </c>
      <c r="O418" s="11">
        <f t="shared" si="46"/>
        <v>108.97999999999956</v>
      </c>
      <c r="P418" s="24">
        <f t="shared" si="49"/>
        <v>1.8239269491984844E-2</v>
      </c>
    </row>
    <row r="419" spans="1:16">
      <c r="A419">
        <v>38</v>
      </c>
      <c r="B419" t="s">
        <v>1006</v>
      </c>
      <c r="E419">
        <v>1</v>
      </c>
      <c r="F419" s="75" t="s">
        <v>1007</v>
      </c>
      <c r="G419" s="6">
        <v>43206</v>
      </c>
      <c r="H419">
        <v>120</v>
      </c>
      <c r="K419" s="9">
        <v>0</v>
      </c>
      <c r="L419" s="148">
        <v>0</v>
      </c>
      <c r="M419" s="9">
        <f t="shared" si="48"/>
        <v>0</v>
      </c>
      <c r="O419" s="11">
        <f t="shared" si="46"/>
        <v>0</v>
      </c>
      <c r="P419" s="24" t="e">
        <f t="shared" si="49"/>
        <v>#DIV/0!</v>
      </c>
    </row>
    <row r="420" spans="1:16">
      <c r="A420">
        <v>39</v>
      </c>
      <c r="B420" t="s">
        <v>1008</v>
      </c>
      <c r="E420">
        <v>6</v>
      </c>
      <c r="F420" s="75" t="s">
        <v>1009</v>
      </c>
      <c r="G420" s="6">
        <v>43209</v>
      </c>
      <c r="H420">
        <v>130</v>
      </c>
      <c r="I420" s="75" t="s">
        <v>623</v>
      </c>
      <c r="K420" s="9">
        <v>0</v>
      </c>
      <c r="L420" s="148">
        <v>0</v>
      </c>
      <c r="M420" s="9">
        <f t="shared" si="48"/>
        <v>0</v>
      </c>
      <c r="O420" s="11">
        <f t="shared" si="46"/>
        <v>0</v>
      </c>
      <c r="P420" s="24" t="e">
        <f t="shared" si="49"/>
        <v>#DIV/0!</v>
      </c>
    </row>
    <row r="421" spans="1:16">
      <c r="A421">
        <v>40</v>
      </c>
      <c r="B421" t="s">
        <v>1010</v>
      </c>
      <c r="E421">
        <v>4</v>
      </c>
      <c r="F421" t="s">
        <v>129</v>
      </c>
      <c r="G421" s="6">
        <v>43210</v>
      </c>
      <c r="H421">
        <v>170</v>
      </c>
      <c r="I421" t="s">
        <v>1011</v>
      </c>
      <c r="J421" t="s">
        <v>644</v>
      </c>
      <c r="K421" s="9">
        <v>13433.6</v>
      </c>
      <c r="L421" s="1">
        <f>13220+19.84</f>
        <v>13239.84</v>
      </c>
      <c r="M421" s="9">
        <f t="shared" si="48"/>
        <v>193.76000000000022</v>
      </c>
      <c r="O421" s="11">
        <f t="shared" si="46"/>
        <v>193.76000000000022</v>
      </c>
      <c r="P421" s="24">
        <f t="shared" si="49"/>
        <v>1.4634617941002404E-2</v>
      </c>
    </row>
    <row r="422" spans="1:16">
      <c r="A422">
        <v>41</v>
      </c>
      <c r="B422" t="s">
        <v>1012</v>
      </c>
      <c r="E422">
        <v>36</v>
      </c>
      <c r="F422" s="208" t="s">
        <v>1013</v>
      </c>
      <c r="G422" s="6">
        <v>43213</v>
      </c>
      <c r="H422">
        <v>110</v>
      </c>
      <c r="I422" t="s">
        <v>1014</v>
      </c>
      <c r="J422" t="s">
        <v>644</v>
      </c>
      <c r="K422" s="9">
        <v>3471.84</v>
      </c>
      <c r="L422" s="1">
        <v>3430.44</v>
      </c>
      <c r="M422" s="9">
        <f t="shared" si="48"/>
        <v>41.400000000000091</v>
      </c>
      <c r="N422">
        <v>18.04</v>
      </c>
      <c r="O422" s="11">
        <f t="shared" si="46"/>
        <v>23.360000000000092</v>
      </c>
      <c r="P422" s="24">
        <f t="shared" si="49"/>
        <v>1.2068422709623272E-2</v>
      </c>
    </row>
    <row r="423" spans="1:16">
      <c r="A423">
        <v>42</v>
      </c>
      <c r="B423" s="4" t="s">
        <v>1015</v>
      </c>
      <c r="E423">
        <v>4</v>
      </c>
      <c r="F423" t="s">
        <v>1016</v>
      </c>
      <c r="G423" s="6">
        <v>43213</v>
      </c>
      <c r="H423">
        <v>160</v>
      </c>
      <c r="I423" t="s">
        <v>1017</v>
      </c>
      <c r="K423" s="1">
        <v>0</v>
      </c>
      <c r="L423" s="148">
        <v>0</v>
      </c>
      <c r="M423" s="9">
        <f t="shared" si="48"/>
        <v>0</v>
      </c>
      <c r="O423" s="11">
        <f t="shared" si="46"/>
        <v>0</v>
      </c>
      <c r="P423" s="24" t="e">
        <f t="shared" si="49"/>
        <v>#DIV/0!</v>
      </c>
    </row>
    <row r="424" spans="1:16">
      <c r="A424">
        <v>43</v>
      </c>
      <c r="B424" t="s">
        <v>1018</v>
      </c>
      <c r="E424">
        <v>2</v>
      </c>
      <c r="F424" t="s">
        <v>1019</v>
      </c>
      <c r="G424" s="6">
        <v>43213</v>
      </c>
      <c r="H424">
        <v>140</v>
      </c>
      <c r="I424" t="s">
        <v>1020</v>
      </c>
      <c r="J424" t="s">
        <v>644</v>
      </c>
      <c r="K424" s="9">
        <v>2739.88</v>
      </c>
      <c r="L424" s="1">
        <v>2688</v>
      </c>
      <c r="M424" s="9">
        <f t="shared" si="48"/>
        <v>51.880000000000109</v>
      </c>
      <c r="O424" s="11">
        <f t="shared" si="46"/>
        <v>51.880000000000109</v>
      </c>
      <c r="P424" s="24">
        <f t="shared" si="49"/>
        <v>1.9300595238095353E-2</v>
      </c>
    </row>
    <row r="425" spans="1:16">
      <c r="A425">
        <v>44</v>
      </c>
      <c r="B425" s="4" t="s">
        <v>1021</v>
      </c>
      <c r="E425">
        <v>15</v>
      </c>
      <c r="F425" t="s">
        <v>954</v>
      </c>
      <c r="G425" s="6">
        <v>43213</v>
      </c>
      <c r="H425">
        <v>240</v>
      </c>
      <c r="I425" t="s">
        <v>1022</v>
      </c>
      <c r="J425" t="s">
        <v>644</v>
      </c>
      <c r="K425" s="9">
        <v>2516.5500000000002</v>
      </c>
      <c r="L425" s="1">
        <v>2317.0500000000002</v>
      </c>
      <c r="M425" s="9">
        <f t="shared" si="48"/>
        <v>199.5</v>
      </c>
      <c r="O425" s="11">
        <f t="shared" si="46"/>
        <v>199.5</v>
      </c>
      <c r="P425" s="24">
        <f t="shared" si="49"/>
        <v>8.610086100861003E-2</v>
      </c>
    </row>
    <row r="426" spans="1:16">
      <c r="A426">
        <v>45</v>
      </c>
      <c r="B426" t="s">
        <v>1023</v>
      </c>
      <c r="E426">
        <v>1</v>
      </c>
      <c r="F426" t="s">
        <v>1024</v>
      </c>
      <c r="G426" s="6">
        <v>43214</v>
      </c>
      <c r="H426">
        <v>30</v>
      </c>
      <c r="I426" t="s">
        <v>1025</v>
      </c>
      <c r="J426" t="s">
        <v>644</v>
      </c>
      <c r="K426" s="9">
        <v>122.2</v>
      </c>
      <c r="L426" s="1">
        <v>64.8</v>
      </c>
      <c r="M426" s="9">
        <f t="shared" si="48"/>
        <v>57.400000000000006</v>
      </c>
      <c r="P426" s="24">
        <f t="shared" si="49"/>
        <v>0.88580246913580263</v>
      </c>
    </row>
    <row r="427" spans="1:16">
      <c r="A427">
        <v>46</v>
      </c>
      <c r="B427" t="s">
        <v>1026</v>
      </c>
      <c r="E427">
        <v>1</v>
      </c>
      <c r="F427" t="s">
        <v>368</v>
      </c>
      <c r="G427" s="6">
        <v>43214</v>
      </c>
      <c r="H427">
        <v>130</v>
      </c>
      <c r="I427" t="s">
        <v>1027</v>
      </c>
      <c r="J427" t="s">
        <v>644</v>
      </c>
      <c r="K427" s="9">
        <v>3194.63</v>
      </c>
      <c r="L427" s="1">
        <v>3115</v>
      </c>
      <c r="M427" s="9">
        <f t="shared" si="48"/>
        <v>79.630000000000109</v>
      </c>
      <c r="P427" s="24">
        <f t="shared" si="49"/>
        <v>2.5563402889245523E-2</v>
      </c>
    </row>
    <row r="428" spans="1:16">
      <c r="A428">
        <v>47</v>
      </c>
      <c r="B428" t="s">
        <v>1028</v>
      </c>
      <c r="E428">
        <v>40</v>
      </c>
      <c r="F428" t="s">
        <v>1029</v>
      </c>
      <c r="G428" s="6">
        <v>43214</v>
      </c>
      <c r="I428" s="75" t="s">
        <v>623</v>
      </c>
      <c r="K428" s="9">
        <v>0</v>
      </c>
      <c r="L428" s="148">
        <v>0</v>
      </c>
      <c r="M428" s="9">
        <f t="shared" si="48"/>
        <v>0</v>
      </c>
      <c r="P428" s="24" t="e">
        <f t="shared" si="49"/>
        <v>#DIV/0!</v>
      </c>
    </row>
    <row r="429" spans="1:16">
      <c r="A429">
        <v>48</v>
      </c>
      <c r="B429" t="s">
        <v>1030</v>
      </c>
      <c r="E429">
        <v>1</v>
      </c>
      <c r="F429" t="s">
        <v>1031</v>
      </c>
      <c r="G429" s="6">
        <v>43216</v>
      </c>
      <c r="H429">
        <v>120</v>
      </c>
      <c r="I429" t="s">
        <v>1032</v>
      </c>
      <c r="J429" t="s">
        <v>644</v>
      </c>
      <c r="K429" s="9">
        <v>7811.8</v>
      </c>
      <c r="L429" s="1">
        <v>7700</v>
      </c>
      <c r="M429" s="9">
        <f t="shared" si="48"/>
        <v>111.80000000000018</v>
      </c>
      <c r="P429" s="24">
        <f t="shared" si="49"/>
        <v>1.4519480519480599E-2</v>
      </c>
    </row>
    <row r="430" spans="1:16">
      <c r="A430">
        <v>49</v>
      </c>
      <c r="B430" t="s">
        <v>1033</v>
      </c>
      <c r="E430">
        <v>13</v>
      </c>
      <c r="F430" t="s">
        <v>135</v>
      </c>
      <c r="G430" s="6">
        <v>43216</v>
      </c>
      <c r="H430">
        <v>140</v>
      </c>
      <c r="I430" t="s">
        <v>1034</v>
      </c>
      <c r="J430" t="s">
        <v>644</v>
      </c>
      <c r="K430" s="9">
        <v>1258.92</v>
      </c>
      <c r="L430" s="1">
        <v>853.22</v>
      </c>
      <c r="M430" s="9">
        <f t="shared" si="48"/>
        <v>405.70000000000005</v>
      </c>
      <c r="P430" s="24">
        <f t="shared" si="49"/>
        <v>0.47549283889266536</v>
      </c>
    </row>
    <row r="431" spans="1:16">
      <c r="A431">
        <v>50</v>
      </c>
      <c r="B431" t="s">
        <v>1035</v>
      </c>
      <c r="E431">
        <v>7</v>
      </c>
      <c r="F431" t="s">
        <v>135</v>
      </c>
      <c r="G431" s="6">
        <v>43216</v>
      </c>
      <c r="H431">
        <v>120</v>
      </c>
      <c r="I431" t="s">
        <v>1034</v>
      </c>
      <c r="J431" t="s">
        <v>644</v>
      </c>
      <c r="K431" s="9">
        <v>692.16</v>
      </c>
      <c r="L431" s="1">
        <v>459.48</v>
      </c>
      <c r="M431" s="9">
        <f t="shared" si="48"/>
        <v>232.67999999999995</v>
      </c>
      <c r="P431" s="24">
        <f t="shared" si="49"/>
        <v>0.50639853747714803</v>
      </c>
    </row>
    <row r="432" spans="1:16">
      <c r="A432">
        <v>51</v>
      </c>
      <c r="B432" t="s">
        <v>1036</v>
      </c>
      <c r="E432">
        <v>3</v>
      </c>
      <c r="F432" t="s">
        <v>1037</v>
      </c>
      <c r="G432" s="6">
        <v>43216</v>
      </c>
      <c r="H432">
        <v>210</v>
      </c>
      <c r="I432" t="s">
        <v>1038</v>
      </c>
      <c r="J432" t="s">
        <v>644</v>
      </c>
      <c r="K432" s="9">
        <v>8554.7999999999993</v>
      </c>
      <c r="L432" s="148">
        <v>8457</v>
      </c>
      <c r="M432" s="9">
        <f t="shared" si="48"/>
        <v>97.799999999999272</v>
      </c>
      <c r="P432" s="24">
        <f t="shared" si="49"/>
        <v>1.1564384533522487E-2</v>
      </c>
    </row>
    <row r="433" spans="1:16">
      <c r="A433">
        <v>52</v>
      </c>
      <c r="B433" t="s">
        <v>1039</v>
      </c>
      <c r="E433">
        <v>18</v>
      </c>
      <c r="F433" s="208" t="s">
        <v>1040</v>
      </c>
      <c r="G433" s="6">
        <v>43217</v>
      </c>
      <c r="H433">
        <v>160</v>
      </c>
      <c r="I433" t="s">
        <v>1041</v>
      </c>
      <c r="J433" t="s">
        <v>644</v>
      </c>
      <c r="K433" s="9">
        <v>1425.6</v>
      </c>
      <c r="L433" s="1">
        <v>1360</v>
      </c>
      <c r="M433" s="9">
        <f t="shared" si="48"/>
        <v>65.599999999999909</v>
      </c>
      <c r="P433" s="24">
        <f t="shared" si="49"/>
        <v>4.8235294117646932E-2</v>
      </c>
    </row>
    <row r="434" spans="1:16">
      <c r="A434">
        <v>53</v>
      </c>
      <c r="B434" t="s">
        <v>1042</v>
      </c>
      <c r="E434">
        <v>75</v>
      </c>
      <c r="F434" t="s">
        <v>135</v>
      </c>
      <c r="G434" s="6">
        <v>43220</v>
      </c>
      <c r="H434">
        <v>140</v>
      </c>
      <c r="I434" t="s">
        <v>1043</v>
      </c>
      <c r="J434" t="s">
        <v>654</v>
      </c>
      <c r="K434" s="9">
        <v>6122.25</v>
      </c>
      <c r="L434" s="1">
        <v>5931.75</v>
      </c>
      <c r="M434" s="9">
        <f t="shared" si="48"/>
        <v>190.5</v>
      </c>
      <c r="P434" s="24">
        <f t="shared" si="49"/>
        <v>3.2115311670249058E-2</v>
      </c>
    </row>
    <row r="435" spans="1:16">
      <c r="K435" s="64">
        <f>SUM(K382:K434)</f>
        <v>304220.17999999993</v>
      </c>
      <c r="L435" s="26">
        <f>SUM(L382:L434)</f>
        <v>292023.8899999999</v>
      </c>
      <c r="M435" s="64">
        <f t="shared" si="48"/>
        <v>12196.290000000037</v>
      </c>
      <c r="P435" s="129">
        <f t="shared" si="49"/>
        <v>4.1764699456609655E-2</v>
      </c>
    </row>
    <row r="437" spans="1:16">
      <c r="A437">
        <v>1</v>
      </c>
      <c r="B437" s="4" t="s">
        <v>1044</v>
      </c>
      <c r="E437">
        <v>1</v>
      </c>
      <c r="F437" s="75" t="s">
        <v>1045</v>
      </c>
      <c r="G437" s="6">
        <v>43221</v>
      </c>
      <c r="H437">
        <v>130</v>
      </c>
      <c r="I437" s="75" t="s">
        <v>596</v>
      </c>
      <c r="K437" s="9">
        <v>0</v>
      </c>
      <c r="L437" s="11">
        <v>0</v>
      </c>
      <c r="M437" s="9">
        <f t="shared" ref="M437:M479" si="50">K437-L437</f>
        <v>0</v>
      </c>
      <c r="O437" s="11">
        <f t="shared" ref="O437:O468" si="51">M437-N437</f>
        <v>0</v>
      </c>
      <c r="P437" s="24" t="e">
        <f t="shared" ref="P437:P468" si="52">(K437/L437)-1</f>
        <v>#DIV/0!</v>
      </c>
    </row>
    <row r="438" spans="1:16">
      <c r="A438">
        <v>2</v>
      </c>
      <c r="B438" s="4" t="s">
        <v>1046</v>
      </c>
      <c r="E438">
        <v>4</v>
      </c>
      <c r="F438" t="s">
        <v>1047</v>
      </c>
      <c r="G438" s="6">
        <v>43221</v>
      </c>
      <c r="H438">
        <v>170</v>
      </c>
      <c r="I438" t="s">
        <v>1048</v>
      </c>
      <c r="J438" t="s">
        <v>644</v>
      </c>
      <c r="K438" s="9">
        <v>15310.88</v>
      </c>
      <c r="L438" s="1">
        <f>3774*4</f>
        <v>15096</v>
      </c>
      <c r="M438" s="9">
        <f t="shared" si="50"/>
        <v>214.8799999999992</v>
      </c>
      <c r="O438" s="11">
        <f t="shared" si="51"/>
        <v>214.8799999999992</v>
      </c>
      <c r="P438" s="24">
        <f t="shared" si="52"/>
        <v>1.4234234234234089E-2</v>
      </c>
    </row>
    <row r="439" spans="1:16">
      <c r="A439">
        <v>3</v>
      </c>
      <c r="B439" t="s">
        <v>1049</v>
      </c>
      <c r="E439">
        <v>18</v>
      </c>
      <c r="F439" t="s">
        <v>135</v>
      </c>
      <c r="G439" s="6">
        <v>43221</v>
      </c>
      <c r="H439">
        <v>120</v>
      </c>
      <c r="I439" t="s">
        <v>1050</v>
      </c>
      <c r="J439" t="s">
        <v>644</v>
      </c>
      <c r="K439" s="9">
        <v>488.88</v>
      </c>
      <c r="L439" s="1">
        <v>401.94</v>
      </c>
      <c r="M439" s="9">
        <f t="shared" si="50"/>
        <v>86.94</v>
      </c>
      <c r="O439" s="11">
        <f t="shared" si="51"/>
        <v>86.94</v>
      </c>
      <c r="P439" s="24">
        <f t="shared" si="52"/>
        <v>0.21630094043887138</v>
      </c>
    </row>
    <row r="440" spans="1:16">
      <c r="A440">
        <v>4</v>
      </c>
      <c r="B440" s="4" t="s">
        <v>1051</v>
      </c>
      <c r="E440">
        <v>8</v>
      </c>
      <c r="F440" t="s">
        <v>1052</v>
      </c>
      <c r="G440" s="6">
        <v>43221</v>
      </c>
      <c r="H440">
        <v>110</v>
      </c>
      <c r="I440" t="s">
        <v>1053</v>
      </c>
      <c r="K440" s="9">
        <v>879.84</v>
      </c>
      <c r="L440" s="1">
        <v>816.24</v>
      </c>
      <c r="M440" s="9">
        <f t="shared" si="50"/>
        <v>63.600000000000023</v>
      </c>
      <c r="O440" s="11">
        <f t="shared" si="51"/>
        <v>63.600000000000023</v>
      </c>
      <c r="P440" s="24">
        <f t="shared" si="52"/>
        <v>7.7918259335489681E-2</v>
      </c>
    </row>
    <row r="441" spans="1:16">
      <c r="A441">
        <v>5</v>
      </c>
      <c r="B441" t="s">
        <v>1054</v>
      </c>
      <c r="E441">
        <v>2</v>
      </c>
      <c r="F441" t="s">
        <v>139</v>
      </c>
      <c r="G441" s="6">
        <v>43222</v>
      </c>
      <c r="H441">
        <v>110</v>
      </c>
      <c r="I441" t="s">
        <v>1055</v>
      </c>
      <c r="J441" t="s">
        <v>644</v>
      </c>
      <c r="K441" s="9">
        <v>1138</v>
      </c>
      <c r="L441" s="1">
        <v>1070</v>
      </c>
      <c r="M441" s="9">
        <f t="shared" si="50"/>
        <v>68</v>
      </c>
      <c r="O441" s="11">
        <f t="shared" si="51"/>
        <v>68</v>
      </c>
      <c r="P441" s="24">
        <f t="shared" si="52"/>
        <v>6.3551401869158974E-2</v>
      </c>
    </row>
    <row r="442" spans="1:16">
      <c r="A442">
        <v>6</v>
      </c>
      <c r="B442" s="4" t="s">
        <v>1056</v>
      </c>
      <c r="E442">
        <v>10</v>
      </c>
      <c r="F442" s="75" t="s">
        <v>1057</v>
      </c>
      <c r="G442" s="6">
        <v>43222</v>
      </c>
      <c r="H442">
        <v>130</v>
      </c>
      <c r="I442" t="s">
        <v>1058</v>
      </c>
      <c r="K442" s="9">
        <v>1549.6</v>
      </c>
      <c r="L442" s="1">
        <v>1443.2</v>
      </c>
      <c r="M442" s="9">
        <f t="shared" si="50"/>
        <v>106.39999999999986</v>
      </c>
      <c r="O442" s="11">
        <f t="shared" si="51"/>
        <v>106.39999999999986</v>
      </c>
      <c r="P442" s="24">
        <f t="shared" si="52"/>
        <v>7.372505543237251E-2</v>
      </c>
    </row>
    <row r="443" spans="1:16">
      <c r="A443">
        <v>7</v>
      </c>
      <c r="B443" t="s">
        <v>1059</v>
      </c>
      <c r="E443">
        <v>1</v>
      </c>
      <c r="F443" t="s">
        <v>931</v>
      </c>
      <c r="G443" s="6">
        <v>43222</v>
      </c>
      <c r="H443">
        <v>120</v>
      </c>
      <c r="I443" t="s">
        <v>1060</v>
      </c>
      <c r="J443" t="s">
        <v>644</v>
      </c>
      <c r="K443" s="9">
        <v>742.89</v>
      </c>
      <c r="L443" s="1">
        <v>708.9</v>
      </c>
      <c r="M443" s="9">
        <f t="shared" si="50"/>
        <v>33.990000000000009</v>
      </c>
      <c r="O443" s="11">
        <f t="shared" si="51"/>
        <v>33.990000000000009</v>
      </c>
      <c r="P443" s="24">
        <f t="shared" si="52"/>
        <v>4.7947524333474378E-2</v>
      </c>
    </row>
    <row r="444" spans="1:16">
      <c r="A444">
        <v>8</v>
      </c>
      <c r="B444" t="s">
        <v>1061</v>
      </c>
      <c r="E444">
        <v>1</v>
      </c>
      <c r="F444" t="s">
        <v>1062</v>
      </c>
      <c r="G444" s="6">
        <v>43224</v>
      </c>
      <c r="H444">
        <v>100</v>
      </c>
      <c r="I444" t="s">
        <v>1055</v>
      </c>
      <c r="J444" t="s">
        <v>644</v>
      </c>
      <c r="K444" s="9">
        <v>868.6</v>
      </c>
      <c r="L444" s="1">
        <v>761</v>
      </c>
      <c r="M444" s="9">
        <f t="shared" si="50"/>
        <v>107.60000000000002</v>
      </c>
      <c r="O444" s="11">
        <f t="shared" si="51"/>
        <v>107.60000000000002</v>
      </c>
      <c r="P444" s="24">
        <f t="shared" si="52"/>
        <v>0.14139290407358751</v>
      </c>
    </row>
    <row r="445" spans="1:16">
      <c r="A445">
        <v>9</v>
      </c>
      <c r="B445" t="s">
        <v>1063</v>
      </c>
      <c r="E445">
        <v>21</v>
      </c>
      <c r="F445" t="s">
        <v>1064</v>
      </c>
      <c r="G445" s="6">
        <v>43227</v>
      </c>
      <c r="H445">
        <v>160</v>
      </c>
      <c r="I445" t="s">
        <v>1055</v>
      </c>
      <c r="K445" s="9">
        <v>0</v>
      </c>
      <c r="L445" s="1">
        <v>0</v>
      </c>
      <c r="M445" s="9">
        <f t="shared" si="50"/>
        <v>0</v>
      </c>
      <c r="O445" s="11">
        <f t="shared" si="51"/>
        <v>0</v>
      </c>
      <c r="P445" s="24" t="e">
        <f t="shared" si="52"/>
        <v>#DIV/0!</v>
      </c>
    </row>
    <row r="446" spans="1:16">
      <c r="A446">
        <v>10</v>
      </c>
      <c r="B446" t="s">
        <v>1065</v>
      </c>
      <c r="E446">
        <v>15</v>
      </c>
      <c r="F446" s="208" t="s">
        <v>1066</v>
      </c>
      <c r="G446" s="6">
        <v>43228</v>
      </c>
      <c r="H446">
        <v>150</v>
      </c>
      <c r="I446" t="s">
        <v>1067</v>
      </c>
      <c r="J446" t="s">
        <v>644</v>
      </c>
      <c r="K446" s="9">
        <v>7495.2</v>
      </c>
      <c r="L446" s="1">
        <v>7371</v>
      </c>
      <c r="M446" s="9">
        <f t="shared" si="50"/>
        <v>124.19999999999982</v>
      </c>
      <c r="O446" s="11">
        <f t="shared" si="51"/>
        <v>124.19999999999982</v>
      </c>
      <c r="P446" s="24">
        <f t="shared" si="52"/>
        <v>1.684981684981679E-2</v>
      </c>
    </row>
    <row r="447" spans="1:16">
      <c r="A447">
        <v>11</v>
      </c>
      <c r="B447" t="s">
        <v>1068</v>
      </c>
      <c r="E447">
        <v>15</v>
      </c>
      <c r="F447" s="208" t="s">
        <v>1066</v>
      </c>
      <c r="G447" s="6">
        <v>43229</v>
      </c>
      <c r="H447">
        <v>140</v>
      </c>
      <c r="I447" t="s">
        <v>1069</v>
      </c>
      <c r="J447" t="s">
        <v>644</v>
      </c>
      <c r="K447" s="9">
        <v>4947.3</v>
      </c>
      <c r="L447" s="1">
        <v>4813</v>
      </c>
      <c r="M447" s="9">
        <f t="shared" si="50"/>
        <v>134.30000000000018</v>
      </c>
      <c r="O447" s="11">
        <f t="shared" si="51"/>
        <v>134.30000000000018</v>
      </c>
      <c r="P447" s="24">
        <f t="shared" si="52"/>
        <v>2.7903594431747392E-2</v>
      </c>
    </row>
    <row r="448" spans="1:16">
      <c r="A448">
        <v>12</v>
      </c>
      <c r="B448" t="s">
        <v>1070</v>
      </c>
      <c r="E448">
        <v>5</v>
      </c>
      <c r="F448" s="75" t="s">
        <v>135</v>
      </c>
      <c r="G448" s="6">
        <v>43230</v>
      </c>
      <c r="H448">
        <v>140</v>
      </c>
      <c r="I448" t="s">
        <v>1071</v>
      </c>
      <c r="K448" s="9">
        <v>2244.6999999999998</v>
      </c>
      <c r="L448" s="1">
        <v>2199.8000000000002</v>
      </c>
      <c r="M448" s="9">
        <f t="shared" si="50"/>
        <v>44.899999999999636</v>
      </c>
      <c r="O448" s="11">
        <f t="shared" si="51"/>
        <v>44.899999999999636</v>
      </c>
      <c r="P448" s="24">
        <f t="shared" si="52"/>
        <v>2.0410946449677114E-2</v>
      </c>
    </row>
    <row r="449" spans="1:16">
      <c r="A449">
        <v>13</v>
      </c>
      <c r="B449" s="4" t="s">
        <v>1072</v>
      </c>
      <c r="E449">
        <v>25</v>
      </c>
      <c r="F449" t="s">
        <v>508</v>
      </c>
      <c r="G449" s="6">
        <v>43230</v>
      </c>
      <c r="H449">
        <v>160</v>
      </c>
      <c r="I449" t="s">
        <v>890</v>
      </c>
      <c r="J449" t="s">
        <v>644</v>
      </c>
      <c r="K449" s="9">
        <v>26710</v>
      </c>
      <c r="L449" s="1">
        <v>24497.75</v>
      </c>
      <c r="M449" s="9">
        <f t="shared" si="50"/>
        <v>2212.25</v>
      </c>
      <c r="O449" s="11">
        <f t="shared" si="51"/>
        <v>2212.25</v>
      </c>
      <c r="P449" s="24">
        <f t="shared" si="52"/>
        <v>9.0304211611270446E-2</v>
      </c>
    </row>
    <row r="450" spans="1:16">
      <c r="A450">
        <v>14</v>
      </c>
      <c r="B450" t="s">
        <v>1073</v>
      </c>
      <c r="E450">
        <v>36</v>
      </c>
      <c r="F450" t="s">
        <v>135</v>
      </c>
      <c r="G450" s="6">
        <v>43230</v>
      </c>
      <c r="H450">
        <v>120</v>
      </c>
      <c r="I450" t="s">
        <v>1074</v>
      </c>
      <c r="J450" t="s">
        <v>644</v>
      </c>
      <c r="K450" s="9">
        <v>1385.64</v>
      </c>
      <c r="L450" s="1">
        <v>1320</v>
      </c>
      <c r="M450" s="9">
        <f t="shared" si="50"/>
        <v>65.6400000000001</v>
      </c>
      <c r="O450" s="11">
        <f t="shared" si="51"/>
        <v>65.6400000000001</v>
      </c>
      <c r="P450" s="24">
        <f t="shared" si="52"/>
        <v>4.9727272727272842E-2</v>
      </c>
    </row>
    <row r="451" spans="1:16">
      <c r="A451">
        <v>15</v>
      </c>
      <c r="B451" t="s">
        <v>1075</v>
      </c>
      <c r="E451">
        <v>34</v>
      </c>
      <c r="F451" t="s">
        <v>508</v>
      </c>
      <c r="G451" s="6">
        <v>43231</v>
      </c>
      <c r="H451">
        <v>160</v>
      </c>
      <c r="I451" t="s">
        <v>1076</v>
      </c>
      <c r="J451" t="s">
        <v>644</v>
      </c>
      <c r="K451" s="9">
        <v>29226.400000000001</v>
      </c>
      <c r="L451" s="1">
        <v>28496.42</v>
      </c>
      <c r="M451" s="9">
        <f t="shared" si="50"/>
        <v>729.9800000000032</v>
      </c>
      <c r="O451" s="11">
        <f t="shared" si="51"/>
        <v>729.9800000000032</v>
      </c>
      <c r="P451" s="24">
        <f t="shared" si="52"/>
        <v>2.5616551131686149E-2</v>
      </c>
    </row>
    <row r="452" spans="1:16">
      <c r="A452">
        <v>16</v>
      </c>
      <c r="B452" t="s">
        <v>1077</v>
      </c>
      <c r="E452">
        <v>124</v>
      </c>
      <c r="F452" t="s">
        <v>532</v>
      </c>
      <c r="G452" s="6">
        <v>43234</v>
      </c>
      <c r="H452">
        <v>140</v>
      </c>
      <c r="I452" t="s">
        <v>1078</v>
      </c>
      <c r="J452" t="s">
        <v>644</v>
      </c>
      <c r="K452" s="9">
        <v>1943.08</v>
      </c>
      <c r="L452" s="1">
        <v>1807.92</v>
      </c>
      <c r="M452" s="9">
        <f t="shared" si="50"/>
        <v>135.15999999999985</v>
      </c>
      <c r="O452" s="11">
        <f t="shared" si="51"/>
        <v>135.15999999999985</v>
      </c>
      <c r="P452" s="24">
        <f t="shared" si="52"/>
        <v>7.4759945130315364E-2</v>
      </c>
    </row>
    <row r="453" spans="1:16">
      <c r="A453">
        <v>17</v>
      </c>
      <c r="B453" t="s">
        <v>1079</v>
      </c>
      <c r="E453">
        <v>1</v>
      </c>
      <c r="F453" t="s">
        <v>880</v>
      </c>
      <c r="G453" s="6">
        <v>43235</v>
      </c>
      <c r="H453">
        <v>70</v>
      </c>
      <c r="I453" t="s">
        <v>1080</v>
      </c>
      <c r="J453" t="s">
        <v>644</v>
      </c>
      <c r="K453" s="9">
        <v>293.39999999999998</v>
      </c>
      <c r="L453" s="1">
        <v>254.55</v>
      </c>
      <c r="M453" s="9">
        <f t="shared" si="50"/>
        <v>38.849999999999966</v>
      </c>
      <c r="O453" s="11">
        <f t="shared" si="51"/>
        <v>38.849999999999966</v>
      </c>
      <c r="P453" s="24">
        <f t="shared" si="52"/>
        <v>0.15262227460223921</v>
      </c>
    </row>
    <row r="454" spans="1:16">
      <c r="A454">
        <v>18</v>
      </c>
      <c r="B454" t="s">
        <v>1081</v>
      </c>
      <c r="E454">
        <v>2</v>
      </c>
      <c r="F454" t="s">
        <v>139</v>
      </c>
      <c r="G454" s="6">
        <v>43236</v>
      </c>
      <c r="H454">
        <v>140</v>
      </c>
      <c r="I454" t="s">
        <v>1082</v>
      </c>
      <c r="J454" t="s">
        <v>644</v>
      </c>
      <c r="K454" s="9">
        <v>1136.76</v>
      </c>
      <c r="L454" s="1">
        <v>1070</v>
      </c>
      <c r="M454" s="9">
        <f t="shared" si="50"/>
        <v>66.759999999999991</v>
      </c>
      <c r="O454" s="11">
        <f t="shared" si="51"/>
        <v>66.759999999999991</v>
      </c>
      <c r="P454" s="24">
        <f t="shared" si="52"/>
        <v>6.2392523364485974E-2</v>
      </c>
    </row>
    <row r="455" spans="1:16">
      <c r="A455">
        <v>19</v>
      </c>
      <c r="B455" t="s">
        <v>1083</v>
      </c>
      <c r="E455">
        <v>4</v>
      </c>
      <c r="F455" t="s">
        <v>1084</v>
      </c>
      <c r="G455" s="6">
        <v>43237</v>
      </c>
      <c r="H455">
        <v>140</v>
      </c>
      <c r="I455" t="s">
        <v>1085</v>
      </c>
      <c r="J455" t="s">
        <v>644</v>
      </c>
      <c r="K455" s="9">
        <v>12110.56</v>
      </c>
      <c r="L455" s="1">
        <v>11950.04</v>
      </c>
      <c r="M455" s="9">
        <f t="shared" si="50"/>
        <v>160.51999999999862</v>
      </c>
      <c r="O455" s="11">
        <f t="shared" si="51"/>
        <v>160.51999999999862</v>
      </c>
      <c r="P455" s="24">
        <f t="shared" si="52"/>
        <v>1.343259102061567E-2</v>
      </c>
    </row>
    <row r="456" spans="1:16">
      <c r="A456">
        <v>20</v>
      </c>
      <c r="B456" t="s">
        <v>1086</v>
      </c>
      <c r="E456">
        <v>6</v>
      </c>
      <c r="F456" t="s">
        <v>139</v>
      </c>
      <c r="G456" s="6">
        <v>43237</v>
      </c>
      <c r="H456">
        <v>140</v>
      </c>
      <c r="I456" t="s">
        <v>1087</v>
      </c>
      <c r="J456" t="s">
        <v>644</v>
      </c>
      <c r="K456" s="9">
        <v>6837.6</v>
      </c>
      <c r="L456" s="1">
        <v>6660</v>
      </c>
      <c r="M456" s="9">
        <f t="shared" si="50"/>
        <v>177.60000000000036</v>
      </c>
      <c r="N456" s="75">
        <f>67.07+39.04</f>
        <v>106.10999999999999</v>
      </c>
      <c r="O456" s="11">
        <f t="shared" si="51"/>
        <v>71.490000000000379</v>
      </c>
      <c r="P456" s="24">
        <f t="shared" si="52"/>
        <v>2.6666666666666616E-2</v>
      </c>
    </row>
    <row r="457" spans="1:16">
      <c r="A457">
        <v>21</v>
      </c>
      <c r="B457" t="s">
        <v>1088</v>
      </c>
      <c r="E457">
        <v>6</v>
      </c>
      <c r="F457" t="s">
        <v>931</v>
      </c>
      <c r="G457" s="6">
        <v>43237</v>
      </c>
      <c r="H457">
        <v>120</v>
      </c>
      <c r="I457" t="s">
        <v>1089</v>
      </c>
      <c r="J457" t="s">
        <v>644</v>
      </c>
      <c r="K457" s="9">
        <v>7658.88</v>
      </c>
      <c r="L457" s="1">
        <v>7512.36</v>
      </c>
      <c r="M457" s="9">
        <f t="shared" si="50"/>
        <v>146.52000000000044</v>
      </c>
      <c r="N457">
        <v>26</v>
      </c>
      <c r="O457" s="11">
        <f t="shared" si="51"/>
        <v>120.52000000000044</v>
      </c>
      <c r="P457" s="24">
        <f t="shared" si="52"/>
        <v>1.9503857642604983E-2</v>
      </c>
    </row>
    <row r="458" spans="1:16">
      <c r="A458">
        <v>22</v>
      </c>
      <c r="B458" t="s">
        <v>1090</v>
      </c>
      <c r="E458">
        <v>23</v>
      </c>
      <c r="F458" t="s">
        <v>1091</v>
      </c>
      <c r="G458" s="6">
        <v>43237</v>
      </c>
      <c r="H458">
        <v>120</v>
      </c>
      <c r="I458" t="s">
        <v>1092</v>
      </c>
      <c r="K458" s="9">
        <v>14553.02</v>
      </c>
      <c r="L458" s="1">
        <v>14283</v>
      </c>
      <c r="M458" s="9">
        <f t="shared" si="50"/>
        <v>270.02000000000044</v>
      </c>
      <c r="O458" s="11">
        <f t="shared" si="51"/>
        <v>270.02000000000044</v>
      </c>
      <c r="P458" s="24">
        <f t="shared" si="52"/>
        <v>1.8904991948470284E-2</v>
      </c>
    </row>
    <row r="459" spans="1:16">
      <c r="A459">
        <v>23</v>
      </c>
      <c r="B459" t="s">
        <v>1093</v>
      </c>
      <c r="E459">
        <v>5</v>
      </c>
      <c r="F459" t="s">
        <v>606</v>
      </c>
      <c r="G459" s="6">
        <v>43241</v>
      </c>
      <c r="I459" t="s">
        <v>1094</v>
      </c>
      <c r="J459" t="s">
        <v>644</v>
      </c>
      <c r="K459" s="9">
        <v>1548</v>
      </c>
      <c r="L459" s="1">
        <v>1515.43</v>
      </c>
      <c r="M459" s="9">
        <f t="shared" si="50"/>
        <v>32.569999999999936</v>
      </c>
      <c r="O459" s="11">
        <f t="shared" si="51"/>
        <v>32.569999999999936</v>
      </c>
      <c r="P459" s="24">
        <f t="shared" si="52"/>
        <v>2.14922497245007E-2</v>
      </c>
    </row>
    <row r="460" spans="1:16">
      <c r="A460">
        <v>24</v>
      </c>
      <c r="B460" t="s">
        <v>1095</v>
      </c>
      <c r="E460">
        <v>12</v>
      </c>
      <c r="F460" s="83" t="s">
        <v>1096</v>
      </c>
      <c r="G460" s="6">
        <v>43241</v>
      </c>
      <c r="I460" t="s">
        <v>1097</v>
      </c>
      <c r="K460" s="1">
        <v>215.28</v>
      </c>
      <c r="L460" s="1">
        <f>12*12</f>
        <v>144</v>
      </c>
      <c r="M460" s="9">
        <f t="shared" si="50"/>
        <v>71.28</v>
      </c>
      <c r="O460" s="11">
        <f t="shared" si="51"/>
        <v>71.28</v>
      </c>
      <c r="P460" s="24">
        <f t="shared" si="52"/>
        <v>0.49500000000000011</v>
      </c>
    </row>
    <row r="461" spans="1:16">
      <c r="A461">
        <v>25</v>
      </c>
      <c r="B461" s="4">
        <v>1</v>
      </c>
      <c r="E461">
        <v>58</v>
      </c>
      <c r="F461" s="83" t="s">
        <v>508</v>
      </c>
      <c r="G461" s="6">
        <v>43243</v>
      </c>
      <c r="H461">
        <v>210</v>
      </c>
      <c r="I461" t="s">
        <v>1098</v>
      </c>
      <c r="J461" t="s">
        <v>644</v>
      </c>
      <c r="K461" s="164">
        <v>11294.92</v>
      </c>
      <c r="L461" s="1">
        <v>10661.56</v>
      </c>
      <c r="M461" s="9">
        <f t="shared" si="50"/>
        <v>633.36000000000058</v>
      </c>
      <c r="O461" s="11">
        <f t="shared" si="51"/>
        <v>633.36000000000058</v>
      </c>
      <c r="P461" s="24">
        <f t="shared" si="52"/>
        <v>5.9405940594059459E-2</v>
      </c>
    </row>
    <row r="462" spans="1:16">
      <c r="A462">
        <v>27</v>
      </c>
      <c r="B462" s="4" t="s">
        <v>1099</v>
      </c>
      <c r="E462">
        <v>20</v>
      </c>
      <c r="F462" s="75" t="s">
        <v>1100</v>
      </c>
      <c r="G462" s="6">
        <v>43244</v>
      </c>
      <c r="H462">
        <v>210</v>
      </c>
      <c r="J462" t="s">
        <v>644</v>
      </c>
      <c r="K462" s="9">
        <v>4072.8</v>
      </c>
      <c r="L462" s="1">
        <v>100</v>
      </c>
      <c r="M462" s="9">
        <f t="shared" si="50"/>
        <v>3972.8</v>
      </c>
      <c r="O462" s="11">
        <f t="shared" si="51"/>
        <v>3972.8</v>
      </c>
      <c r="P462" s="24">
        <f t="shared" si="52"/>
        <v>39.728000000000002</v>
      </c>
    </row>
    <row r="463" spans="1:16">
      <c r="A463">
        <v>28</v>
      </c>
      <c r="B463" t="s">
        <v>1101</v>
      </c>
      <c r="E463">
        <v>5</v>
      </c>
      <c r="F463" t="s">
        <v>129</v>
      </c>
      <c r="G463" s="6">
        <v>43244</v>
      </c>
      <c r="H463">
        <v>160</v>
      </c>
      <c r="I463" t="s">
        <v>1102</v>
      </c>
      <c r="J463" t="s">
        <v>654</v>
      </c>
      <c r="K463" s="9">
        <v>38647.449999999997</v>
      </c>
      <c r="L463" s="1">
        <f>38000+59.03</f>
        <v>38059.03</v>
      </c>
      <c r="M463" s="9">
        <f t="shared" si="50"/>
        <v>588.41999999999825</v>
      </c>
      <c r="N463">
        <f>21.32+21.32+21.32</f>
        <v>63.96</v>
      </c>
      <c r="O463" s="11">
        <f t="shared" si="51"/>
        <v>524.45999999999822</v>
      </c>
      <c r="P463" s="24">
        <f t="shared" si="52"/>
        <v>1.5460719834425651E-2</v>
      </c>
    </row>
    <row r="464" spans="1:16">
      <c r="A464">
        <v>29</v>
      </c>
      <c r="B464" t="s">
        <v>1103</v>
      </c>
      <c r="E464">
        <v>2</v>
      </c>
      <c r="F464" t="s">
        <v>880</v>
      </c>
      <c r="G464" s="6">
        <v>43245</v>
      </c>
      <c r="H464">
        <v>120</v>
      </c>
      <c r="I464" t="s">
        <v>1104</v>
      </c>
      <c r="J464" t="s">
        <v>644</v>
      </c>
      <c r="K464" s="9">
        <v>813.6</v>
      </c>
      <c r="L464" s="1">
        <v>769.2</v>
      </c>
      <c r="M464" s="9">
        <f t="shared" si="50"/>
        <v>44.399999999999977</v>
      </c>
      <c r="O464" s="11">
        <f t="shared" si="51"/>
        <v>44.399999999999977</v>
      </c>
      <c r="P464" s="24">
        <f t="shared" si="52"/>
        <v>5.7722308892355745E-2</v>
      </c>
    </row>
    <row r="465" spans="1:17">
      <c r="A465">
        <v>30</v>
      </c>
      <c r="B465" t="s">
        <v>1105</v>
      </c>
      <c r="E465">
        <v>26</v>
      </c>
      <c r="F465" s="208" t="s">
        <v>532</v>
      </c>
      <c r="G465" s="6">
        <v>43245</v>
      </c>
      <c r="H465">
        <v>180</v>
      </c>
      <c r="I465" t="s">
        <v>1106</v>
      </c>
      <c r="J465" t="s">
        <v>644</v>
      </c>
      <c r="K465" s="9">
        <v>2908.88</v>
      </c>
      <c r="L465" s="1">
        <v>3306.5</v>
      </c>
      <c r="M465" s="9">
        <f t="shared" si="50"/>
        <v>-397.61999999999989</v>
      </c>
      <c r="O465" s="11">
        <f t="shared" si="51"/>
        <v>-397.61999999999989</v>
      </c>
      <c r="P465" s="24">
        <f t="shared" si="52"/>
        <v>-0.12025404506275517</v>
      </c>
    </row>
    <row r="466" spans="1:17">
      <c r="A466">
        <v>31</v>
      </c>
      <c r="B466" t="s">
        <v>1107</v>
      </c>
      <c r="E466">
        <v>1</v>
      </c>
      <c r="F466" t="s">
        <v>606</v>
      </c>
      <c r="G466" s="6">
        <v>43245</v>
      </c>
      <c r="H466">
        <v>120</v>
      </c>
      <c r="I466" t="s">
        <v>1108</v>
      </c>
      <c r="J466" t="s">
        <v>644</v>
      </c>
      <c r="K466" s="9">
        <v>484.96</v>
      </c>
      <c r="L466" s="1">
        <v>445.52</v>
      </c>
      <c r="M466" s="9">
        <f t="shared" si="50"/>
        <v>39.44</v>
      </c>
      <c r="O466" s="11">
        <f t="shared" si="51"/>
        <v>39.44</v>
      </c>
      <c r="P466" s="24">
        <f t="shared" si="52"/>
        <v>8.8525767642305686E-2</v>
      </c>
    </row>
    <row r="467" spans="1:17">
      <c r="A467">
        <v>32</v>
      </c>
      <c r="B467" t="s">
        <v>1109</v>
      </c>
      <c r="E467">
        <v>21</v>
      </c>
      <c r="F467" t="s">
        <v>150</v>
      </c>
      <c r="G467" s="6">
        <v>43249</v>
      </c>
      <c r="H467">
        <v>180</v>
      </c>
      <c r="I467" t="s">
        <v>1110</v>
      </c>
      <c r="J467" t="s">
        <v>644</v>
      </c>
      <c r="K467" s="9">
        <v>14233.8</v>
      </c>
      <c r="L467" s="11">
        <v>14011.2</v>
      </c>
      <c r="M467" s="9">
        <f t="shared" si="50"/>
        <v>222.59999999999854</v>
      </c>
      <c r="N467" s="75">
        <f>27+27+27+32</f>
        <v>113</v>
      </c>
      <c r="O467" s="11">
        <f t="shared" si="51"/>
        <v>109.59999999999854</v>
      </c>
      <c r="P467" s="24">
        <f t="shared" si="52"/>
        <v>1.5887290167865498E-2</v>
      </c>
    </row>
    <row r="468" spans="1:17">
      <c r="A468">
        <v>33</v>
      </c>
      <c r="B468" t="s">
        <v>1111</v>
      </c>
      <c r="E468">
        <v>23</v>
      </c>
      <c r="F468" t="s">
        <v>1112</v>
      </c>
      <c r="G468" s="6">
        <v>43249</v>
      </c>
      <c r="H468">
        <v>130</v>
      </c>
      <c r="I468" t="s">
        <v>1113</v>
      </c>
      <c r="J468" t="s">
        <v>644</v>
      </c>
      <c r="K468" s="9">
        <v>2941.47</v>
      </c>
      <c r="L468" s="11">
        <v>2883.05</v>
      </c>
      <c r="M468" s="9">
        <f t="shared" si="50"/>
        <v>58.419999999999618</v>
      </c>
      <c r="O468" s="11">
        <f t="shared" si="51"/>
        <v>58.419999999999618</v>
      </c>
      <c r="P468" s="24">
        <f t="shared" si="52"/>
        <v>2.0263262863980724E-2</v>
      </c>
    </row>
    <row r="469" spans="1:17">
      <c r="A469">
        <v>34</v>
      </c>
      <c r="B469" t="s">
        <v>1114</v>
      </c>
      <c r="E469">
        <v>50</v>
      </c>
      <c r="F469" t="s">
        <v>1115</v>
      </c>
      <c r="G469" s="6">
        <v>43249</v>
      </c>
      <c r="H469">
        <v>120</v>
      </c>
      <c r="I469" t="s">
        <v>1116</v>
      </c>
      <c r="J469" t="s">
        <v>644</v>
      </c>
      <c r="K469" s="9">
        <v>5173</v>
      </c>
      <c r="L469" s="11">
        <v>4900</v>
      </c>
      <c r="M469" s="9">
        <f t="shared" si="50"/>
        <v>273</v>
      </c>
      <c r="O469" s="11">
        <f t="shared" ref="O469:O494" si="53">M469-N469</f>
        <v>273</v>
      </c>
      <c r="P469" s="24">
        <f t="shared" ref="P469:P500" si="54">(K469/L469)-1</f>
        <v>5.5714285714285605E-2</v>
      </c>
    </row>
    <row r="470" spans="1:17">
      <c r="A470">
        <v>35</v>
      </c>
      <c r="B470" t="s">
        <v>1117</v>
      </c>
      <c r="E470">
        <v>16</v>
      </c>
      <c r="F470" t="s">
        <v>315</v>
      </c>
      <c r="G470" s="6">
        <v>43249</v>
      </c>
      <c r="H470">
        <v>160</v>
      </c>
      <c r="I470" t="s">
        <v>1118</v>
      </c>
      <c r="J470" t="s">
        <v>644</v>
      </c>
      <c r="K470" s="9">
        <v>15594.88</v>
      </c>
      <c r="L470" s="1">
        <v>15466</v>
      </c>
      <c r="M470" s="9">
        <f t="shared" si="50"/>
        <v>128.8799999999992</v>
      </c>
      <c r="O470" s="11">
        <f t="shared" si="53"/>
        <v>128.8799999999992</v>
      </c>
      <c r="P470" s="24">
        <f t="shared" si="54"/>
        <v>8.3331178068020151E-3</v>
      </c>
    </row>
    <row r="471" spans="1:17">
      <c r="A471">
        <v>36</v>
      </c>
      <c r="B471" t="s">
        <v>1119</v>
      </c>
      <c r="E471">
        <v>1</v>
      </c>
      <c r="F471" t="s">
        <v>1120</v>
      </c>
      <c r="G471" s="6">
        <v>43249</v>
      </c>
      <c r="H471">
        <v>120</v>
      </c>
      <c r="I471" t="s">
        <v>1121</v>
      </c>
      <c r="J471" t="s">
        <v>644</v>
      </c>
      <c r="K471" s="9">
        <v>99.94</v>
      </c>
      <c r="L471" s="1">
        <v>69.95</v>
      </c>
      <c r="M471" s="9">
        <f t="shared" si="50"/>
        <v>29.989999999999995</v>
      </c>
      <c r="O471" s="11">
        <f t="shared" si="53"/>
        <v>29.989999999999995</v>
      </c>
      <c r="P471" s="24">
        <f t="shared" si="54"/>
        <v>0.42873481057898499</v>
      </c>
    </row>
    <row r="472" spans="1:17">
      <c r="A472">
        <v>37</v>
      </c>
      <c r="B472" s="4" t="s">
        <v>1122</v>
      </c>
      <c r="E472">
        <v>20</v>
      </c>
      <c r="F472" s="90" t="s">
        <v>532</v>
      </c>
      <c r="G472" s="6">
        <v>43250</v>
      </c>
      <c r="H472">
        <v>150</v>
      </c>
      <c r="I472" t="s">
        <v>1123</v>
      </c>
      <c r="J472" t="s">
        <v>644</v>
      </c>
      <c r="K472" s="9">
        <v>1484.2</v>
      </c>
      <c r="L472" s="1">
        <v>1615.5</v>
      </c>
      <c r="M472" s="9">
        <f t="shared" si="50"/>
        <v>-131.29999999999995</v>
      </c>
      <c r="O472" s="11">
        <f t="shared" si="53"/>
        <v>-131.29999999999995</v>
      </c>
      <c r="P472" s="24">
        <f t="shared" si="54"/>
        <v>-8.1275147013308513E-2</v>
      </c>
      <c r="Q472" s="75" t="s">
        <v>1124</v>
      </c>
    </row>
    <row r="473" spans="1:17">
      <c r="A473">
        <v>38</v>
      </c>
      <c r="B473" t="s">
        <v>1125</v>
      </c>
      <c r="E473">
        <v>7</v>
      </c>
      <c r="F473" t="s">
        <v>129</v>
      </c>
      <c r="G473" s="6">
        <v>43250</v>
      </c>
      <c r="H473">
        <v>140</v>
      </c>
      <c r="I473" t="s">
        <v>1126</v>
      </c>
      <c r="J473" t="s">
        <v>644</v>
      </c>
      <c r="K473" s="9">
        <v>7093.66</v>
      </c>
      <c r="L473" s="1">
        <f>6965+25.11</f>
        <v>6990.11</v>
      </c>
      <c r="M473" s="9">
        <f t="shared" si="50"/>
        <v>103.55000000000018</v>
      </c>
      <c r="N473">
        <v>29.76</v>
      </c>
      <c r="O473" s="11">
        <f t="shared" si="53"/>
        <v>73.790000000000177</v>
      </c>
      <c r="P473" s="24">
        <f t="shared" si="54"/>
        <v>1.4813786907502235E-2</v>
      </c>
    </row>
    <row r="474" spans="1:17">
      <c r="A474">
        <v>39</v>
      </c>
      <c r="B474" t="s">
        <v>1127</v>
      </c>
      <c r="E474">
        <v>48</v>
      </c>
      <c r="F474" t="s">
        <v>946</v>
      </c>
      <c r="G474" s="6">
        <v>43250</v>
      </c>
      <c r="H474">
        <v>140</v>
      </c>
      <c r="I474" t="s">
        <v>1128</v>
      </c>
      <c r="J474" t="s">
        <v>644</v>
      </c>
      <c r="K474" s="9">
        <v>8375.0400000000009</v>
      </c>
      <c r="L474" s="1">
        <v>7921.31</v>
      </c>
      <c r="M474" s="9">
        <f t="shared" si="50"/>
        <v>453.73000000000047</v>
      </c>
      <c r="O474" s="11">
        <f t="shared" si="53"/>
        <v>453.73000000000047</v>
      </c>
      <c r="P474" s="24">
        <f t="shared" si="54"/>
        <v>5.7279667125765821E-2</v>
      </c>
    </row>
    <row r="475" spans="1:17">
      <c r="A475">
        <v>40</v>
      </c>
      <c r="B475" t="s">
        <v>1129</v>
      </c>
      <c r="E475">
        <v>6</v>
      </c>
      <c r="F475" t="s">
        <v>880</v>
      </c>
      <c r="G475" s="6">
        <v>43251</v>
      </c>
      <c r="H475">
        <v>140</v>
      </c>
      <c r="I475" t="s">
        <v>1130</v>
      </c>
      <c r="J475" t="s">
        <v>644</v>
      </c>
      <c r="K475" s="9">
        <v>2419.08</v>
      </c>
      <c r="L475" s="1">
        <v>2370</v>
      </c>
      <c r="M475" s="9">
        <f t="shared" si="50"/>
        <v>49.079999999999927</v>
      </c>
      <c r="O475" s="11">
        <f t="shared" si="53"/>
        <v>49.079999999999927</v>
      </c>
      <c r="P475" s="24">
        <f t="shared" si="54"/>
        <v>2.070886075949363E-2</v>
      </c>
    </row>
    <row r="476" spans="1:17">
      <c r="A476">
        <v>41</v>
      </c>
      <c r="B476" t="s">
        <v>1131</v>
      </c>
      <c r="E476">
        <v>8</v>
      </c>
      <c r="F476" t="s">
        <v>814</v>
      </c>
      <c r="G476" s="6">
        <v>43251</v>
      </c>
      <c r="H476">
        <v>120</v>
      </c>
      <c r="I476" t="s">
        <v>1132</v>
      </c>
      <c r="J476" t="s">
        <v>644</v>
      </c>
      <c r="K476" s="9">
        <v>4305.92</v>
      </c>
      <c r="L476" s="1">
        <v>4232.16</v>
      </c>
      <c r="M476" s="9">
        <f t="shared" si="50"/>
        <v>73.760000000000218</v>
      </c>
      <c r="N476" s="75">
        <f>37.09+37.09</f>
        <v>74.180000000000007</v>
      </c>
      <c r="O476" s="154">
        <f t="shared" si="53"/>
        <v>-0.41999999999978854</v>
      </c>
      <c r="P476" s="24">
        <f t="shared" si="54"/>
        <v>1.7428452610487311E-2</v>
      </c>
    </row>
    <row r="477" spans="1:17">
      <c r="A477">
        <v>42</v>
      </c>
      <c r="B477" t="s">
        <v>1133</v>
      </c>
      <c r="E477">
        <v>49</v>
      </c>
      <c r="F477" s="208" t="s">
        <v>1120</v>
      </c>
      <c r="G477" s="6">
        <v>43251</v>
      </c>
      <c r="H477">
        <v>60</v>
      </c>
      <c r="I477" t="s">
        <v>1134</v>
      </c>
      <c r="J477" t="s">
        <v>644</v>
      </c>
      <c r="K477" s="9">
        <v>1972.74</v>
      </c>
      <c r="L477" s="1">
        <v>1897.5</v>
      </c>
      <c r="M477" s="9">
        <f t="shared" si="50"/>
        <v>75.240000000000009</v>
      </c>
      <c r="O477" s="11">
        <f t="shared" si="53"/>
        <v>75.240000000000009</v>
      </c>
      <c r="P477" s="24">
        <f t="shared" si="54"/>
        <v>3.9652173913043542E-2</v>
      </c>
    </row>
    <row r="478" spans="1:17">
      <c r="A478">
        <v>43</v>
      </c>
      <c r="B478" t="s">
        <v>1135</v>
      </c>
      <c r="E478">
        <v>1</v>
      </c>
      <c r="F478" t="s">
        <v>814</v>
      </c>
      <c r="G478" s="6">
        <v>43251</v>
      </c>
      <c r="H478">
        <v>120</v>
      </c>
      <c r="I478" t="s">
        <v>1136</v>
      </c>
      <c r="J478" t="s">
        <v>644</v>
      </c>
      <c r="K478" s="9">
        <v>2259.62</v>
      </c>
      <c r="L478" s="1">
        <v>2173.8200000000002</v>
      </c>
      <c r="M478" s="9">
        <f t="shared" si="50"/>
        <v>85.799999999999727</v>
      </c>
      <c r="N478">
        <v>35.75</v>
      </c>
      <c r="O478" s="11">
        <f t="shared" si="53"/>
        <v>50.049999999999727</v>
      </c>
      <c r="P478" s="24">
        <f t="shared" si="54"/>
        <v>3.9469689302702005E-2</v>
      </c>
    </row>
    <row r="479" spans="1:17">
      <c r="K479" s="64">
        <f>SUM(K437:K478)</f>
        <v>263460.47000000003</v>
      </c>
      <c r="L479" s="26">
        <f>SUM(L437:L478)</f>
        <v>252064.96</v>
      </c>
      <c r="M479" s="64">
        <f t="shared" si="50"/>
        <v>11395.510000000038</v>
      </c>
      <c r="O479" s="11">
        <f t="shared" si="53"/>
        <v>11395.510000000038</v>
      </c>
      <c r="P479" s="129">
        <f t="shared" si="54"/>
        <v>4.5208623999146935E-2</v>
      </c>
    </row>
    <row r="480" spans="1:17">
      <c r="O480" s="11">
        <f t="shared" si="53"/>
        <v>0</v>
      </c>
      <c r="P480" s="24" t="e">
        <f t="shared" si="54"/>
        <v>#DIV/0!</v>
      </c>
    </row>
    <row r="481" spans="1:16">
      <c r="A481">
        <v>1</v>
      </c>
      <c r="B481" s="4" t="s">
        <v>1137</v>
      </c>
      <c r="E481">
        <v>59</v>
      </c>
      <c r="F481" t="s">
        <v>532</v>
      </c>
      <c r="G481" s="6">
        <v>43252</v>
      </c>
      <c r="H481">
        <v>150</v>
      </c>
      <c r="I481" t="s">
        <v>1138</v>
      </c>
      <c r="J481" t="s">
        <v>644</v>
      </c>
      <c r="K481" s="9">
        <v>6409.76</v>
      </c>
      <c r="L481" s="1">
        <v>6335.42</v>
      </c>
      <c r="M481" s="9">
        <f t="shared" ref="M481:M512" si="55">K481-L481</f>
        <v>74.340000000000146</v>
      </c>
      <c r="N481">
        <v>11.86</v>
      </c>
      <c r="O481" s="11">
        <f t="shared" si="53"/>
        <v>62.480000000000146</v>
      </c>
      <c r="P481" s="24">
        <f t="shared" si="54"/>
        <v>1.1734028683181297E-2</v>
      </c>
    </row>
    <row r="482" spans="1:16">
      <c r="A482">
        <v>2</v>
      </c>
      <c r="B482" t="s">
        <v>1139</v>
      </c>
      <c r="F482" s="75" t="s">
        <v>1007</v>
      </c>
      <c r="G482" s="6">
        <v>43252</v>
      </c>
      <c r="K482" s="9">
        <v>0</v>
      </c>
      <c r="L482" s="1">
        <v>0</v>
      </c>
      <c r="M482" s="9">
        <f t="shared" si="55"/>
        <v>0</v>
      </c>
      <c r="O482" s="11">
        <f t="shared" si="53"/>
        <v>0</v>
      </c>
      <c r="P482" s="24" t="e">
        <f t="shared" si="54"/>
        <v>#DIV/0!</v>
      </c>
    </row>
    <row r="483" spans="1:16">
      <c r="A483">
        <v>3</v>
      </c>
      <c r="B483" t="s">
        <v>1140</v>
      </c>
      <c r="E483">
        <v>106</v>
      </c>
      <c r="F483" t="s">
        <v>1141</v>
      </c>
      <c r="G483" s="6">
        <v>43255</v>
      </c>
      <c r="H483">
        <v>160</v>
      </c>
      <c r="I483" t="s">
        <v>1142</v>
      </c>
      <c r="J483" t="s">
        <v>644</v>
      </c>
      <c r="K483" s="9">
        <v>23359.22</v>
      </c>
      <c r="L483" s="1">
        <v>23199.16</v>
      </c>
      <c r="M483" s="9">
        <f t="shared" si="55"/>
        <v>160.06000000000131</v>
      </c>
      <c r="O483" s="11">
        <f t="shared" si="53"/>
        <v>160.06000000000131</v>
      </c>
      <c r="P483" s="24">
        <f t="shared" si="54"/>
        <v>6.8993877364524892E-3</v>
      </c>
    </row>
    <row r="484" spans="1:16">
      <c r="A484">
        <v>4</v>
      </c>
      <c r="B484" s="4" t="s">
        <v>1143</v>
      </c>
      <c r="E484">
        <v>1</v>
      </c>
      <c r="F484" t="s">
        <v>1144</v>
      </c>
      <c r="G484" s="6">
        <v>43256</v>
      </c>
      <c r="H484">
        <v>260</v>
      </c>
      <c r="I484" t="s">
        <v>1145</v>
      </c>
      <c r="J484" t="s">
        <v>644</v>
      </c>
      <c r="K484" s="9">
        <v>16897.46</v>
      </c>
      <c r="L484" s="1">
        <v>16136</v>
      </c>
      <c r="M484" s="9">
        <f t="shared" si="55"/>
        <v>761.45999999999913</v>
      </c>
      <c r="O484" s="11">
        <f t="shared" si="53"/>
        <v>761.45999999999913</v>
      </c>
      <c r="P484" s="24">
        <f t="shared" si="54"/>
        <v>4.7190133862171413E-2</v>
      </c>
    </row>
    <row r="485" spans="1:16">
      <c r="A485">
        <v>5</v>
      </c>
      <c r="B485" t="s">
        <v>1146</v>
      </c>
      <c r="E485">
        <v>12</v>
      </c>
      <c r="F485" t="s">
        <v>814</v>
      </c>
      <c r="G485" s="6">
        <v>43256</v>
      </c>
      <c r="H485">
        <v>120</v>
      </c>
      <c r="I485" t="s">
        <v>1147</v>
      </c>
      <c r="J485" t="s">
        <v>644</v>
      </c>
      <c r="K485" s="9">
        <v>2592</v>
      </c>
      <c r="L485" s="1">
        <v>2504</v>
      </c>
      <c r="M485" s="9">
        <f t="shared" si="55"/>
        <v>88</v>
      </c>
      <c r="O485" s="11">
        <f t="shared" si="53"/>
        <v>88</v>
      </c>
      <c r="P485" s="24">
        <f t="shared" si="54"/>
        <v>3.514376996805102E-2</v>
      </c>
    </row>
    <row r="486" spans="1:16">
      <c r="A486">
        <v>6</v>
      </c>
      <c r="B486" t="s">
        <v>1148</v>
      </c>
      <c r="E486">
        <v>34</v>
      </c>
      <c r="F486" s="208" t="s">
        <v>135</v>
      </c>
      <c r="G486" s="6">
        <v>43256</v>
      </c>
      <c r="H486">
        <v>140</v>
      </c>
      <c r="I486" t="s">
        <v>1149</v>
      </c>
      <c r="J486" t="s">
        <v>644</v>
      </c>
      <c r="K486" s="9">
        <v>4240.4799999999996</v>
      </c>
      <c r="L486" s="1">
        <v>4078.3</v>
      </c>
      <c r="M486" s="9">
        <f t="shared" si="55"/>
        <v>162.17999999999938</v>
      </c>
      <c r="O486" s="11">
        <f t="shared" si="53"/>
        <v>162.17999999999938</v>
      </c>
      <c r="P486" s="24">
        <f t="shared" si="54"/>
        <v>3.9766569403918206E-2</v>
      </c>
    </row>
    <row r="487" spans="1:16">
      <c r="A487">
        <v>7</v>
      </c>
      <c r="B487" t="s">
        <v>1150</v>
      </c>
      <c r="E487">
        <v>14</v>
      </c>
      <c r="F487" t="s">
        <v>872</v>
      </c>
      <c r="G487" s="6">
        <v>43257</v>
      </c>
      <c r="H487">
        <v>140</v>
      </c>
      <c r="I487" t="s">
        <v>1151</v>
      </c>
      <c r="J487" t="s">
        <v>644</v>
      </c>
      <c r="K487" s="9">
        <v>2159.92</v>
      </c>
      <c r="L487" s="1">
        <v>2104.1999999999998</v>
      </c>
      <c r="M487" s="9">
        <f t="shared" si="55"/>
        <v>55.720000000000255</v>
      </c>
      <c r="O487" s="11">
        <f t="shared" si="53"/>
        <v>55.720000000000255</v>
      </c>
      <c r="P487" s="24">
        <f t="shared" si="54"/>
        <v>2.6480372588157053E-2</v>
      </c>
    </row>
    <row r="488" spans="1:16">
      <c r="A488">
        <v>8</v>
      </c>
      <c r="B488" t="s">
        <v>1152</v>
      </c>
      <c r="E488">
        <v>2</v>
      </c>
      <c r="F488" s="208" t="s">
        <v>1153</v>
      </c>
      <c r="G488" s="6">
        <v>43257</v>
      </c>
      <c r="H488">
        <v>145</v>
      </c>
      <c r="I488" t="s">
        <v>1154</v>
      </c>
      <c r="J488" t="s">
        <v>644</v>
      </c>
      <c r="K488" s="9">
        <v>1225.68</v>
      </c>
      <c r="L488" s="1">
        <v>1150</v>
      </c>
      <c r="M488" s="9">
        <f t="shared" si="55"/>
        <v>75.680000000000064</v>
      </c>
      <c r="O488" s="11">
        <f t="shared" si="53"/>
        <v>75.680000000000064</v>
      </c>
      <c r="P488" s="24">
        <f t="shared" si="54"/>
        <v>6.5808695652173954E-2</v>
      </c>
    </row>
    <row r="489" spans="1:16">
      <c r="A489">
        <v>9</v>
      </c>
      <c r="B489" t="s">
        <v>1155</v>
      </c>
      <c r="E489">
        <v>7</v>
      </c>
      <c r="F489" t="s">
        <v>135</v>
      </c>
      <c r="G489" s="6">
        <v>43257</v>
      </c>
      <c r="H489">
        <v>140</v>
      </c>
      <c r="I489" t="s">
        <v>1156</v>
      </c>
      <c r="J489" t="s">
        <v>644</v>
      </c>
      <c r="K489" s="9">
        <v>1914.36</v>
      </c>
      <c r="L489" s="148">
        <f>146.12*7</f>
        <v>1022.84</v>
      </c>
      <c r="M489" s="9">
        <f t="shared" si="55"/>
        <v>891.51999999999987</v>
      </c>
      <c r="O489" s="11">
        <f t="shared" si="53"/>
        <v>891.51999999999987</v>
      </c>
      <c r="P489" s="24">
        <f t="shared" si="54"/>
        <v>0.8716123733917327</v>
      </c>
    </row>
    <row r="490" spans="1:16">
      <c r="A490">
        <v>10</v>
      </c>
      <c r="B490" t="s">
        <v>1157</v>
      </c>
      <c r="E490">
        <v>68</v>
      </c>
      <c r="F490" t="s">
        <v>135</v>
      </c>
      <c r="G490" s="6">
        <v>43257</v>
      </c>
      <c r="H490">
        <v>140</v>
      </c>
      <c r="I490" t="s">
        <v>1158</v>
      </c>
      <c r="J490" t="s">
        <v>644</v>
      </c>
      <c r="K490" s="9">
        <v>2800.92</v>
      </c>
      <c r="L490" s="1">
        <f>40.24*68</f>
        <v>2736.32</v>
      </c>
      <c r="M490" s="9">
        <f t="shared" si="55"/>
        <v>64.599999999999909</v>
      </c>
      <c r="O490" s="11">
        <f t="shared" si="53"/>
        <v>64.599999999999909</v>
      </c>
      <c r="P490" s="24">
        <f t="shared" si="54"/>
        <v>2.3608349900596348E-2</v>
      </c>
    </row>
    <row r="491" spans="1:16">
      <c r="A491">
        <v>11</v>
      </c>
      <c r="B491" t="s">
        <v>1159</v>
      </c>
      <c r="E491">
        <v>80</v>
      </c>
      <c r="F491" t="s">
        <v>1160</v>
      </c>
      <c r="G491" s="6">
        <v>43257</v>
      </c>
      <c r="K491" s="9">
        <v>0</v>
      </c>
      <c r="L491" s="1">
        <v>0</v>
      </c>
      <c r="M491" s="9">
        <f t="shared" si="55"/>
        <v>0</v>
      </c>
      <c r="O491" s="11">
        <f t="shared" si="53"/>
        <v>0</v>
      </c>
      <c r="P491" s="24" t="e">
        <f t="shared" si="54"/>
        <v>#DIV/0!</v>
      </c>
    </row>
    <row r="492" spans="1:16">
      <c r="A492">
        <v>12</v>
      </c>
      <c r="B492" t="s">
        <v>1161</v>
      </c>
      <c r="E492">
        <v>90</v>
      </c>
      <c r="F492" s="208" t="s">
        <v>135</v>
      </c>
      <c r="G492" s="6">
        <v>43257</v>
      </c>
      <c r="H492">
        <v>140</v>
      </c>
      <c r="I492" t="s">
        <v>1162</v>
      </c>
      <c r="J492" t="s">
        <v>644</v>
      </c>
      <c r="K492" s="9">
        <v>3808.8</v>
      </c>
      <c r="L492" s="1">
        <v>3796</v>
      </c>
      <c r="M492" s="9">
        <f t="shared" si="55"/>
        <v>12.800000000000182</v>
      </c>
      <c r="O492" s="11">
        <f t="shared" si="53"/>
        <v>12.800000000000182</v>
      </c>
      <c r="P492" s="24">
        <f t="shared" si="54"/>
        <v>3.3719704952581697E-3</v>
      </c>
    </row>
    <row r="493" spans="1:16">
      <c r="A493">
        <v>13</v>
      </c>
      <c r="B493" t="s">
        <v>1163</v>
      </c>
      <c r="E493">
        <v>20</v>
      </c>
      <c r="F493" t="s">
        <v>1164</v>
      </c>
      <c r="G493" s="6">
        <v>43258</v>
      </c>
      <c r="H493">
        <v>140</v>
      </c>
      <c r="I493" t="s">
        <v>1165</v>
      </c>
      <c r="J493" t="s">
        <v>644</v>
      </c>
      <c r="K493" s="9">
        <v>7448</v>
      </c>
      <c r="L493" s="1">
        <v>7336</v>
      </c>
      <c r="M493" s="9">
        <f t="shared" si="55"/>
        <v>112</v>
      </c>
      <c r="O493" s="11">
        <f t="shared" si="53"/>
        <v>112</v>
      </c>
      <c r="P493" s="24">
        <f t="shared" si="54"/>
        <v>1.5267175572519109E-2</v>
      </c>
    </row>
    <row r="494" spans="1:16">
      <c r="A494">
        <v>14</v>
      </c>
      <c r="B494" t="s">
        <v>1166</v>
      </c>
      <c r="E494">
        <v>90</v>
      </c>
      <c r="F494" t="s">
        <v>1167</v>
      </c>
      <c r="G494" s="6">
        <v>43258</v>
      </c>
      <c r="H494">
        <v>240</v>
      </c>
      <c r="K494" s="9">
        <v>0</v>
      </c>
      <c r="L494" s="1">
        <v>0</v>
      </c>
      <c r="M494" s="9">
        <f t="shared" si="55"/>
        <v>0</v>
      </c>
      <c r="O494" s="11">
        <f t="shared" si="53"/>
        <v>0</v>
      </c>
      <c r="P494" s="24" t="e">
        <f t="shared" si="54"/>
        <v>#DIV/0!</v>
      </c>
    </row>
    <row r="495" spans="1:16">
      <c r="A495">
        <v>15</v>
      </c>
      <c r="B495" t="s">
        <v>1168</v>
      </c>
      <c r="E495">
        <v>1</v>
      </c>
      <c r="F495" t="s">
        <v>1169</v>
      </c>
      <c r="G495" s="6">
        <v>43258</v>
      </c>
      <c r="H495">
        <v>120</v>
      </c>
      <c r="I495" t="s">
        <v>1170</v>
      </c>
      <c r="J495" t="s">
        <v>644</v>
      </c>
      <c r="K495" s="9">
        <v>447.8</v>
      </c>
      <c r="L495" s="1">
        <v>405.9</v>
      </c>
      <c r="M495" s="9">
        <f t="shared" si="55"/>
        <v>41.900000000000034</v>
      </c>
      <c r="P495" s="24">
        <f t="shared" si="54"/>
        <v>0.10322739591032293</v>
      </c>
    </row>
    <row r="496" spans="1:16">
      <c r="A496">
        <v>16</v>
      </c>
      <c r="B496" t="s">
        <v>1171</v>
      </c>
      <c r="E496">
        <v>18</v>
      </c>
      <c r="F496" t="s">
        <v>129</v>
      </c>
      <c r="G496" s="6">
        <v>43259</v>
      </c>
      <c r="H496">
        <v>130</v>
      </c>
      <c r="I496" t="s">
        <v>1172</v>
      </c>
      <c r="J496" t="s">
        <v>644</v>
      </c>
      <c r="K496" s="9">
        <v>16642.439999999999</v>
      </c>
      <c r="L496" s="1">
        <f>16380+25.18</f>
        <v>16405.18</v>
      </c>
      <c r="M496" s="9">
        <f t="shared" si="55"/>
        <v>237.2599999999984</v>
      </c>
      <c r="N496">
        <v>30.09</v>
      </c>
      <c r="P496" s="24">
        <f t="shared" si="54"/>
        <v>1.4462505135572901E-2</v>
      </c>
    </row>
    <row r="497" spans="1:16">
      <c r="A497">
        <v>17</v>
      </c>
      <c r="B497" t="s">
        <v>1173</v>
      </c>
      <c r="E497">
        <v>12</v>
      </c>
      <c r="F497" t="s">
        <v>135</v>
      </c>
      <c r="G497" s="6">
        <v>43259</v>
      </c>
      <c r="H497">
        <v>150</v>
      </c>
      <c r="I497" t="s">
        <v>1174</v>
      </c>
      <c r="J497" t="s">
        <v>644</v>
      </c>
      <c r="K497" s="9">
        <v>4427.04</v>
      </c>
      <c r="L497" s="1">
        <v>4399.4399999999996</v>
      </c>
      <c r="M497" s="9">
        <f t="shared" si="55"/>
        <v>27.600000000000364</v>
      </c>
      <c r="P497" s="24">
        <f t="shared" si="54"/>
        <v>6.273525721455453E-3</v>
      </c>
    </row>
    <row r="498" spans="1:16">
      <c r="A498">
        <v>18</v>
      </c>
      <c r="B498" t="s">
        <v>1175</v>
      </c>
      <c r="E498">
        <v>11</v>
      </c>
      <c r="F498" t="s">
        <v>1144</v>
      </c>
      <c r="G498" s="6">
        <v>43262</v>
      </c>
      <c r="H498">
        <v>280</v>
      </c>
      <c r="I498" t="s">
        <v>1176</v>
      </c>
      <c r="K498" s="9">
        <v>0</v>
      </c>
      <c r="L498" s="1">
        <v>0</v>
      </c>
      <c r="M498" s="9">
        <f t="shared" si="55"/>
        <v>0</v>
      </c>
      <c r="P498" s="24" t="e">
        <f t="shared" si="54"/>
        <v>#DIV/0!</v>
      </c>
    </row>
    <row r="499" spans="1:16">
      <c r="A499">
        <v>19</v>
      </c>
      <c r="B499" s="4" t="s">
        <v>1177</v>
      </c>
      <c r="E499">
        <v>5</v>
      </c>
      <c r="F499" t="s">
        <v>1144</v>
      </c>
      <c r="G499" s="6">
        <v>43262</v>
      </c>
      <c r="H499">
        <v>280</v>
      </c>
      <c r="I499" t="s">
        <v>1178</v>
      </c>
      <c r="J499" t="s">
        <v>644</v>
      </c>
      <c r="K499" s="9">
        <v>79973.5</v>
      </c>
      <c r="L499" s="1">
        <f>15623*5</f>
        <v>78115</v>
      </c>
      <c r="M499" s="9">
        <f t="shared" si="55"/>
        <v>1858.5</v>
      </c>
      <c r="P499" s="24">
        <f t="shared" si="54"/>
        <v>2.3791845356205599E-2</v>
      </c>
    </row>
    <row r="500" spans="1:16">
      <c r="A500">
        <v>20</v>
      </c>
      <c r="B500" t="s">
        <v>1179</v>
      </c>
      <c r="E500">
        <v>114</v>
      </c>
      <c r="F500" t="s">
        <v>694</v>
      </c>
      <c r="G500" s="6">
        <v>43262</v>
      </c>
      <c r="H500">
        <v>200</v>
      </c>
      <c r="I500" t="s">
        <v>1180</v>
      </c>
      <c r="J500" t="s">
        <v>644</v>
      </c>
      <c r="K500" s="9">
        <v>26436.6</v>
      </c>
      <c r="L500" s="1">
        <v>25997.7</v>
      </c>
      <c r="M500" s="9">
        <f t="shared" si="55"/>
        <v>438.89999999999782</v>
      </c>
      <c r="P500" s="24">
        <f t="shared" si="54"/>
        <v>1.6882262661696901E-2</v>
      </c>
    </row>
    <row r="501" spans="1:16">
      <c r="A501">
        <v>21</v>
      </c>
      <c r="B501" t="s">
        <v>1181</v>
      </c>
      <c r="E501">
        <v>16</v>
      </c>
      <c r="F501" t="s">
        <v>129</v>
      </c>
      <c r="G501" s="6">
        <v>43263</v>
      </c>
      <c r="H501">
        <v>100</v>
      </c>
      <c r="I501" t="s">
        <v>1182</v>
      </c>
      <c r="J501" t="s">
        <v>644</v>
      </c>
      <c r="K501" s="9">
        <v>9737.1200000000008</v>
      </c>
      <c r="L501" s="1">
        <f>9520+41.21</f>
        <v>9561.2099999999991</v>
      </c>
      <c r="M501" s="9">
        <f t="shared" si="55"/>
        <v>175.91000000000167</v>
      </c>
      <c r="N501">
        <v>46.44</v>
      </c>
      <c r="P501" s="24">
        <f t="shared" ref="P501:P532" si="56">(K501/L501)-1</f>
        <v>1.8398298960069059E-2</v>
      </c>
    </row>
    <row r="502" spans="1:16">
      <c r="A502">
        <v>22</v>
      </c>
      <c r="B502" t="s">
        <v>1183</v>
      </c>
      <c r="E502">
        <v>70</v>
      </c>
      <c r="F502" t="s">
        <v>840</v>
      </c>
      <c r="G502" s="6">
        <v>43264</v>
      </c>
      <c r="H502">
        <v>140</v>
      </c>
      <c r="I502" t="s">
        <v>1184</v>
      </c>
      <c r="J502" t="s">
        <v>644</v>
      </c>
      <c r="K502" s="9">
        <v>18461.8</v>
      </c>
      <c r="L502" s="1">
        <v>18137.7</v>
      </c>
      <c r="M502" s="9">
        <f t="shared" si="55"/>
        <v>324.09999999999854</v>
      </c>
      <c r="N502">
        <v>46.16</v>
      </c>
      <c r="P502" s="24">
        <f t="shared" si="56"/>
        <v>1.7868858785843766E-2</v>
      </c>
    </row>
    <row r="503" spans="1:16">
      <c r="A503">
        <v>23</v>
      </c>
      <c r="B503" t="s">
        <v>1185</v>
      </c>
      <c r="E503">
        <v>5</v>
      </c>
      <c r="F503" t="s">
        <v>129</v>
      </c>
      <c r="G503" s="6">
        <v>43264</v>
      </c>
      <c r="H503">
        <v>120</v>
      </c>
      <c r="I503" t="s">
        <v>1186</v>
      </c>
      <c r="J503" t="s">
        <v>644</v>
      </c>
      <c r="K503" s="9">
        <v>2618.1</v>
      </c>
      <c r="L503" s="1">
        <f>2535+20.25</f>
        <v>2555.25</v>
      </c>
      <c r="M503" s="9">
        <f t="shared" si="55"/>
        <v>62.849999999999909</v>
      </c>
      <c r="N503">
        <v>21.32</v>
      </c>
      <c r="P503" s="24">
        <f t="shared" si="56"/>
        <v>2.4596419137070669E-2</v>
      </c>
    </row>
    <row r="504" spans="1:16">
      <c r="A504">
        <v>24</v>
      </c>
      <c r="B504" t="s">
        <v>1015</v>
      </c>
      <c r="E504">
        <v>8</v>
      </c>
      <c r="F504" s="209" t="s">
        <v>1187</v>
      </c>
      <c r="G504" s="6">
        <v>43266</v>
      </c>
      <c r="H504">
        <v>130</v>
      </c>
      <c r="I504" s="75" t="s">
        <v>1017</v>
      </c>
      <c r="J504" t="s">
        <v>644</v>
      </c>
      <c r="K504" s="9">
        <v>33825.279999999999</v>
      </c>
      <c r="L504" s="1">
        <v>29022.6</v>
      </c>
      <c r="M504" s="9">
        <f t="shared" si="55"/>
        <v>4802.68</v>
      </c>
      <c r="P504" s="24">
        <f t="shared" si="56"/>
        <v>0.16548069435543344</v>
      </c>
    </row>
    <row r="505" spans="1:16">
      <c r="A505">
        <v>25</v>
      </c>
      <c r="B505" t="s">
        <v>1188</v>
      </c>
      <c r="E505">
        <v>11</v>
      </c>
      <c r="F505" t="s">
        <v>257</v>
      </c>
      <c r="G505" s="6">
        <v>43266</v>
      </c>
      <c r="H505">
        <v>60</v>
      </c>
      <c r="I505" t="s">
        <v>1189</v>
      </c>
      <c r="J505" t="s">
        <v>644</v>
      </c>
      <c r="K505" s="9">
        <v>152.79</v>
      </c>
      <c r="L505" s="1">
        <v>110</v>
      </c>
      <c r="M505" s="9">
        <f t="shared" si="55"/>
        <v>42.789999999999992</v>
      </c>
      <c r="P505" s="24">
        <f t="shared" si="56"/>
        <v>0.38900000000000001</v>
      </c>
    </row>
    <row r="506" spans="1:16">
      <c r="A506">
        <v>26</v>
      </c>
      <c r="B506" t="s">
        <v>1190</v>
      </c>
      <c r="E506">
        <v>1</v>
      </c>
      <c r="F506" t="s">
        <v>1191</v>
      </c>
      <c r="G506" s="6">
        <v>43269</v>
      </c>
      <c r="H506">
        <v>120</v>
      </c>
      <c r="I506" t="s">
        <v>1192</v>
      </c>
      <c r="J506" t="s">
        <v>644</v>
      </c>
      <c r="K506" s="9">
        <v>1372.8</v>
      </c>
      <c r="L506" s="1">
        <f>1316+38.97</f>
        <v>1354.97</v>
      </c>
      <c r="M506" s="9">
        <f t="shared" si="55"/>
        <v>17.829999999999927</v>
      </c>
      <c r="N506">
        <v>40</v>
      </c>
      <c r="P506" s="24">
        <f t="shared" si="56"/>
        <v>1.3158962929068485E-2</v>
      </c>
    </row>
    <row r="507" spans="1:16">
      <c r="A507">
        <v>27</v>
      </c>
      <c r="B507" t="s">
        <v>1193</v>
      </c>
      <c r="E507">
        <v>24</v>
      </c>
      <c r="F507" t="s">
        <v>606</v>
      </c>
      <c r="G507" s="6">
        <v>43269</v>
      </c>
      <c r="H507">
        <v>140</v>
      </c>
      <c r="I507" t="s">
        <v>1194</v>
      </c>
      <c r="K507" s="9">
        <v>10673.28</v>
      </c>
      <c r="L507" s="1">
        <v>10488.32</v>
      </c>
      <c r="M507" s="9">
        <f t="shared" si="55"/>
        <v>184.96000000000095</v>
      </c>
      <c r="P507" s="24">
        <f t="shared" si="56"/>
        <v>1.7634854771784392E-2</v>
      </c>
    </row>
    <row r="508" spans="1:16">
      <c r="A508">
        <v>28</v>
      </c>
      <c r="B508" t="s">
        <v>1195</v>
      </c>
      <c r="E508">
        <v>42</v>
      </c>
      <c r="F508" t="s">
        <v>135</v>
      </c>
      <c r="G508" s="6">
        <v>43269</v>
      </c>
      <c r="H508">
        <v>140</v>
      </c>
      <c r="I508" t="s">
        <v>1196</v>
      </c>
      <c r="J508" t="s">
        <v>644</v>
      </c>
      <c r="K508" s="9">
        <v>7504.98</v>
      </c>
      <c r="L508" s="1">
        <v>7378</v>
      </c>
      <c r="M508" s="9">
        <f t="shared" si="55"/>
        <v>126.97999999999956</v>
      </c>
      <c r="P508" s="24">
        <f t="shared" si="56"/>
        <v>1.7210626185958144E-2</v>
      </c>
    </row>
    <row r="509" spans="1:16">
      <c r="A509">
        <v>29</v>
      </c>
      <c r="B509" s="4" t="s">
        <v>1197</v>
      </c>
      <c r="E509">
        <v>2</v>
      </c>
      <c r="F509" t="s">
        <v>308</v>
      </c>
      <c r="G509" s="6">
        <v>43269</v>
      </c>
      <c r="H509">
        <v>240</v>
      </c>
      <c r="I509" t="s">
        <v>1198</v>
      </c>
      <c r="K509" s="9">
        <v>13768</v>
      </c>
      <c r="L509" s="1">
        <v>13060</v>
      </c>
      <c r="M509" s="9">
        <f t="shared" si="55"/>
        <v>708</v>
      </c>
      <c r="P509" s="24">
        <f t="shared" si="56"/>
        <v>5.421133231240427E-2</v>
      </c>
    </row>
    <row r="510" spans="1:16">
      <c r="A510">
        <v>30</v>
      </c>
      <c r="B510" t="s">
        <v>1199</v>
      </c>
      <c r="E510">
        <v>9</v>
      </c>
      <c r="F510" s="75" t="s">
        <v>1191</v>
      </c>
      <c r="G510" s="6">
        <v>43270</v>
      </c>
      <c r="H510">
        <v>140</v>
      </c>
      <c r="I510" t="s">
        <v>1200</v>
      </c>
      <c r="J510" t="s">
        <v>644</v>
      </c>
      <c r="K510" s="9">
        <v>15898.95</v>
      </c>
      <c r="L510" s="1">
        <f>15318+141.09</f>
        <v>15459.09</v>
      </c>
      <c r="M510" s="9">
        <f t="shared" si="55"/>
        <v>439.86000000000058</v>
      </c>
      <c r="N510" s="148">
        <v>158.1</v>
      </c>
      <c r="O510" s="11">
        <f>+M510-N510</f>
        <v>281.76000000000056</v>
      </c>
      <c r="P510" s="24">
        <f t="shared" si="56"/>
        <v>2.845316250827179E-2</v>
      </c>
    </row>
    <row r="511" spans="1:16">
      <c r="A511">
        <v>31</v>
      </c>
      <c r="B511" t="s">
        <v>1201</v>
      </c>
      <c r="E511">
        <v>73</v>
      </c>
      <c r="F511" t="s">
        <v>1202</v>
      </c>
      <c r="G511" s="6">
        <v>43270</v>
      </c>
      <c r="I511" s="75" t="s">
        <v>1203</v>
      </c>
      <c r="K511" s="180">
        <v>2260.08</v>
      </c>
      <c r="L511" s="148">
        <v>2176.13</v>
      </c>
      <c r="M511" s="9">
        <f t="shared" si="55"/>
        <v>83.949999999999818</v>
      </c>
      <c r="P511" s="24">
        <f t="shared" si="56"/>
        <v>3.8577658503857748E-2</v>
      </c>
    </row>
    <row r="512" spans="1:16">
      <c r="A512">
        <v>32</v>
      </c>
      <c r="B512" t="s">
        <v>1204</v>
      </c>
      <c r="E512">
        <v>8</v>
      </c>
      <c r="F512" t="s">
        <v>135</v>
      </c>
      <c r="G512" s="6">
        <v>43270</v>
      </c>
      <c r="I512" t="s">
        <v>1205</v>
      </c>
      <c r="K512" s="9">
        <v>990.96</v>
      </c>
      <c r="L512" s="1">
        <v>968.2</v>
      </c>
      <c r="M512" s="9">
        <f t="shared" si="55"/>
        <v>22.759999999999991</v>
      </c>
      <c r="P512" s="24">
        <f t="shared" si="56"/>
        <v>2.3507539764511476E-2</v>
      </c>
    </row>
    <row r="513" spans="1:16">
      <c r="A513">
        <v>33</v>
      </c>
      <c r="B513" t="s">
        <v>1206</v>
      </c>
      <c r="E513">
        <v>3</v>
      </c>
      <c r="F513" t="s">
        <v>129</v>
      </c>
      <c r="G513" s="6">
        <v>43270</v>
      </c>
      <c r="H513">
        <v>130</v>
      </c>
      <c r="I513" t="s">
        <v>1207</v>
      </c>
      <c r="J513" t="s">
        <v>644</v>
      </c>
      <c r="K513" s="9">
        <v>6276.24</v>
      </c>
      <c r="L513" s="1">
        <f>6162+22.67</f>
        <v>6184.67</v>
      </c>
      <c r="M513" s="9">
        <f t="shared" ref="M513:M536" si="57">K513-L513</f>
        <v>91.569999999999709</v>
      </c>
      <c r="P513" s="24">
        <f t="shared" si="56"/>
        <v>1.4805963778180553E-2</v>
      </c>
    </row>
    <row r="514" spans="1:16">
      <c r="A514">
        <v>34</v>
      </c>
      <c r="B514" s="4" t="s">
        <v>1208</v>
      </c>
      <c r="E514">
        <v>11</v>
      </c>
      <c r="F514" t="s">
        <v>532</v>
      </c>
      <c r="G514" s="6">
        <v>43270</v>
      </c>
      <c r="H514">
        <v>170</v>
      </c>
      <c r="I514" t="s">
        <v>1209</v>
      </c>
      <c r="K514" s="9">
        <v>900.13</v>
      </c>
      <c r="L514" s="148">
        <v>834.68</v>
      </c>
      <c r="M514" s="9">
        <f t="shared" si="57"/>
        <v>65.450000000000045</v>
      </c>
      <c r="P514" s="24">
        <f t="shared" si="56"/>
        <v>7.8413284132841321E-2</v>
      </c>
    </row>
    <row r="515" spans="1:16">
      <c r="A515">
        <v>35</v>
      </c>
      <c r="B515" t="s">
        <v>1210</v>
      </c>
      <c r="E515">
        <v>3</v>
      </c>
      <c r="F515" t="s">
        <v>1211</v>
      </c>
      <c r="G515" s="6">
        <v>43270</v>
      </c>
      <c r="H515">
        <v>120</v>
      </c>
      <c r="I515" t="s">
        <v>1212</v>
      </c>
      <c r="J515" t="s">
        <v>644</v>
      </c>
      <c r="K515" s="9">
        <v>757.95</v>
      </c>
      <c r="L515" s="1">
        <v>713.85</v>
      </c>
      <c r="M515" s="9">
        <f t="shared" si="57"/>
        <v>44.100000000000023</v>
      </c>
      <c r="P515" s="24">
        <f t="shared" si="56"/>
        <v>6.1777684387476439E-2</v>
      </c>
    </row>
    <row r="516" spans="1:16">
      <c r="A516">
        <v>36</v>
      </c>
      <c r="B516" t="s">
        <v>1213</v>
      </c>
      <c r="E516">
        <v>10</v>
      </c>
      <c r="F516" t="s">
        <v>129</v>
      </c>
      <c r="G516" s="6">
        <v>43271</v>
      </c>
      <c r="H516">
        <v>120</v>
      </c>
      <c r="I516" t="s">
        <v>1214</v>
      </c>
      <c r="J516" t="s">
        <v>644</v>
      </c>
      <c r="K516" s="9">
        <v>14317.4</v>
      </c>
      <c r="L516" s="1">
        <f>13950+86.2</f>
        <v>14036.2</v>
      </c>
      <c r="M516" s="9">
        <f t="shared" si="57"/>
        <v>281.19999999999891</v>
      </c>
      <c r="N516" s="75">
        <f>47.68+47.68</f>
        <v>95.36</v>
      </c>
      <c r="P516" s="24">
        <f t="shared" si="56"/>
        <v>2.0033912312449109E-2</v>
      </c>
    </row>
    <row r="517" spans="1:16">
      <c r="A517">
        <v>37</v>
      </c>
      <c r="B517" t="s">
        <v>1215</v>
      </c>
      <c r="E517">
        <v>5</v>
      </c>
      <c r="F517" t="s">
        <v>1153</v>
      </c>
      <c r="G517" s="6">
        <v>43271</v>
      </c>
      <c r="H517">
        <v>120</v>
      </c>
      <c r="I517" t="s">
        <v>1154</v>
      </c>
      <c r="J517" t="s">
        <v>644</v>
      </c>
      <c r="K517" s="9">
        <v>2864.6</v>
      </c>
      <c r="L517" s="1">
        <f>575*8</f>
        <v>4600</v>
      </c>
      <c r="M517" s="9">
        <f t="shared" si="57"/>
        <v>-1735.4</v>
      </c>
      <c r="P517" s="24">
        <f t="shared" si="56"/>
        <v>-0.37726086956521743</v>
      </c>
    </row>
    <row r="518" spans="1:16">
      <c r="A518">
        <v>38</v>
      </c>
      <c r="B518" t="s">
        <v>1216</v>
      </c>
      <c r="E518">
        <v>14</v>
      </c>
      <c r="F518" t="s">
        <v>1112</v>
      </c>
      <c r="G518" s="6">
        <v>43271</v>
      </c>
      <c r="H518">
        <v>120</v>
      </c>
      <c r="I518" t="s">
        <v>1217</v>
      </c>
      <c r="J518" t="s">
        <v>644</v>
      </c>
      <c r="K518" s="9">
        <v>1726.2</v>
      </c>
      <c r="L518" s="1">
        <v>1680</v>
      </c>
      <c r="M518" s="9">
        <f t="shared" si="57"/>
        <v>46.200000000000045</v>
      </c>
      <c r="P518" s="24">
        <f t="shared" si="56"/>
        <v>2.750000000000008E-2</v>
      </c>
    </row>
    <row r="519" spans="1:16">
      <c r="A519">
        <v>39</v>
      </c>
      <c r="B519" t="s">
        <v>1218</v>
      </c>
      <c r="E519">
        <v>3</v>
      </c>
      <c r="F519" t="s">
        <v>931</v>
      </c>
      <c r="G519" s="6">
        <v>43271</v>
      </c>
      <c r="H519">
        <v>120</v>
      </c>
      <c r="I519" t="s">
        <v>1219</v>
      </c>
      <c r="J519" t="s">
        <v>644</v>
      </c>
      <c r="K519" s="9">
        <v>689.61</v>
      </c>
      <c r="L519" s="1">
        <v>627.75</v>
      </c>
      <c r="M519" s="9">
        <f t="shared" si="57"/>
        <v>61.860000000000014</v>
      </c>
      <c r="P519" s="24">
        <f t="shared" si="56"/>
        <v>9.8542413381123017E-2</v>
      </c>
    </row>
    <row r="520" spans="1:16">
      <c r="A520">
        <v>40</v>
      </c>
      <c r="B520" t="s">
        <v>1220</v>
      </c>
      <c r="E520">
        <v>2</v>
      </c>
      <c r="F520" t="s">
        <v>1221</v>
      </c>
      <c r="G520" s="6">
        <v>43271</v>
      </c>
      <c r="K520" s="9">
        <v>0</v>
      </c>
      <c r="L520" s="1">
        <v>0</v>
      </c>
      <c r="M520" s="9">
        <f t="shared" si="57"/>
        <v>0</v>
      </c>
      <c r="P520" s="24" t="e">
        <f t="shared" si="56"/>
        <v>#DIV/0!</v>
      </c>
    </row>
    <row r="521" spans="1:16">
      <c r="A521">
        <v>41</v>
      </c>
      <c r="B521" t="s">
        <v>1222</v>
      </c>
      <c r="E521">
        <v>3</v>
      </c>
      <c r="F521" t="s">
        <v>129</v>
      </c>
      <c r="G521" s="6">
        <v>43272</v>
      </c>
      <c r="H521">
        <v>120</v>
      </c>
      <c r="I521" t="s">
        <v>1223</v>
      </c>
      <c r="J521" t="s">
        <v>644</v>
      </c>
      <c r="K521" s="9">
        <v>10799.46</v>
      </c>
      <c r="L521" s="1">
        <f>10605+23.63</f>
        <v>10628.63</v>
      </c>
      <c r="M521" s="9">
        <f t="shared" si="57"/>
        <v>170.82999999999993</v>
      </c>
      <c r="P521" s="24">
        <f t="shared" si="56"/>
        <v>1.6072626481493879E-2</v>
      </c>
    </row>
    <row r="522" spans="1:16">
      <c r="A522">
        <v>42</v>
      </c>
      <c r="B522" t="s">
        <v>1224</v>
      </c>
      <c r="E522">
        <v>49</v>
      </c>
      <c r="F522" t="s">
        <v>257</v>
      </c>
      <c r="G522" s="6">
        <v>43273</v>
      </c>
      <c r="I522" t="s">
        <v>1225</v>
      </c>
      <c r="J522" t="s">
        <v>644</v>
      </c>
      <c r="K522" s="9">
        <v>464.03</v>
      </c>
      <c r="L522" s="1">
        <v>392</v>
      </c>
      <c r="M522" s="9">
        <f t="shared" si="57"/>
        <v>72.029999999999973</v>
      </c>
      <c r="P522" s="24">
        <f t="shared" si="56"/>
        <v>0.18374999999999986</v>
      </c>
    </row>
    <row r="523" spans="1:16">
      <c r="A523">
        <v>43</v>
      </c>
      <c r="B523" t="s">
        <v>1226</v>
      </c>
      <c r="E523">
        <v>8</v>
      </c>
      <c r="F523" t="s">
        <v>129</v>
      </c>
      <c r="G523" s="6">
        <v>43273</v>
      </c>
      <c r="H523">
        <v>160</v>
      </c>
      <c r="I523" t="s">
        <v>1227</v>
      </c>
      <c r="J523" t="s">
        <v>644</v>
      </c>
      <c r="K523" s="9">
        <v>13076.8</v>
      </c>
      <c r="L523" s="1">
        <f>12720+90.5</f>
        <v>12810.5</v>
      </c>
      <c r="M523" s="9">
        <f t="shared" si="57"/>
        <v>266.29999999999927</v>
      </c>
      <c r="N523" s="75">
        <f>47.61+47.61</f>
        <v>95.22</v>
      </c>
      <c r="P523" s="24">
        <f t="shared" si="56"/>
        <v>2.0787635143046712E-2</v>
      </c>
    </row>
    <row r="524" spans="1:16">
      <c r="A524">
        <v>44</v>
      </c>
      <c r="B524" s="4" t="s">
        <v>1228</v>
      </c>
      <c r="E524">
        <v>2</v>
      </c>
      <c r="F524" t="s">
        <v>308</v>
      </c>
      <c r="G524" s="6">
        <v>43273</v>
      </c>
      <c r="I524" t="s">
        <v>1178</v>
      </c>
      <c r="J524" t="s">
        <v>644</v>
      </c>
      <c r="K524" s="9">
        <v>32818</v>
      </c>
      <c r="L524" s="1">
        <f>15623*2</f>
        <v>31246</v>
      </c>
      <c r="M524" s="9">
        <f t="shared" si="57"/>
        <v>1572</v>
      </c>
      <c r="P524" s="24">
        <f t="shared" si="56"/>
        <v>5.031043973628635E-2</v>
      </c>
    </row>
    <row r="525" spans="1:16">
      <c r="A525">
        <v>45</v>
      </c>
      <c r="B525" t="s">
        <v>1229</v>
      </c>
      <c r="E525">
        <v>1</v>
      </c>
      <c r="F525" t="s">
        <v>1062</v>
      </c>
      <c r="G525" s="6">
        <v>43276</v>
      </c>
      <c r="H525">
        <v>100</v>
      </c>
      <c r="I525" t="s">
        <v>1230</v>
      </c>
      <c r="J525" t="s">
        <v>644</v>
      </c>
      <c r="K525" s="9">
        <v>299.49</v>
      </c>
      <c r="L525" s="1">
        <v>201</v>
      </c>
      <c r="M525" s="9">
        <f t="shared" si="57"/>
        <v>98.490000000000009</v>
      </c>
      <c r="P525" s="24">
        <f t="shared" si="56"/>
        <v>0.49</v>
      </c>
    </row>
    <row r="526" spans="1:16">
      <c r="A526">
        <v>46</v>
      </c>
      <c r="B526" t="s">
        <v>1231</v>
      </c>
      <c r="E526">
        <v>2</v>
      </c>
      <c r="F526" t="s">
        <v>1112</v>
      </c>
      <c r="G526" s="6">
        <v>43276</v>
      </c>
      <c r="I526" t="s">
        <v>1232</v>
      </c>
      <c r="J526" t="s">
        <v>644</v>
      </c>
      <c r="K526" s="9">
        <v>92.4</v>
      </c>
      <c r="L526" s="1">
        <v>50</v>
      </c>
      <c r="M526" s="9">
        <f t="shared" si="57"/>
        <v>42.400000000000006</v>
      </c>
      <c r="P526" s="24">
        <f t="shared" si="56"/>
        <v>0.84800000000000009</v>
      </c>
    </row>
    <row r="527" spans="1:16">
      <c r="A527">
        <v>47</v>
      </c>
      <c r="B527" t="s">
        <v>1233</v>
      </c>
      <c r="E527">
        <v>6</v>
      </c>
      <c r="F527" t="s">
        <v>1234</v>
      </c>
      <c r="G527" s="6">
        <v>43276</v>
      </c>
      <c r="I527" t="s">
        <v>1235</v>
      </c>
      <c r="J527" t="s">
        <v>644</v>
      </c>
      <c r="K527" s="9">
        <v>5986.08</v>
      </c>
      <c r="L527" s="1">
        <v>5910</v>
      </c>
      <c r="M527" s="9">
        <f t="shared" si="57"/>
        <v>76.079999999999927</v>
      </c>
      <c r="P527" s="24">
        <f t="shared" si="56"/>
        <v>1.2873096446700538E-2</v>
      </c>
    </row>
    <row r="528" spans="1:16">
      <c r="A528">
        <v>48</v>
      </c>
      <c r="B528" t="s">
        <v>1236</v>
      </c>
      <c r="E528">
        <v>1</v>
      </c>
      <c r="F528" t="s">
        <v>347</v>
      </c>
      <c r="G528" s="6">
        <v>43276</v>
      </c>
      <c r="H528">
        <v>160</v>
      </c>
      <c r="I528" t="s">
        <v>1237</v>
      </c>
      <c r="J528" t="s">
        <v>644</v>
      </c>
      <c r="K528" s="9">
        <v>11617.9</v>
      </c>
      <c r="L528" s="1">
        <v>11431</v>
      </c>
      <c r="M528" s="9">
        <f t="shared" si="57"/>
        <v>186.89999999999964</v>
      </c>
      <c r="N528">
        <v>44.5</v>
      </c>
      <c r="P528" s="24">
        <f t="shared" si="56"/>
        <v>1.6350275566442196E-2</v>
      </c>
    </row>
    <row r="529" spans="1:16">
      <c r="A529">
        <v>49</v>
      </c>
      <c r="B529" t="s">
        <v>1238</v>
      </c>
      <c r="E529">
        <v>2</v>
      </c>
      <c r="F529" t="s">
        <v>150</v>
      </c>
      <c r="G529" s="6">
        <v>43276</v>
      </c>
      <c r="H529">
        <v>120</v>
      </c>
      <c r="I529" t="s">
        <v>1239</v>
      </c>
      <c r="K529" s="9">
        <v>464.8</v>
      </c>
      <c r="L529" s="9">
        <v>397</v>
      </c>
      <c r="M529" s="9">
        <f t="shared" si="57"/>
        <v>67.800000000000011</v>
      </c>
      <c r="P529" s="24">
        <f t="shared" si="56"/>
        <v>0.17078085642317387</v>
      </c>
    </row>
    <row r="530" spans="1:16">
      <c r="A530">
        <v>50</v>
      </c>
      <c r="B530" t="s">
        <v>1240</v>
      </c>
      <c r="E530">
        <v>3</v>
      </c>
      <c r="F530" t="s">
        <v>1164</v>
      </c>
      <c r="G530" s="6">
        <v>43277</v>
      </c>
      <c r="H530">
        <v>140</v>
      </c>
      <c r="I530" t="s">
        <v>1241</v>
      </c>
      <c r="J530" t="s">
        <v>644</v>
      </c>
      <c r="K530" s="9">
        <v>1868.22</v>
      </c>
      <c r="L530" s="1">
        <f>609*3</f>
        <v>1827</v>
      </c>
      <c r="M530" s="9">
        <f t="shared" si="57"/>
        <v>41.220000000000027</v>
      </c>
      <c r="P530" s="24">
        <f t="shared" si="56"/>
        <v>2.2561576354679813E-2</v>
      </c>
    </row>
    <row r="531" spans="1:16">
      <c r="A531">
        <v>51</v>
      </c>
      <c r="B531" t="s">
        <v>1242</v>
      </c>
      <c r="E531">
        <v>1</v>
      </c>
      <c r="F531" t="s">
        <v>1243</v>
      </c>
      <c r="G531" s="6">
        <v>43279</v>
      </c>
      <c r="H531">
        <v>160</v>
      </c>
      <c r="I531" t="s">
        <v>1244</v>
      </c>
      <c r="J531" t="s">
        <v>644</v>
      </c>
      <c r="K531" s="9">
        <v>3042.55</v>
      </c>
      <c r="L531" s="1">
        <v>2974</v>
      </c>
      <c r="M531" s="9">
        <f t="shared" si="57"/>
        <v>68.550000000000182</v>
      </c>
      <c r="N531">
        <v>23.68</v>
      </c>
      <c r="P531" s="24">
        <f t="shared" si="56"/>
        <v>2.3049764626765334E-2</v>
      </c>
    </row>
    <row r="532" spans="1:16">
      <c r="A532">
        <v>52</v>
      </c>
      <c r="B532" t="s">
        <v>1245</v>
      </c>
      <c r="E532">
        <v>19</v>
      </c>
      <c r="F532" t="s">
        <v>931</v>
      </c>
      <c r="G532" s="6">
        <v>43279</v>
      </c>
      <c r="H532">
        <v>130</v>
      </c>
      <c r="I532" t="s">
        <v>1246</v>
      </c>
      <c r="K532" s="9">
        <v>1470.6</v>
      </c>
      <c r="L532" s="1">
        <v>1406.76</v>
      </c>
      <c r="M532" s="9">
        <f t="shared" si="57"/>
        <v>63.839999999999918</v>
      </c>
      <c r="N532">
        <v>22.78</v>
      </c>
      <c r="P532" s="24">
        <f t="shared" si="56"/>
        <v>4.5380875202593041E-2</v>
      </c>
    </row>
    <row r="533" spans="1:16">
      <c r="A533">
        <v>53</v>
      </c>
      <c r="B533" t="s">
        <v>1247</v>
      </c>
      <c r="E533">
        <v>815</v>
      </c>
      <c r="F533" t="s">
        <v>532</v>
      </c>
      <c r="G533" s="6">
        <v>43280</v>
      </c>
      <c r="H533">
        <v>190</v>
      </c>
      <c r="I533" t="s">
        <v>1248</v>
      </c>
      <c r="J533" t="s">
        <v>644</v>
      </c>
      <c r="K533" s="9">
        <v>23708.35</v>
      </c>
      <c r="L533" s="1">
        <v>23097.1</v>
      </c>
      <c r="M533" s="9">
        <f t="shared" si="57"/>
        <v>611.25</v>
      </c>
      <c r="P533" s="24">
        <f t="shared" ref="P533:P538" si="58">(K533/L533)-1</f>
        <v>2.6464361326746566E-2</v>
      </c>
    </row>
    <row r="534" spans="1:16">
      <c r="A534">
        <v>54</v>
      </c>
      <c r="B534" t="s">
        <v>1249</v>
      </c>
      <c r="E534">
        <v>183</v>
      </c>
      <c r="F534" t="s">
        <v>1250</v>
      </c>
      <c r="G534" s="6">
        <v>43280</v>
      </c>
      <c r="H534">
        <v>120</v>
      </c>
      <c r="K534" s="9">
        <v>0</v>
      </c>
      <c r="L534" s="1">
        <v>0</v>
      </c>
      <c r="M534" s="9">
        <f t="shared" si="57"/>
        <v>0</v>
      </c>
      <c r="P534" s="24" t="e">
        <f t="shared" si="58"/>
        <v>#DIV/0!</v>
      </c>
    </row>
    <row r="535" spans="1:16">
      <c r="A535">
        <v>55</v>
      </c>
      <c r="B535" t="s">
        <v>1251</v>
      </c>
      <c r="E535">
        <v>35</v>
      </c>
      <c r="F535" t="s">
        <v>129</v>
      </c>
      <c r="G535" s="6">
        <v>43280</v>
      </c>
      <c r="H535">
        <v>120</v>
      </c>
      <c r="I535" t="s">
        <v>1252</v>
      </c>
      <c r="J535" t="s">
        <v>644</v>
      </c>
      <c r="K535" s="9">
        <v>17231.900000000001</v>
      </c>
      <c r="L535" s="1">
        <f>16975+49.79</f>
        <v>17024.79</v>
      </c>
      <c r="M535" s="9">
        <f t="shared" si="57"/>
        <v>207.11000000000058</v>
      </c>
      <c r="N535">
        <f>29.06+30.09</f>
        <v>59.15</v>
      </c>
      <c r="P535" s="24">
        <f t="shared" si="58"/>
        <v>1.2165201450355712E-2</v>
      </c>
    </row>
    <row r="536" spans="1:16">
      <c r="K536" s="64">
        <f>SUM(K481:K535)</f>
        <v>468520.83000000007</v>
      </c>
      <c r="L536" s="5">
        <f>SUM(L481:L535)</f>
        <v>454065.86</v>
      </c>
      <c r="M536" s="64">
        <f t="shared" si="57"/>
        <v>14454.970000000088</v>
      </c>
      <c r="P536" s="129">
        <f t="shared" si="58"/>
        <v>3.183452285974564E-2</v>
      </c>
    </row>
    <row r="537" spans="1:16">
      <c r="M537" s="9">
        <f>M484+M489+M496+M499+M500+M502+M504+M509+M510+M516+M524+M533+M535+M535</f>
        <v>13340.949999999995</v>
      </c>
      <c r="P537" s="24" t="e">
        <f t="shared" si="58"/>
        <v>#DIV/0!</v>
      </c>
    </row>
    <row r="538" spans="1:16">
      <c r="M538" s="9"/>
      <c r="P538" s="24" t="e">
        <f t="shared" si="58"/>
        <v>#DIV/0!</v>
      </c>
    </row>
    <row r="540" spans="1:16">
      <c r="A540">
        <v>1</v>
      </c>
      <c r="B540" t="s">
        <v>1253</v>
      </c>
      <c r="E540">
        <v>35</v>
      </c>
      <c r="F540" t="s">
        <v>121</v>
      </c>
      <c r="G540" s="6">
        <v>43283</v>
      </c>
      <c r="H540">
        <v>140</v>
      </c>
      <c r="I540" t="s">
        <v>1254</v>
      </c>
      <c r="J540" t="s">
        <v>644</v>
      </c>
      <c r="K540" s="9">
        <v>10646.3</v>
      </c>
      <c r="L540" s="1">
        <v>10347.969999999999</v>
      </c>
      <c r="M540" s="9">
        <f t="shared" ref="M540:M582" si="59">K540-L540</f>
        <v>298.32999999999993</v>
      </c>
      <c r="N540">
        <v>12.9</v>
      </c>
      <c r="P540" s="24">
        <f t="shared" ref="P540:P582" si="60">(K540/L540)-1</f>
        <v>2.8829809131646122E-2</v>
      </c>
    </row>
    <row r="541" spans="1:16">
      <c r="A541">
        <v>2</v>
      </c>
      <c r="B541" s="4" t="s">
        <v>1255</v>
      </c>
      <c r="E541">
        <v>1</v>
      </c>
      <c r="F541" t="s">
        <v>308</v>
      </c>
      <c r="G541" s="6">
        <v>43283</v>
      </c>
      <c r="H541">
        <v>260</v>
      </c>
      <c r="I541" t="s">
        <v>1256</v>
      </c>
      <c r="J541" t="s">
        <v>644</v>
      </c>
      <c r="K541" s="9">
        <v>14860</v>
      </c>
      <c r="L541" s="1">
        <v>14220</v>
      </c>
      <c r="M541" s="9">
        <f t="shared" si="59"/>
        <v>640</v>
      </c>
      <c r="P541" s="24">
        <f t="shared" si="60"/>
        <v>4.5007032348804543E-2</v>
      </c>
    </row>
    <row r="542" spans="1:16">
      <c r="A542">
        <v>3</v>
      </c>
      <c r="B542" t="s">
        <v>1257</v>
      </c>
      <c r="E542">
        <v>10</v>
      </c>
      <c r="F542" t="s">
        <v>315</v>
      </c>
      <c r="G542" s="6">
        <v>43283</v>
      </c>
      <c r="H542">
        <v>150</v>
      </c>
      <c r="I542" t="s">
        <v>1258</v>
      </c>
      <c r="J542" t="s">
        <v>644</v>
      </c>
      <c r="K542" s="9">
        <v>5273.8</v>
      </c>
      <c r="L542" s="1">
        <v>5230</v>
      </c>
      <c r="M542" s="9">
        <f t="shared" si="59"/>
        <v>43.800000000000182</v>
      </c>
      <c r="P542" s="24">
        <f t="shared" si="60"/>
        <v>8.3747609942639301E-3</v>
      </c>
    </row>
    <row r="543" spans="1:16">
      <c r="A543">
        <v>4</v>
      </c>
      <c r="B543" t="s">
        <v>1259</v>
      </c>
      <c r="E543">
        <v>5</v>
      </c>
      <c r="F543" t="s">
        <v>1260</v>
      </c>
      <c r="G543" s="6">
        <v>43283</v>
      </c>
      <c r="I543" t="s">
        <v>1261</v>
      </c>
      <c r="J543" t="s">
        <v>644</v>
      </c>
      <c r="K543" s="9">
        <v>0</v>
      </c>
      <c r="L543" s="1">
        <v>0</v>
      </c>
      <c r="M543" s="9">
        <f t="shared" si="59"/>
        <v>0</v>
      </c>
      <c r="P543" s="24" t="e">
        <f t="shared" si="60"/>
        <v>#DIV/0!</v>
      </c>
    </row>
    <row r="544" spans="1:16">
      <c r="A544">
        <v>5</v>
      </c>
      <c r="E544">
        <v>27</v>
      </c>
      <c r="F544" t="s">
        <v>1262</v>
      </c>
      <c r="G544" s="6">
        <v>43284</v>
      </c>
      <c r="H544">
        <v>120</v>
      </c>
      <c r="I544" t="s">
        <v>1263</v>
      </c>
      <c r="J544" t="s">
        <v>644</v>
      </c>
      <c r="K544" s="9">
        <v>3323.7</v>
      </c>
      <c r="L544" s="1">
        <v>3240</v>
      </c>
      <c r="M544" s="9">
        <f t="shared" si="59"/>
        <v>83.699999999999818</v>
      </c>
      <c r="P544" s="24">
        <f t="shared" si="60"/>
        <v>2.5833333333333375E-2</v>
      </c>
    </row>
    <row r="545" spans="1:17">
      <c r="A545">
        <v>6</v>
      </c>
      <c r="B545" s="4" t="s">
        <v>1264</v>
      </c>
      <c r="E545">
        <v>13</v>
      </c>
      <c r="F545" t="s">
        <v>1265</v>
      </c>
      <c r="G545" s="6">
        <v>43284</v>
      </c>
      <c r="H545">
        <v>150</v>
      </c>
      <c r="I545" t="s">
        <v>1266</v>
      </c>
      <c r="J545" t="s">
        <v>644</v>
      </c>
      <c r="K545" s="9">
        <v>1036.6199999999999</v>
      </c>
      <c r="L545" s="1">
        <v>940</v>
      </c>
      <c r="M545" s="9">
        <f t="shared" si="59"/>
        <v>96.619999999999891</v>
      </c>
      <c r="P545" s="24">
        <f t="shared" si="60"/>
        <v>0.10278723404255308</v>
      </c>
    </row>
    <row r="546" spans="1:17">
      <c r="A546">
        <v>7</v>
      </c>
      <c r="B546" t="s">
        <v>1267</v>
      </c>
      <c r="E546">
        <v>37</v>
      </c>
      <c r="F546" t="s">
        <v>135</v>
      </c>
      <c r="G546" s="6">
        <v>43286</v>
      </c>
      <c r="H546">
        <v>120</v>
      </c>
      <c r="I546" t="s">
        <v>1268</v>
      </c>
      <c r="K546" s="9">
        <v>3421.39</v>
      </c>
      <c r="L546" s="148">
        <v>3349.61</v>
      </c>
      <c r="M546" s="9">
        <f t="shared" si="59"/>
        <v>71.779999999999745</v>
      </c>
      <c r="P546" s="24">
        <f t="shared" si="60"/>
        <v>2.1429360433005584E-2</v>
      </c>
    </row>
    <row r="547" spans="1:17">
      <c r="A547">
        <v>8</v>
      </c>
      <c r="B547" t="s">
        <v>1269</v>
      </c>
      <c r="E547">
        <v>9</v>
      </c>
      <c r="F547" s="208" t="s">
        <v>135</v>
      </c>
      <c r="G547" s="6">
        <v>43286</v>
      </c>
      <c r="H547">
        <v>140</v>
      </c>
      <c r="I547" t="s">
        <v>1156</v>
      </c>
      <c r="K547" s="9">
        <v>1881</v>
      </c>
      <c r="L547" s="1">
        <f>146.12*9</f>
        <v>1315.08</v>
      </c>
      <c r="M547" s="9">
        <f t="shared" si="59"/>
        <v>565.92000000000007</v>
      </c>
      <c r="P547" s="24">
        <f t="shared" si="60"/>
        <v>0.43033123460169742</v>
      </c>
    </row>
    <row r="548" spans="1:17">
      <c r="A548">
        <v>9</v>
      </c>
      <c r="B548" t="s">
        <v>1270</v>
      </c>
      <c r="E548">
        <v>1</v>
      </c>
      <c r="F548" t="s">
        <v>1271</v>
      </c>
      <c r="G548" s="6">
        <v>43290</v>
      </c>
      <c r="H548">
        <v>180</v>
      </c>
      <c r="I548" t="s">
        <v>1272</v>
      </c>
      <c r="K548" s="9">
        <v>0</v>
      </c>
      <c r="L548" s="1">
        <v>0</v>
      </c>
      <c r="M548" s="9">
        <f t="shared" si="59"/>
        <v>0</v>
      </c>
      <c r="P548" s="24" t="e">
        <f t="shared" si="60"/>
        <v>#DIV/0!</v>
      </c>
    </row>
    <row r="549" spans="1:17">
      <c r="A549">
        <v>10</v>
      </c>
      <c r="B549" t="s">
        <v>1273</v>
      </c>
      <c r="E549">
        <v>74</v>
      </c>
      <c r="F549" t="s">
        <v>508</v>
      </c>
      <c r="G549" s="6">
        <v>43290</v>
      </c>
      <c r="H549">
        <v>150</v>
      </c>
      <c r="I549" t="s">
        <v>1274</v>
      </c>
      <c r="J549" t="s">
        <v>644</v>
      </c>
      <c r="K549" s="9">
        <v>1710.14</v>
      </c>
      <c r="L549" s="1">
        <v>1509.6</v>
      </c>
      <c r="M549" s="9">
        <f t="shared" si="59"/>
        <v>200.54000000000019</v>
      </c>
      <c r="P549" s="24">
        <f t="shared" si="60"/>
        <v>0.13284313725490215</v>
      </c>
    </row>
    <row r="550" spans="1:17">
      <c r="A550">
        <v>11</v>
      </c>
      <c r="B550" t="s">
        <v>1275</v>
      </c>
      <c r="E550">
        <v>12</v>
      </c>
      <c r="F550" t="s">
        <v>251</v>
      </c>
      <c r="G550" s="6">
        <v>43290</v>
      </c>
      <c r="H550">
        <v>140</v>
      </c>
      <c r="I550" t="s">
        <v>1276</v>
      </c>
      <c r="J550" t="s">
        <v>644</v>
      </c>
      <c r="K550" s="9">
        <v>8200.56</v>
      </c>
      <c r="L550" s="1">
        <v>8040</v>
      </c>
      <c r="M550" s="9">
        <f t="shared" si="59"/>
        <v>160.55999999999949</v>
      </c>
      <c r="N550" s="75">
        <f>45.25*3</f>
        <v>135.75</v>
      </c>
      <c r="P550" s="24">
        <f t="shared" si="60"/>
        <v>1.9970149253731195E-2</v>
      </c>
    </row>
    <row r="551" spans="1:17">
      <c r="A551">
        <v>12</v>
      </c>
      <c r="B551" t="s">
        <v>1277</v>
      </c>
      <c r="E551">
        <v>5</v>
      </c>
      <c r="F551" t="s">
        <v>814</v>
      </c>
      <c r="G551" s="6">
        <v>43290</v>
      </c>
      <c r="H551">
        <v>120</v>
      </c>
      <c r="I551" t="s">
        <v>1278</v>
      </c>
      <c r="J551" t="s">
        <v>644</v>
      </c>
      <c r="K551" s="9">
        <v>98.45</v>
      </c>
      <c r="L551" s="1">
        <v>57.7</v>
      </c>
      <c r="M551" s="9">
        <f t="shared" si="59"/>
        <v>40.75</v>
      </c>
      <c r="P551" s="24">
        <f t="shared" si="60"/>
        <v>0.70623916811091858</v>
      </c>
    </row>
    <row r="552" spans="1:17">
      <c r="A552">
        <v>13</v>
      </c>
      <c r="B552" t="s">
        <v>1279</v>
      </c>
      <c r="E552">
        <v>20</v>
      </c>
      <c r="F552" t="s">
        <v>814</v>
      </c>
      <c r="G552" s="6">
        <v>43290</v>
      </c>
      <c r="H552">
        <v>120</v>
      </c>
      <c r="I552" t="s">
        <v>1278</v>
      </c>
      <c r="J552" t="s">
        <v>644</v>
      </c>
      <c r="K552" s="9">
        <v>2884</v>
      </c>
      <c r="L552" s="1">
        <v>2813</v>
      </c>
      <c r="M552" s="9">
        <f t="shared" si="59"/>
        <v>71</v>
      </c>
      <c r="P552" s="24">
        <f t="shared" si="60"/>
        <v>2.5239957340917218E-2</v>
      </c>
    </row>
    <row r="553" spans="1:17">
      <c r="A553">
        <v>14</v>
      </c>
      <c r="B553" t="s">
        <v>1280</v>
      </c>
      <c r="E553">
        <v>14</v>
      </c>
      <c r="F553" t="s">
        <v>129</v>
      </c>
      <c r="G553" s="6">
        <v>43292</v>
      </c>
      <c r="H553">
        <v>90</v>
      </c>
      <c r="I553" t="s">
        <v>1281</v>
      </c>
      <c r="J553" t="s">
        <v>644</v>
      </c>
      <c r="K553" s="9">
        <v>10697.26</v>
      </c>
      <c r="L553" s="1">
        <f>10430+25.93</f>
        <v>10455.93</v>
      </c>
      <c r="M553" s="9">
        <f t="shared" si="59"/>
        <v>241.32999999999993</v>
      </c>
      <c r="N553">
        <v>31.19</v>
      </c>
      <c r="P553" s="24">
        <f t="shared" si="60"/>
        <v>2.3080682445272727E-2</v>
      </c>
    </row>
    <row r="554" spans="1:17">
      <c r="A554">
        <v>15</v>
      </c>
      <c r="B554" t="s">
        <v>1282</v>
      </c>
      <c r="E554">
        <v>5</v>
      </c>
      <c r="F554" t="s">
        <v>931</v>
      </c>
      <c r="G554" s="6">
        <v>43292</v>
      </c>
      <c r="H554">
        <v>130</v>
      </c>
      <c r="I554" t="s">
        <v>1283</v>
      </c>
      <c r="J554" t="s">
        <v>644</v>
      </c>
      <c r="K554" s="9">
        <v>2147.1</v>
      </c>
      <c r="L554" s="1">
        <v>2053.9</v>
      </c>
      <c r="M554" s="9">
        <f t="shared" si="59"/>
        <v>93.199999999999818</v>
      </c>
      <c r="P554" s="24">
        <f t="shared" si="60"/>
        <v>4.5377087492088242E-2</v>
      </c>
    </row>
    <row r="555" spans="1:17">
      <c r="A555">
        <v>16</v>
      </c>
      <c r="B555" t="s">
        <v>1284</v>
      </c>
      <c r="E555">
        <v>233</v>
      </c>
      <c r="F555" t="s">
        <v>1285</v>
      </c>
      <c r="G555" s="6">
        <v>43292</v>
      </c>
      <c r="H555">
        <v>120</v>
      </c>
      <c r="I555" t="s">
        <v>1286</v>
      </c>
      <c r="J555" t="s">
        <v>644</v>
      </c>
      <c r="K555" s="9">
        <v>1453.92</v>
      </c>
      <c r="L555" s="1">
        <v>1029.21</v>
      </c>
      <c r="M555" s="9">
        <f t="shared" si="59"/>
        <v>424.71000000000004</v>
      </c>
      <c r="P555" s="24">
        <f t="shared" si="60"/>
        <v>0.41265630920803331</v>
      </c>
    </row>
    <row r="556" spans="1:17">
      <c r="A556">
        <v>17</v>
      </c>
      <c r="B556" t="s">
        <v>1287</v>
      </c>
      <c r="E556">
        <v>1</v>
      </c>
      <c r="F556" t="s">
        <v>1285</v>
      </c>
      <c r="G556" s="6">
        <v>43292</v>
      </c>
      <c r="H556">
        <v>90</v>
      </c>
      <c r="I556" t="s">
        <v>1288</v>
      </c>
      <c r="J556" t="s">
        <v>644</v>
      </c>
      <c r="K556" s="9">
        <v>866.82</v>
      </c>
      <c r="L556" s="1">
        <v>761</v>
      </c>
      <c r="M556" s="9">
        <f t="shared" si="59"/>
        <v>105.82000000000005</v>
      </c>
      <c r="P556" s="24">
        <f t="shared" si="60"/>
        <v>0.13905387647831802</v>
      </c>
    </row>
    <row r="557" spans="1:17">
      <c r="A557">
        <v>18</v>
      </c>
      <c r="B557" t="s">
        <v>1289</v>
      </c>
      <c r="E557">
        <v>12</v>
      </c>
      <c r="F557" s="208" t="s">
        <v>576</v>
      </c>
      <c r="G557" s="6">
        <v>43292</v>
      </c>
      <c r="H557">
        <v>65</v>
      </c>
      <c r="I557" t="s">
        <v>1097</v>
      </c>
      <c r="J557" t="s">
        <v>644</v>
      </c>
      <c r="K557" s="9">
        <v>213.12</v>
      </c>
      <c r="L557" s="1">
        <f>12*13</f>
        <v>156</v>
      </c>
      <c r="M557" s="9">
        <f t="shared" si="59"/>
        <v>57.120000000000005</v>
      </c>
      <c r="P557" s="24">
        <f t="shared" si="60"/>
        <v>0.36615384615384627</v>
      </c>
    </row>
    <row r="558" spans="1:17">
      <c r="A558">
        <v>19</v>
      </c>
      <c r="B558" t="s">
        <v>1290</v>
      </c>
      <c r="E558">
        <v>151</v>
      </c>
      <c r="F558" t="s">
        <v>1062</v>
      </c>
      <c r="G558" s="6">
        <v>43292</v>
      </c>
      <c r="H558">
        <v>140</v>
      </c>
      <c r="I558" t="s">
        <v>1291</v>
      </c>
      <c r="J558" t="s">
        <v>644</v>
      </c>
      <c r="K558" s="9">
        <v>1389.2</v>
      </c>
      <c r="L558" s="1">
        <v>1118</v>
      </c>
      <c r="M558" s="9">
        <f t="shared" si="59"/>
        <v>271.20000000000005</v>
      </c>
      <c r="P558" s="24">
        <f t="shared" si="60"/>
        <v>0.24257602862254024</v>
      </c>
    </row>
    <row r="559" spans="1:17">
      <c r="A559">
        <v>20</v>
      </c>
      <c r="B559" t="s">
        <v>1292</v>
      </c>
      <c r="E559">
        <v>194</v>
      </c>
      <c r="F559" t="s">
        <v>1062</v>
      </c>
      <c r="G559" s="6">
        <v>43294</v>
      </c>
      <c r="H559">
        <v>90</v>
      </c>
      <c r="I559" t="s">
        <v>1293</v>
      </c>
      <c r="J559" t="s">
        <v>644</v>
      </c>
      <c r="K559" s="9">
        <v>1616.02</v>
      </c>
      <c r="L559" s="1">
        <v>1147.21</v>
      </c>
      <c r="M559" s="9">
        <f t="shared" si="59"/>
        <v>468.80999999999995</v>
      </c>
      <c r="P559" s="24">
        <f t="shared" si="60"/>
        <v>0.40865229556925065</v>
      </c>
      <c r="Q559" s="11">
        <f>L555+L558</f>
        <v>2147.21</v>
      </c>
    </row>
    <row r="560" spans="1:17">
      <c r="A560">
        <v>21</v>
      </c>
      <c r="B560" t="s">
        <v>1294</v>
      </c>
      <c r="E560">
        <v>1</v>
      </c>
      <c r="F560" t="s">
        <v>135</v>
      </c>
      <c r="G560" s="6">
        <v>43294</v>
      </c>
      <c r="H560">
        <v>120</v>
      </c>
      <c r="I560" t="s">
        <v>1295</v>
      </c>
      <c r="J560" t="s">
        <v>644</v>
      </c>
      <c r="K560" s="9">
        <v>221.6</v>
      </c>
      <c r="L560" s="1">
        <v>178.95</v>
      </c>
      <c r="M560" s="9">
        <f t="shared" si="59"/>
        <v>42.650000000000006</v>
      </c>
      <c r="P560" s="24">
        <f t="shared" si="60"/>
        <v>0.23833473037161212</v>
      </c>
    </row>
    <row r="561" spans="1:16">
      <c r="A561">
        <v>22</v>
      </c>
      <c r="B561" t="s">
        <v>1296</v>
      </c>
      <c r="E561">
        <v>9</v>
      </c>
      <c r="F561" t="s">
        <v>1297</v>
      </c>
      <c r="G561" s="6">
        <v>43294</v>
      </c>
      <c r="H561">
        <v>140</v>
      </c>
      <c r="K561" s="9">
        <v>0</v>
      </c>
      <c r="L561" s="1">
        <v>0</v>
      </c>
      <c r="M561" s="9">
        <f t="shared" si="59"/>
        <v>0</v>
      </c>
      <c r="P561" s="24" t="e">
        <f t="shared" si="60"/>
        <v>#DIV/0!</v>
      </c>
    </row>
    <row r="562" spans="1:16">
      <c r="A562">
        <v>23</v>
      </c>
      <c r="B562" t="s">
        <v>1298</v>
      </c>
      <c r="E562">
        <v>14</v>
      </c>
      <c r="F562" t="s">
        <v>1299</v>
      </c>
      <c r="G562" s="6">
        <v>43297</v>
      </c>
      <c r="H562">
        <v>120</v>
      </c>
      <c r="I562" t="s">
        <v>1300</v>
      </c>
      <c r="J562" t="s">
        <v>644</v>
      </c>
      <c r="K562" s="9">
        <v>156.52000000000001</v>
      </c>
      <c r="L562" s="1">
        <v>135.6</v>
      </c>
      <c r="M562" s="9">
        <f t="shared" si="59"/>
        <v>20.920000000000016</v>
      </c>
      <c r="P562" s="24">
        <f t="shared" si="60"/>
        <v>0.15427728613569336</v>
      </c>
    </row>
    <row r="563" spans="1:16">
      <c r="A563">
        <v>24</v>
      </c>
      <c r="B563" s="4" t="s">
        <v>1301</v>
      </c>
      <c r="E563">
        <v>8</v>
      </c>
      <c r="F563" t="s">
        <v>135</v>
      </c>
      <c r="G563" s="6">
        <v>43297</v>
      </c>
      <c r="H563">
        <v>140</v>
      </c>
      <c r="I563" t="s">
        <v>1302</v>
      </c>
      <c r="J563" t="s">
        <v>644</v>
      </c>
      <c r="K563" s="9">
        <v>7638.24</v>
      </c>
      <c r="L563" s="1">
        <v>7546.8</v>
      </c>
      <c r="M563" s="9">
        <f t="shared" si="59"/>
        <v>91.4399999999996</v>
      </c>
      <c r="P563" s="24">
        <f t="shared" si="60"/>
        <v>1.2116393703291317E-2</v>
      </c>
    </row>
    <row r="564" spans="1:16">
      <c r="A564">
        <v>25</v>
      </c>
      <c r="B564" t="s">
        <v>1303</v>
      </c>
      <c r="E564">
        <v>109</v>
      </c>
      <c r="F564" t="s">
        <v>135</v>
      </c>
      <c r="G564" s="6">
        <v>43297</v>
      </c>
      <c r="H564">
        <v>140</v>
      </c>
      <c r="I564" t="s">
        <v>1304</v>
      </c>
      <c r="J564" t="s">
        <v>644</v>
      </c>
      <c r="K564" s="9">
        <v>5383.51</v>
      </c>
      <c r="L564" s="1">
        <v>5277.78</v>
      </c>
      <c r="M564" s="9">
        <f t="shared" si="59"/>
        <v>105.73000000000047</v>
      </c>
      <c r="N564">
        <v>18</v>
      </c>
      <c r="P564" s="24">
        <f t="shared" si="60"/>
        <v>2.0033044196613004E-2</v>
      </c>
    </row>
    <row r="565" spans="1:16">
      <c r="A565">
        <v>26</v>
      </c>
      <c r="B565" t="s">
        <v>1305</v>
      </c>
      <c r="E565">
        <v>14</v>
      </c>
      <c r="F565" t="s">
        <v>135</v>
      </c>
      <c r="G565" s="6">
        <v>43298</v>
      </c>
      <c r="H565">
        <v>140</v>
      </c>
      <c r="I565" t="s">
        <v>1300</v>
      </c>
      <c r="J565" t="s">
        <v>644</v>
      </c>
      <c r="K565" s="9">
        <v>6080.2</v>
      </c>
      <c r="L565" s="1">
        <v>6100.6</v>
      </c>
      <c r="M565" s="9">
        <f t="shared" si="59"/>
        <v>-20.400000000000546</v>
      </c>
      <c r="P565" s="24">
        <f t="shared" si="60"/>
        <v>-3.3439333836017271E-3</v>
      </c>
    </row>
    <row r="566" spans="1:16">
      <c r="A566">
        <v>27</v>
      </c>
      <c r="B566" t="s">
        <v>1306</v>
      </c>
      <c r="E566">
        <v>15</v>
      </c>
      <c r="F566" t="s">
        <v>135</v>
      </c>
      <c r="G566" s="6">
        <v>43298</v>
      </c>
      <c r="H566">
        <v>140</v>
      </c>
      <c r="I566" t="s">
        <v>1307</v>
      </c>
      <c r="J566" t="s">
        <v>644</v>
      </c>
      <c r="K566" s="9">
        <v>5769</v>
      </c>
      <c r="L566" s="1">
        <f>183.7*15</f>
        <v>2755.5</v>
      </c>
      <c r="M566" s="9">
        <f t="shared" si="59"/>
        <v>3013.5</v>
      </c>
      <c r="P566" s="24">
        <f t="shared" si="60"/>
        <v>1.0936309199782253</v>
      </c>
    </row>
    <row r="567" spans="1:16">
      <c r="A567">
        <v>28</v>
      </c>
      <c r="B567" t="s">
        <v>1308</v>
      </c>
      <c r="E567">
        <v>1</v>
      </c>
      <c r="F567" s="75" t="s">
        <v>1309</v>
      </c>
      <c r="G567" s="6">
        <v>43298</v>
      </c>
      <c r="H567">
        <v>120</v>
      </c>
      <c r="I567" t="s">
        <v>1310</v>
      </c>
      <c r="J567" t="s">
        <v>644</v>
      </c>
      <c r="K567" s="9">
        <v>2956.6</v>
      </c>
      <c r="L567" s="1">
        <f>2882+47.03</f>
        <v>2929.03</v>
      </c>
      <c r="M567" s="9">
        <f t="shared" si="59"/>
        <v>27.569999999999709</v>
      </c>
      <c r="N567" s="148">
        <v>53.11</v>
      </c>
      <c r="O567" s="11">
        <f>+M567-N567</f>
        <v>-25.54000000000029</v>
      </c>
      <c r="P567" s="24">
        <f t="shared" si="60"/>
        <v>9.4126724547032303E-3</v>
      </c>
    </row>
    <row r="568" spans="1:16">
      <c r="A568">
        <v>29</v>
      </c>
      <c r="B568" t="s">
        <v>1311</v>
      </c>
      <c r="E568">
        <v>3</v>
      </c>
      <c r="F568" t="s">
        <v>1312</v>
      </c>
      <c r="G568" s="6">
        <v>43300</v>
      </c>
      <c r="H568">
        <v>140</v>
      </c>
      <c r="I568" t="s">
        <v>1313</v>
      </c>
      <c r="K568" s="9">
        <v>0</v>
      </c>
      <c r="L568" s="1">
        <v>0</v>
      </c>
      <c r="M568" s="9">
        <f t="shared" si="59"/>
        <v>0</v>
      </c>
      <c r="P568" s="24" t="e">
        <f t="shared" si="60"/>
        <v>#DIV/0!</v>
      </c>
    </row>
    <row r="569" spans="1:16">
      <c r="A569">
        <v>30</v>
      </c>
      <c r="B569" t="s">
        <v>1314</v>
      </c>
      <c r="E569">
        <v>42</v>
      </c>
      <c r="F569" t="s">
        <v>135</v>
      </c>
      <c r="G569" s="6">
        <v>43304</v>
      </c>
      <c r="H569">
        <v>140</v>
      </c>
      <c r="I569" t="s">
        <v>1315</v>
      </c>
      <c r="J569" t="s">
        <v>644</v>
      </c>
      <c r="K569" s="9">
        <v>19978.560000000001</v>
      </c>
      <c r="L569" s="1">
        <v>19860.96</v>
      </c>
      <c r="M569" s="9">
        <f t="shared" si="59"/>
        <v>117.60000000000218</v>
      </c>
      <c r="P569" s="24">
        <f t="shared" si="60"/>
        <v>5.921163931652984E-3</v>
      </c>
    </row>
    <row r="570" spans="1:16">
      <c r="A570">
        <v>31</v>
      </c>
      <c r="B570" t="s">
        <v>1316</v>
      </c>
      <c r="E570">
        <v>22</v>
      </c>
      <c r="F570" t="s">
        <v>922</v>
      </c>
      <c r="G570" s="6">
        <v>43304</v>
      </c>
      <c r="H570">
        <v>140</v>
      </c>
      <c r="I570" t="s">
        <v>1317</v>
      </c>
      <c r="J570" t="s">
        <v>644</v>
      </c>
      <c r="K570" s="9">
        <v>5185.18</v>
      </c>
      <c r="L570" s="1">
        <v>5058.68</v>
      </c>
      <c r="M570" s="9">
        <f t="shared" si="59"/>
        <v>126.5</v>
      </c>
      <c r="N570" s="75">
        <f>25.3+22.35+22.35</f>
        <v>70</v>
      </c>
      <c r="P570" s="24">
        <f t="shared" si="60"/>
        <v>2.5006523440897599E-2</v>
      </c>
    </row>
    <row r="571" spans="1:16">
      <c r="A571">
        <v>32</v>
      </c>
      <c r="B571" t="s">
        <v>1318</v>
      </c>
      <c r="E571">
        <v>32</v>
      </c>
      <c r="F571" t="s">
        <v>1319</v>
      </c>
      <c r="G571" s="6">
        <v>43304</v>
      </c>
      <c r="H571">
        <v>140</v>
      </c>
      <c r="I571" t="s">
        <v>1320</v>
      </c>
      <c r="J571" t="s">
        <v>644</v>
      </c>
      <c r="K571" s="9">
        <v>21623.360000000001</v>
      </c>
      <c r="L571" s="1">
        <v>21506.240000000002</v>
      </c>
      <c r="M571" s="9">
        <f t="shared" si="59"/>
        <v>117.11999999999898</v>
      </c>
      <c r="P571" s="24">
        <f t="shared" si="60"/>
        <v>5.4458612942103191E-3</v>
      </c>
    </row>
    <row r="572" spans="1:16">
      <c r="A572">
        <v>33</v>
      </c>
      <c r="B572" t="s">
        <v>1321</v>
      </c>
      <c r="E572">
        <v>2</v>
      </c>
      <c r="F572" t="s">
        <v>139</v>
      </c>
      <c r="G572" s="6">
        <v>43304</v>
      </c>
      <c r="H572">
        <v>140</v>
      </c>
      <c r="I572" t="s">
        <v>1322</v>
      </c>
      <c r="J572" t="s">
        <v>644</v>
      </c>
      <c r="K572" s="9">
        <v>6328</v>
      </c>
      <c r="L572" s="1">
        <v>6102</v>
      </c>
      <c r="M572" s="9">
        <f t="shared" si="59"/>
        <v>226</v>
      </c>
      <c r="N572" s="75">
        <v>81</v>
      </c>
      <c r="P572" s="24">
        <f t="shared" si="60"/>
        <v>3.7037037037036979E-2</v>
      </c>
    </row>
    <row r="573" spans="1:16">
      <c r="A573">
        <v>34</v>
      </c>
      <c r="B573" t="s">
        <v>1323</v>
      </c>
      <c r="E573">
        <v>7</v>
      </c>
      <c r="F573" t="s">
        <v>129</v>
      </c>
      <c r="G573" s="6">
        <v>43304</v>
      </c>
      <c r="H573">
        <v>140</v>
      </c>
      <c r="I573" t="s">
        <v>1324</v>
      </c>
      <c r="J573" t="s">
        <v>644</v>
      </c>
      <c r="K573" s="9">
        <v>8258.4599999999991</v>
      </c>
      <c r="L573" s="1">
        <f>8022+46.83</f>
        <v>8068.83</v>
      </c>
      <c r="M573" s="9">
        <f t="shared" si="59"/>
        <v>189.6299999999992</v>
      </c>
      <c r="N573">
        <v>50.49</v>
      </c>
      <c r="O573" s="11">
        <f>+M573-N573</f>
        <v>139.13999999999919</v>
      </c>
      <c r="P573" s="24">
        <f t="shared" si="60"/>
        <v>2.3501548551648543E-2</v>
      </c>
    </row>
    <row r="574" spans="1:16">
      <c r="A574">
        <v>35</v>
      </c>
      <c r="B574" t="s">
        <v>1325</v>
      </c>
      <c r="E574">
        <v>5</v>
      </c>
      <c r="F574" t="s">
        <v>129</v>
      </c>
      <c r="G574" s="6">
        <v>43305</v>
      </c>
      <c r="H574">
        <v>140</v>
      </c>
      <c r="I574" t="s">
        <v>1326</v>
      </c>
      <c r="J574" t="s">
        <v>644</v>
      </c>
      <c r="K574" s="9">
        <v>15937.1</v>
      </c>
      <c r="L574" s="1">
        <f>15675+41.53</f>
        <v>15716.53</v>
      </c>
      <c r="M574" s="9">
        <f t="shared" si="59"/>
        <v>220.56999999999971</v>
      </c>
      <c r="N574">
        <v>47.76</v>
      </c>
      <c r="O574" s="11">
        <f>+M574-N574</f>
        <v>172.80999999999972</v>
      </c>
      <c r="P574" s="24">
        <f t="shared" si="60"/>
        <v>1.4034268378579684E-2</v>
      </c>
    </row>
    <row r="575" spans="1:16">
      <c r="A575">
        <v>36</v>
      </c>
      <c r="B575" t="s">
        <v>1327</v>
      </c>
      <c r="E575">
        <v>7</v>
      </c>
      <c r="F575" t="s">
        <v>129</v>
      </c>
      <c r="G575" s="6">
        <v>43306</v>
      </c>
      <c r="H575">
        <v>140</v>
      </c>
      <c r="I575" t="s">
        <v>1328</v>
      </c>
      <c r="J575" t="s">
        <v>644</v>
      </c>
      <c r="K575" s="9">
        <v>12240.69</v>
      </c>
      <c r="L575" s="1">
        <f>12110+17.68</f>
        <v>12127.68</v>
      </c>
      <c r="M575" s="9">
        <f t="shared" si="59"/>
        <v>113.01000000000022</v>
      </c>
      <c r="N575">
        <v>20.87</v>
      </c>
      <c r="P575" s="24">
        <f t="shared" si="60"/>
        <v>9.3183527269848909E-3</v>
      </c>
    </row>
    <row r="576" spans="1:16">
      <c r="A576">
        <v>37</v>
      </c>
      <c r="B576" t="s">
        <v>1329</v>
      </c>
      <c r="E576">
        <v>19</v>
      </c>
      <c r="F576" s="208" t="s">
        <v>135</v>
      </c>
      <c r="G576" s="6">
        <v>43306</v>
      </c>
      <c r="H576">
        <v>140</v>
      </c>
      <c r="I576" t="s">
        <v>1330</v>
      </c>
      <c r="J576" t="s">
        <v>644</v>
      </c>
      <c r="K576" s="9">
        <v>3287</v>
      </c>
      <c r="L576" s="1">
        <v>3240.2</v>
      </c>
      <c r="M576" s="9">
        <f t="shared" si="59"/>
        <v>46.800000000000182</v>
      </c>
      <c r="P576" s="24">
        <f t="shared" si="60"/>
        <v>1.4443552867106968E-2</v>
      </c>
    </row>
    <row r="577" spans="1:16">
      <c r="A577">
        <v>38</v>
      </c>
      <c r="B577" t="s">
        <v>1331</v>
      </c>
      <c r="E577">
        <v>20</v>
      </c>
      <c r="F577" t="s">
        <v>135</v>
      </c>
      <c r="G577" s="6">
        <v>43306</v>
      </c>
      <c r="H577">
        <v>140</v>
      </c>
      <c r="I577" t="s">
        <v>1332</v>
      </c>
      <c r="J577" t="s">
        <v>644</v>
      </c>
      <c r="K577" s="9">
        <v>3036.4</v>
      </c>
      <c r="L577" s="1">
        <v>2985.2</v>
      </c>
      <c r="M577" s="9">
        <f t="shared" si="59"/>
        <v>51.200000000000273</v>
      </c>
      <c r="P577" s="24">
        <f t="shared" si="60"/>
        <v>1.7151279646254958E-2</v>
      </c>
    </row>
    <row r="578" spans="1:16">
      <c r="A578">
        <v>39</v>
      </c>
      <c r="B578" t="s">
        <v>1333</v>
      </c>
      <c r="E578">
        <v>4</v>
      </c>
      <c r="F578" t="s">
        <v>129</v>
      </c>
      <c r="G578" s="6">
        <v>43308</v>
      </c>
      <c r="H578">
        <v>140</v>
      </c>
      <c r="I578" t="s">
        <v>1334</v>
      </c>
      <c r="J578" t="s">
        <v>644</v>
      </c>
      <c r="K578" s="9">
        <v>24715.360000000001</v>
      </c>
      <c r="L578" s="1">
        <f>24320+14.93</f>
        <v>24334.93</v>
      </c>
      <c r="M578" s="9">
        <f t="shared" si="59"/>
        <v>380.43000000000029</v>
      </c>
      <c r="N578">
        <v>18.09</v>
      </c>
      <c r="O578" s="11">
        <f>+M578-N578</f>
        <v>362.34000000000032</v>
      </c>
      <c r="P578" s="24">
        <f t="shared" si="60"/>
        <v>1.5633083801761538E-2</v>
      </c>
    </row>
    <row r="579" spans="1:16">
      <c r="A579">
        <v>40</v>
      </c>
      <c r="B579" t="s">
        <v>1335</v>
      </c>
      <c r="E579">
        <v>1</v>
      </c>
      <c r="F579" t="s">
        <v>129</v>
      </c>
      <c r="G579" s="6">
        <v>43309</v>
      </c>
      <c r="H579">
        <v>120</v>
      </c>
      <c r="I579" t="s">
        <v>1336</v>
      </c>
      <c r="J579" t="s">
        <v>644</v>
      </c>
      <c r="K579" s="9">
        <v>1058</v>
      </c>
      <c r="L579" s="1">
        <f>1010+12.32</f>
        <v>1022.32</v>
      </c>
      <c r="M579" s="9">
        <f t="shared" si="59"/>
        <v>35.67999999999995</v>
      </c>
      <c r="N579">
        <v>12.96</v>
      </c>
      <c r="P579" s="24">
        <f t="shared" si="60"/>
        <v>3.4901009468659483E-2</v>
      </c>
    </row>
    <row r="580" spans="1:16">
      <c r="A580">
        <v>41</v>
      </c>
      <c r="B580" t="s">
        <v>1337</v>
      </c>
      <c r="E580">
        <v>30</v>
      </c>
      <c r="F580" s="208" t="s">
        <v>1338</v>
      </c>
      <c r="G580" s="6">
        <v>43311</v>
      </c>
      <c r="H580">
        <v>90</v>
      </c>
      <c r="I580" t="s">
        <v>1339</v>
      </c>
      <c r="J580" t="s">
        <v>644</v>
      </c>
      <c r="K580" s="9">
        <v>233.4</v>
      </c>
      <c r="L580" s="148">
        <v>199</v>
      </c>
      <c r="M580" s="9">
        <f t="shared" si="59"/>
        <v>34.400000000000006</v>
      </c>
      <c r="P580" s="24">
        <f t="shared" si="60"/>
        <v>0.17286432160804033</v>
      </c>
    </row>
    <row r="581" spans="1:16">
      <c r="A581">
        <v>42</v>
      </c>
      <c r="B581" t="s">
        <v>1340</v>
      </c>
      <c r="E581">
        <v>174</v>
      </c>
      <c r="F581" t="s">
        <v>946</v>
      </c>
      <c r="G581" s="6">
        <v>43311</v>
      </c>
      <c r="H581">
        <v>140</v>
      </c>
      <c r="I581" t="s">
        <v>1341</v>
      </c>
      <c r="J581" t="s">
        <v>644</v>
      </c>
      <c r="K581" s="9">
        <v>12472.32</v>
      </c>
      <c r="L581" s="1">
        <v>11239.82</v>
      </c>
      <c r="M581" s="9">
        <f t="shared" si="59"/>
        <v>1232.5</v>
      </c>
      <c r="P581" s="24">
        <f t="shared" si="60"/>
        <v>0.10965478094844938</v>
      </c>
    </row>
    <row r="582" spans="1:16">
      <c r="K582" s="64">
        <f>SUM(K540:K581)</f>
        <v>234278.9</v>
      </c>
      <c r="L582" s="26">
        <f>SUM(L540:L581)</f>
        <v>224170.86000000002</v>
      </c>
      <c r="M582" s="64">
        <f t="shared" si="59"/>
        <v>10108.039999999979</v>
      </c>
      <c r="P582" s="129">
        <f t="shared" si="60"/>
        <v>4.5090784770152492E-2</v>
      </c>
    </row>
    <row r="583" spans="1:16">
      <c r="N583" s="9">
        <f>M540+M541+M547+M549+M553+M555+M558+M559+M566+M572+M574+M578+M581</f>
        <v>8183.84</v>
      </c>
      <c r="P583" s="24"/>
    </row>
    <row r="584" spans="1:16">
      <c r="A584">
        <v>1</v>
      </c>
      <c r="B584" s="4" t="s">
        <v>1342</v>
      </c>
      <c r="E584">
        <v>9</v>
      </c>
      <c r="F584" s="208" t="s">
        <v>532</v>
      </c>
      <c r="G584" s="6">
        <v>43313</v>
      </c>
      <c r="H584">
        <v>160</v>
      </c>
      <c r="I584" t="s">
        <v>1343</v>
      </c>
      <c r="K584" s="9">
        <v>672.12</v>
      </c>
      <c r="L584" s="1">
        <v>513.1</v>
      </c>
      <c r="M584" s="9">
        <f t="shared" ref="M584:M629" si="61">K584-L584</f>
        <v>159.01999999999998</v>
      </c>
      <c r="P584" s="24">
        <f t="shared" ref="P584:P599" si="62">(K584/L584)-1</f>
        <v>0.30992009354901584</v>
      </c>
    </row>
    <row r="585" spans="1:16">
      <c r="A585">
        <v>2</v>
      </c>
      <c r="B585" s="4" t="s">
        <v>1344</v>
      </c>
      <c r="E585">
        <v>7</v>
      </c>
      <c r="F585" t="s">
        <v>129</v>
      </c>
      <c r="G585" s="6">
        <v>43313</v>
      </c>
      <c r="H585">
        <v>135</v>
      </c>
      <c r="I585" t="s">
        <v>1345</v>
      </c>
      <c r="J585" t="s">
        <v>644</v>
      </c>
      <c r="K585" s="9">
        <v>44394</v>
      </c>
      <c r="L585" s="1">
        <f>43400+78.04</f>
        <v>43478.04</v>
      </c>
      <c r="M585" s="9">
        <f t="shared" si="61"/>
        <v>915.95999999999913</v>
      </c>
      <c r="N585" s="9">
        <f>26.51+26.51+26.51</f>
        <v>79.53</v>
      </c>
      <c r="P585" s="24">
        <f t="shared" si="62"/>
        <v>2.1067187021309941E-2</v>
      </c>
    </row>
    <row r="586" spans="1:16">
      <c r="A586">
        <v>3</v>
      </c>
      <c r="B586" s="4" t="s">
        <v>1346</v>
      </c>
      <c r="E586">
        <v>75</v>
      </c>
      <c r="F586" t="s">
        <v>135</v>
      </c>
      <c r="G586" s="6">
        <v>43313</v>
      </c>
      <c r="H586">
        <v>160</v>
      </c>
      <c r="I586" t="s">
        <v>1347</v>
      </c>
      <c r="K586" s="9">
        <v>3587.25</v>
      </c>
      <c r="L586" s="1">
        <v>3521.25</v>
      </c>
      <c r="M586" s="9">
        <f t="shared" si="61"/>
        <v>66</v>
      </c>
      <c r="P586" s="24">
        <f t="shared" si="62"/>
        <v>1.8743343982960514E-2</v>
      </c>
    </row>
    <row r="587" spans="1:16">
      <c r="A587">
        <v>4</v>
      </c>
      <c r="B587" t="s">
        <v>1348</v>
      </c>
      <c r="E587">
        <v>8</v>
      </c>
      <c r="F587" t="s">
        <v>1349</v>
      </c>
      <c r="G587" s="6">
        <v>43315</v>
      </c>
      <c r="H587">
        <v>140</v>
      </c>
      <c r="I587" s="75" t="s">
        <v>1350</v>
      </c>
      <c r="K587" s="9">
        <v>1471.04</v>
      </c>
      <c r="L587" s="148">
        <v>1408</v>
      </c>
      <c r="M587" s="9">
        <f t="shared" si="61"/>
        <v>63.039999999999964</v>
      </c>
      <c r="P587" s="24">
        <f t="shared" si="62"/>
        <v>4.4772727272727186E-2</v>
      </c>
    </row>
    <row r="588" spans="1:16">
      <c r="A588">
        <v>5</v>
      </c>
      <c r="B588" s="4" t="s">
        <v>1351</v>
      </c>
      <c r="E588">
        <v>11</v>
      </c>
      <c r="F588" t="s">
        <v>1352</v>
      </c>
      <c r="G588" s="6">
        <v>43315</v>
      </c>
      <c r="H588">
        <v>110</v>
      </c>
      <c r="I588" t="s">
        <v>1353</v>
      </c>
      <c r="J588" t="s">
        <v>644</v>
      </c>
      <c r="K588" s="9">
        <v>1219.46</v>
      </c>
      <c r="L588" s="1">
        <v>1172.49</v>
      </c>
      <c r="M588" s="9">
        <f t="shared" si="61"/>
        <v>46.970000000000027</v>
      </c>
      <c r="P588" s="24">
        <f t="shared" si="62"/>
        <v>4.0060043156018521E-2</v>
      </c>
    </row>
    <row r="589" spans="1:16">
      <c r="A589">
        <v>6</v>
      </c>
      <c r="B589" t="s">
        <v>1354</v>
      </c>
      <c r="E589">
        <v>29</v>
      </c>
      <c r="F589" t="s">
        <v>129</v>
      </c>
      <c r="G589" s="6">
        <v>43318</v>
      </c>
      <c r="H589">
        <v>140</v>
      </c>
      <c r="I589" t="s">
        <v>1355</v>
      </c>
      <c r="J589" t="s">
        <v>644</v>
      </c>
      <c r="K589" s="9">
        <v>20979.759999999998</v>
      </c>
      <c r="L589" s="1">
        <f>20590+28.7</f>
        <v>20618.7</v>
      </c>
      <c r="M589" s="63">
        <f t="shared" si="61"/>
        <v>361.05999999999767</v>
      </c>
      <c r="N589">
        <v>37.17</v>
      </c>
      <c r="P589" s="24">
        <f t="shared" si="62"/>
        <v>1.7511288296546246E-2</v>
      </c>
    </row>
    <row r="590" spans="1:16">
      <c r="A590">
        <v>7</v>
      </c>
      <c r="B590" t="s">
        <v>1356</v>
      </c>
      <c r="E590">
        <v>3</v>
      </c>
      <c r="F590" t="s">
        <v>315</v>
      </c>
      <c r="G590" s="6">
        <v>43318</v>
      </c>
      <c r="H590">
        <v>130</v>
      </c>
      <c r="I590" t="s">
        <v>1357</v>
      </c>
      <c r="J590" t="s">
        <v>644</v>
      </c>
      <c r="K590" s="9">
        <v>1439.49</v>
      </c>
      <c r="L590" s="1">
        <v>1401</v>
      </c>
      <c r="M590" s="9">
        <f t="shared" si="61"/>
        <v>38.490000000000009</v>
      </c>
      <c r="P590" s="24">
        <f t="shared" si="62"/>
        <v>2.7473233404710973E-2</v>
      </c>
    </row>
    <row r="591" spans="1:16">
      <c r="A591">
        <v>8</v>
      </c>
      <c r="B591" t="s">
        <v>1358</v>
      </c>
      <c r="E591">
        <v>3</v>
      </c>
      <c r="F591" t="s">
        <v>315</v>
      </c>
      <c r="G591" s="6">
        <v>43318</v>
      </c>
      <c r="H591">
        <v>150</v>
      </c>
      <c r="I591" t="s">
        <v>1359</v>
      </c>
      <c r="J591" t="s">
        <v>644</v>
      </c>
      <c r="K591" s="9">
        <v>8553.5400000000009</v>
      </c>
      <c r="L591" s="1">
        <v>8457</v>
      </c>
      <c r="M591" s="9">
        <f t="shared" si="61"/>
        <v>96.540000000000873</v>
      </c>
      <c r="P591" s="24">
        <f t="shared" si="62"/>
        <v>1.1415395530329997E-2</v>
      </c>
    </row>
    <row r="592" spans="1:16">
      <c r="A592">
        <v>9</v>
      </c>
      <c r="B592" t="s">
        <v>1360</v>
      </c>
      <c r="E592">
        <v>1</v>
      </c>
      <c r="F592" t="s">
        <v>1361</v>
      </c>
      <c r="G592" s="6">
        <v>43320</v>
      </c>
      <c r="H592">
        <v>130</v>
      </c>
      <c r="K592" s="9">
        <v>0</v>
      </c>
      <c r="L592" s="1">
        <v>0</v>
      </c>
      <c r="M592" s="9">
        <f t="shared" si="61"/>
        <v>0</v>
      </c>
      <c r="P592" s="24" t="e">
        <f t="shared" si="62"/>
        <v>#DIV/0!</v>
      </c>
    </row>
    <row r="593" spans="1:17">
      <c r="A593">
        <v>10</v>
      </c>
      <c r="B593" s="4" t="s">
        <v>1362</v>
      </c>
      <c r="E593">
        <v>2</v>
      </c>
      <c r="F593" t="s">
        <v>1144</v>
      </c>
      <c r="G593" s="6">
        <v>43320</v>
      </c>
      <c r="H593">
        <v>300</v>
      </c>
      <c r="I593" t="s">
        <v>1363</v>
      </c>
      <c r="J593" t="s">
        <v>644</v>
      </c>
      <c r="K593" s="9">
        <v>33508</v>
      </c>
      <c r="L593" s="1">
        <v>32270</v>
      </c>
      <c r="M593" s="9">
        <f t="shared" si="61"/>
        <v>1238</v>
      </c>
      <c r="P593" s="24">
        <f t="shared" si="62"/>
        <v>3.8363805392005013E-2</v>
      </c>
    </row>
    <row r="594" spans="1:17">
      <c r="A594">
        <v>11</v>
      </c>
      <c r="B594" t="s">
        <v>1364</v>
      </c>
      <c r="E594">
        <v>12</v>
      </c>
      <c r="F594" t="s">
        <v>1365</v>
      </c>
      <c r="G594" s="6">
        <v>43321</v>
      </c>
      <c r="I594" t="s">
        <v>1366</v>
      </c>
      <c r="K594" s="9">
        <v>8140.68</v>
      </c>
      <c r="L594" s="1">
        <f>8004+270.03</f>
        <v>8274.0300000000007</v>
      </c>
      <c r="M594" s="9">
        <f t="shared" si="61"/>
        <v>-133.35000000000036</v>
      </c>
      <c r="P594" s="24">
        <f t="shared" si="62"/>
        <v>-1.6116692832875867E-2</v>
      </c>
    </row>
    <row r="595" spans="1:17">
      <c r="A595">
        <v>12</v>
      </c>
      <c r="B595" t="s">
        <v>1367</v>
      </c>
      <c r="E595">
        <v>11</v>
      </c>
      <c r="F595" t="s">
        <v>1243</v>
      </c>
      <c r="G595" s="6">
        <v>43322</v>
      </c>
      <c r="H595">
        <v>170</v>
      </c>
      <c r="I595" t="s">
        <v>1368</v>
      </c>
      <c r="J595" t="s">
        <v>644</v>
      </c>
      <c r="K595" s="9">
        <v>6450.29</v>
      </c>
      <c r="L595" s="1">
        <v>6303</v>
      </c>
      <c r="M595" s="9">
        <f t="shared" si="61"/>
        <v>147.28999999999996</v>
      </c>
      <c r="N595" s="75">
        <v>82.61</v>
      </c>
      <c r="O595">
        <f>Qcal!B13573</f>
        <v>0</v>
      </c>
      <c r="P595" s="24">
        <f t="shared" si="62"/>
        <v>2.3368237347294984E-2</v>
      </c>
    </row>
    <row r="596" spans="1:17">
      <c r="A596">
        <v>13</v>
      </c>
      <c r="B596" t="s">
        <v>1369</v>
      </c>
      <c r="E596">
        <v>18</v>
      </c>
      <c r="F596" t="s">
        <v>129</v>
      </c>
      <c r="G596" s="6">
        <v>43322</v>
      </c>
      <c r="H596">
        <v>140</v>
      </c>
      <c r="I596" t="s">
        <v>1370</v>
      </c>
      <c r="J596" t="s">
        <v>644</v>
      </c>
      <c r="K596" s="9">
        <v>31793.040000000001</v>
      </c>
      <c r="L596" s="1">
        <f>31140+30.75</f>
        <v>31170.75</v>
      </c>
      <c r="M596" s="63">
        <f t="shared" si="61"/>
        <v>622.29000000000087</v>
      </c>
      <c r="N596">
        <v>39.130000000000003</v>
      </c>
      <c r="P596" s="24">
        <f t="shared" si="62"/>
        <v>1.9963908471884784E-2</v>
      </c>
    </row>
    <row r="597" spans="1:17">
      <c r="A597">
        <v>14</v>
      </c>
      <c r="B597" t="s">
        <v>1371</v>
      </c>
      <c r="E597">
        <v>2</v>
      </c>
      <c r="F597" t="s">
        <v>1372</v>
      </c>
      <c r="G597" s="6">
        <v>43322</v>
      </c>
      <c r="J597" t="s">
        <v>644</v>
      </c>
      <c r="K597" s="9">
        <v>189.36</v>
      </c>
      <c r="L597" s="1">
        <v>54.31</v>
      </c>
      <c r="M597" s="9">
        <f t="shared" si="61"/>
        <v>135.05000000000001</v>
      </c>
      <c r="P597" s="24">
        <f t="shared" si="62"/>
        <v>2.4866507088933898</v>
      </c>
    </row>
    <row r="598" spans="1:17">
      <c r="A598">
        <v>15</v>
      </c>
      <c r="B598" t="s">
        <v>1373</v>
      </c>
      <c r="E598">
        <v>1</v>
      </c>
      <c r="F598" t="s">
        <v>135</v>
      </c>
      <c r="G598" s="6">
        <v>43325</v>
      </c>
      <c r="H598">
        <v>120</v>
      </c>
      <c r="I598" t="s">
        <v>1374</v>
      </c>
      <c r="K598" s="9">
        <v>289.77999999999997</v>
      </c>
      <c r="L598" s="1">
        <v>258.99</v>
      </c>
      <c r="M598" s="9">
        <f t="shared" si="61"/>
        <v>30.789999999999964</v>
      </c>
      <c r="P598" s="24">
        <f t="shared" si="62"/>
        <v>0.11888489903085042</v>
      </c>
    </row>
    <row r="599" spans="1:17">
      <c r="A599">
        <v>16</v>
      </c>
      <c r="B599" t="s">
        <v>1375</v>
      </c>
      <c r="E599">
        <v>1</v>
      </c>
      <c r="F599" t="s">
        <v>1376</v>
      </c>
      <c r="G599" s="6">
        <v>43325</v>
      </c>
      <c r="H599">
        <v>120</v>
      </c>
      <c r="I599" t="s">
        <v>1377</v>
      </c>
      <c r="K599" s="9">
        <v>607.64</v>
      </c>
      <c r="L599" s="1">
        <v>581.36</v>
      </c>
      <c r="M599" s="9">
        <f t="shared" si="61"/>
        <v>26.279999999999973</v>
      </c>
      <c r="P599" s="24">
        <f t="shared" si="62"/>
        <v>4.5204348424384255E-2</v>
      </c>
    </row>
    <row r="600" spans="1:17">
      <c r="A600">
        <v>17</v>
      </c>
      <c r="B600" t="s">
        <v>1378</v>
      </c>
      <c r="E600">
        <v>37</v>
      </c>
      <c r="F600" s="208" t="s">
        <v>1379</v>
      </c>
      <c r="G600" s="6">
        <v>43325</v>
      </c>
      <c r="H600">
        <v>140</v>
      </c>
      <c r="I600" t="s">
        <v>1380</v>
      </c>
      <c r="K600" s="9">
        <v>11629.84</v>
      </c>
      <c r="L600" s="1">
        <v>11663</v>
      </c>
      <c r="M600" s="9">
        <f t="shared" si="61"/>
        <v>-33.159999999999854</v>
      </c>
      <c r="P600" s="24" t="e">
        <f>(#REF!/L600)-1</f>
        <v>#REF!</v>
      </c>
    </row>
    <row r="601" spans="1:17">
      <c r="A601">
        <v>18</v>
      </c>
      <c r="B601" t="s">
        <v>1381</v>
      </c>
      <c r="E601">
        <v>10</v>
      </c>
      <c r="F601" t="s">
        <v>1382</v>
      </c>
      <c r="G601" s="6">
        <v>43325</v>
      </c>
      <c r="H601">
        <v>140</v>
      </c>
      <c r="K601" s="9">
        <v>2480</v>
      </c>
      <c r="L601" s="1">
        <v>2480</v>
      </c>
      <c r="M601" s="9">
        <f t="shared" si="61"/>
        <v>0</v>
      </c>
      <c r="P601" s="24">
        <f>(K600/L601)-1</f>
        <v>3.689451612903226</v>
      </c>
    </row>
    <row r="602" spans="1:17">
      <c r="A602">
        <v>19</v>
      </c>
      <c r="B602" t="s">
        <v>1383</v>
      </c>
      <c r="E602">
        <v>1</v>
      </c>
      <c r="F602" t="s">
        <v>1299</v>
      </c>
      <c r="G602" s="6">
        <v>43325</v>
      </c>
      <c r="I602" t="s">
        <v>1384</v>
      </c>
      <c r="K602" s="9">
        <v>78</v>
      </c>
      <c r="L602" s="1">
        <v>43.96</v>
      </c>
      <c r="M602" s="9">
        <f t="shared" si="61"/>
        <v>34.04</v>
      </c>
      <c r="P602" s="24">
        <f t="shared" ref="P602:P636" si="63">(K602/L602)-1</f>
        <v>0.77434030937215637</v>
      </c>
    </row>
    <row r="603" spans="1:17">
      <c r="A603">
        <v>20</v>
      </c>
      <c r="B603" t="s">
        <v>1385</v>
      </c>
      <c r="E603">
        <v>8</v>
      </c>
      <c r="F603" t="s">
        <v>135</v>
      </c>
      <c r="G603" s="6">
        <v>43325</v>
      </c>
      <c r="H603">
        <v>160</v>
      </c>
      <c r="I603" t="s">
        <v>1386</v>
      </c>
      <c r="K603" s="9">
        <v>3691.04</v>
      </c>
      <c r="L603" s="1">
        <v>3622.3</v>
      </c>
      <c r="M603" s="9">
        <f t="shared" si="61"/>
        <v>68.739999999999782</v>
      </c>
      <c r="P603" s="24">
        <f t="shared" si="63"/>
        <v>1.8976893134196482E-2</v>
      </c>
    </row>
    <row r="604" spans="1:17">
      <c r="A604">
        <v>21</v>
      </c>
      <c r="B604" t="s">
        <v>1387</v>
      </c>
      <c r="E604">
        <v>24</v>
      </c>
      <c r="F604" t="s">
        <v>1388</v>
      </c>
      <c r="G604" s="6">
        <v>43325</v>
      </c>
      <c r="K604" s="9">
        <v>0</v>
      </c>
      <c r="L604" s="1">
        <v>0</v>
      </c>
      <c r="M604" s="9">
        <f t="shared" si="61"/>
        <v>0</v>
      </c>
      <c r="P604" s="24" t="e">
        <f t="shared" si="63"/>
        <v>#DIV/0!</v>
      </c>
    </row>
    <row r="605" spans="1:17">
      <c r="A605">
        <v>22</v>
      </c>
      <c r="B605" t="s">
        <v>1389</v>
      </c>
      <c r="E605">
        <v>95</v>
      </c>
      <c r="F605" t="s">
        <v>135</v>
      </c>
      <c r="G605" s="6">
        <v>43325</v>
      </c>
      <c r="H605">
        <v>140</v>
      </c>
      <c r="I605" t="s">
        <v>1390</v>
      </c>
      <c r="K605" s="9">
        <v>6931.2</v>
      </c>
      <c r="L605" s="1">
        <v>6827</v>
      </c>
      <c r="M605" s="9">
        <f t="shared" si="61"/>
        <v>104.19999999999982</v>
      </c>
      <c r="N605" s="75">
        <f>28.42+28.42</f>
        <v>56.84</v>
      </c>
      <c r="P605" s="24">
        <f t="shared" si="63"/>
        <v>1.5262926614911354E-2</v>
      </c>
      <c r="Q605" s="74" t="s">
        <v>1391</v>
      </c>
    </row>
    <row r="606" spans="1:17">
      <c r="A606">
        <v>23</v>
      </c>
      <c r="B606" t="s">
        <v>1392</v>
      </c>
      <c r="E606">
        <v>10</v>
      </c>
      <c r="F606" s="75" t="s">
        <v>1393</v>
      </c>
      <c r="G606" s="6">
        <v>43327</v>
      </c>
      <c r="K606" s="9">
        <v>0</v>
      </c>
      <c r="L606" s="1">
        <v>0</v>
      </c>
      <c r="M606" s="9">
        <f t="shared" si="61"/>
        <v>0</v>
      </c>
      <c r="P606" s="24" t="e">
        <f t="shared" si="63"/>
        <v>#DIV/0!</v>
      </c>
    </row>
    <row r="607" spans="1:17">
      <c r="A607">
        <v>24</v>
      </c>
      <c r="B607" t="s">
        <v>1394</v>
      </c>
      <c r="E607">
        <v>42</v>
      </c>
      <c r="F607" s="208" t="s">
        <v>135</v>
      </c>
      <c r="G607" s="6">
        <v>43327</v>
      </c>
      <c r="H607">
        <v>140</v>
      </c>
      <c r="I607" t="s">
        <v>1395</v>
      </c>
      <c r="K607" s="9">
        <v>4423.4399999999996</v>
      </c>
      <c r="L607" s="1">
        <v>4360</v>
      </c>
      <c r="M607" s="9">
        <f t="shared" si="61"/>
        <v>63.4399999999996</v>
      </c>
      <c r="P607" s="24">
        <f t="shared" si="63"/>
        <v>1.4550458715596237E-2</v>
      </c>
    </row>
    <row r="608" spans="1:17">
      <c r="A608">
        <v>25</v>
      </c>
      <c r="B608" s="4" t="s">
        <v>1396</v>
      </c>
      <c r="E608">
        <v>46</v>
      </c>
      <c r="F608" t="s">
        <v>858</v>
      </c>
      <c r="G608" s="6">
        <v>43327</v>
      </c>
      <c r="H608">
        <v>170</v>
      </c>
      <c r="I608" t="s">
        <v>1397</v>
      </c>
      <c r="K608" s="9">
        <v>10335.74</v>
      </c>
      <c r="L608" s="1">
        <v>10205.56</v>
      </c>
      <c r="M608" s="9">
        <f t="shared" si="61"/>
        <v>130.18000000000029</v>
      </c>
      <c r="P608" s="24">
        <f t="shared" si="63"/>
        <v>1.2755791940863626E-2</v>
      </c>
    </row>
    <row r="609" spans="1:17">
      <c r="A609">
        <v>26</v>
      </c>
      <c r="B609" s="4" t="s">
        <v>1398</v>
      </c>
      <c r="E609">
        <v>101</v>
      </c>
      <c r="F609" t="s">
        <v>508</v>
      </c>
      <c r="G609" s="6">
        <v>43327</v>
      </c>
      <c r="H609">
        <v>180</v>
      </c>
      <c r="I609" t="s">
        <v>1399</v>
      </c>
      <c r="J609" t="s">
        <v>644</v>
      </c>
      <c r="K609" s="9">
        <v>82580.63</v>
      </c>
      <c r="L609" s="1">
        <v>76794.86</v>
      </c>
      <c r="M609" s="9">
        <f t="shared" si="61"/>
        <v>5785.7700000000041</v>
      </c>
      <c r="P609" s="24">
        <f t="shared" si="63"/>
        <v>7.5340589200891817E-2</v>
      </c>
    </row>
    <row r="610" spans="1:17">
      <c r="A610">
        <v>27</v>
      </c>
      <c r="B610" s="4" t="s">
        <v>1400</v>
      </c>
      <c r="E610">
        <v>1</v>
      </c>
      <c r="F610" t="s">
        <v>1144</v>
      </c>
      <c r="G610" s="6">
        <v>43329</v>
      </c>
      <c r="H610">
        <v>270</v>
      </c>
      <c r="I610" t="s">
        <v>1401</v>
      </c>
      <c r="J610" t="s">
        <v>644</v>
      </c>
      <c r="K610" s="9">
        <v>19909</v>
      </c>
      <c r="L610" s="1">
        <v>19500</v>
      </c>
      <c r="M610" s="9">
        <f t="shared" si="61"/>
        <v>409</v>
      </c>
      <c r="P610" s="24">
        <f t="shared" si="63"/>
        <v>2.0974358974358953E-2</v>
      </c>
    </row>
    <row r="611" spans="1:17">
      <c r="A611">
        <v>28</v>
      </c>
      <c r="B611" t="s">
        <v>1402</v>
      </c>
      <c r="E611">
        <v>20</v>
      </c>
      <c r="F611" t="s">
        <v>1403</v>
      </c>
      <c r="G611" s="6">
        <v>43329</v>
      </c>
      <c r="K611" s="9">
        <v>0</v>
      </c>
      <c r="L611" s="1">
        <v>0</v>
      </c>
      <c r="M611" s="9">
        <f t="shared" si="61"/>
        <v>0</v>
      </c>
      <c r="P611" s="24" t="e">
        <f t="shared" si="63"/>
        <v>#DIV/0!</v>
      </c>
    </row>
    <row r="612" spans="1:17">
      <c r="A612">
        <v>29</v>
      </c>
      <c r="B612" t="s">
        <v>1404</v>
      </c>
      <c r="E612">
        <v>31</v>
      </c>
      <c r="F612" t="s">
        <v>1047</v>
      </c>
      <c r="G612" s="6">
        <v>43332</v>
      </c>
      <c r="H612">
        <v>120</v>
      </c>
      <c r="I612" t="s">
        <v>1405</v>
      </c>
      <c r="J612" t="s">
        <v>644</v>
      </c>
      <c r="K612" s="9">
        <v>1729.49</v>
      </c>
      <c r="L612" s="1">
        <v>1643</v>
      </c>
      <c r="M612" s="9">
        <f t="shared" si="61"/>
        <v>86.490000000000009</v>
      </c>
      <c r="P612" s="24">
        <f t="shared" si="63"/>
        <v>5.2641509433962286E-2</v>
      </c>
    </row>
    <row r="613" spans="1:17">
      <c r="A613">
        <v>30</v>
      </c>
      <c r="B613" t="s">
        <v>1406</v>
      </c>
      <c r="E613">
        <v>20</v>
      </c>
      <c r="F613" t="s">
        <v>129</v>
      </c>
      <c r="G613" s="6">
        <v>43335</v>
      </c>
      <c r="H613">
        <v>140</v>
      </c>
      <c r="I613" t="s">
        <v>1407</v>
      </c>
      <c r="J613" t="s">
        <v>644</v>
      </c>
      <c r="K613" s="9">
        <v>23617.599999999999</v>
      </c>
      <c r="L613" s="1">
        <f>23200+28.07</f>
        <v>23228.07</v>
      </c>
      <c r="M613" s="63">
        <f t="shared" si="61"/>
        <v>389.52999999999884</v>
      </c>
      <c r="N613">
        <v>34.049999999999997</v>
      </c>
      <c r="P613" s="24">
        <f t="shared" si="63"/>
        <v>1.6769796199167519E-2</v>
      </c>
    </row>
    <row r="614" spans="1:17">
      <c r="A614">
        <v>31</v>
      </c>
      <c r="B614" t="s">
        <v>1408</v>
      </c>
      <c r="E614">
        <v>1</v>
      </c>
      <c r="F614" t="s">
        <v>315</v>
      </c>
      <c r="G614" s="6">
        <v>43335</v>
      </c>
      <c r="H614">
        <v>140</v>
      </c>
      <c r="I614" t="s">
        <v>1409</v>
      </c>
      <c r="K614" s="9">
        <v>1462.46</v>
      </c>
      <c r="L614" s="1">
        <v>1422</v>
      </c>
      <c r="M614" s="9">
        <f t="shared" si="61"/>
        <v>40.460000000000036</v>
      </c>
      <c r="P614" s="24">
        <f t="shared" si="63"/>
        <v>2.8452883263009765E-2</v>
      </c>
    </row>
    <row r="615" spans="1:17">
      <c r="A615">
        <v>32</v>
      </c>
      <c r="B615" t="s">
        <v>1410</v>
      </c>
      <c r="E615">
        <v>6</v>
      </c>
      <c r="F615" t="s">
        <v>129</v>
      </c>
      <c r="G615" s="6">
        <v>43335</v>
      </c>
      <c r="H615">
        <v>140</v>
      </c>
      <c r="I615" t="s">
        <v>1411</v>
      </c>
      <c r="J615" t="s">
        <v>644</v>
      </c>
      <c r="K615" s="9">
        <v>5558.4</v>
      </c>
      <c r="L615" s="1">
        <f>5430+15.85</f>
        <v>5445.85</v>
      </c>
      <c r="M615" s="9">
        <f t="shared" si="61"/>
        <v>112.54999999999927</v>
      </c>
      <c r="N615">
        <v>20.170000000000002</v>
      </c>
      <c r="P615" s="24">
        <f t="shared" si="63"/>
        <v>2.0667113490088651E-2</v>
      </c>
    </row>
    <row r="616" spans="1:17">
      <c r="A616">
        <v>33</v>
      </c>
      <c r="B616" t="s">
        <v>1412</v>
      </c>
      <c r="E616">
        <v>4</v>
      </c>
      <c r="F616" t="s">
        <v>814</v>
      </c>
      <c r="G616" s="6">
        <v>43335</v>
      </c>
      <c r="H616">
        <v>120</v>
      </c>
      <c r="I616" t="s">
        <v>1413</v>
      </c>
      <c r="K616" s="9">
        <v>1671.32</v>
      </c>
      <c r="L616" s="1">
        <v>1615.8</v>
      </c>
      <c r="M616" s="9">
        <f t="shared" si="61"/>
        <v>55.519999999999982</v>
      </c>
      <c r="N616">
        <v>17.690000000000001</v>
      </c>
      <c r="P616" s="24">
        <f t="shared" si="63"/>
        <v>3.4360688203985523E-2</v>
      </c>
    </row>
    <row r="617" spans="1:17">
      <c r="A617">
        <v>34</v>
      </c>
      <c r="B617" s="4" t="s">
        <v>1414</v>
      </c>
      <c r="E617">
        <v>15</v>
      </c>
      <c r="F617" t="s">
        <v>1415</v>
      </c>
      <c r="G617" s="6">
        <v>43337</v>
      </c>
      <c r="I617" t="s">
        <v>1416</v>
      </c>
      <c r="J617" t="s">
        <v>644</v>
      </c>
      <c r="K617" s="9">
        <v>11546.7</v>
      </c>
      <c r="L617" s="1">
        <v>11220</v>
      </c>
      <c r="M617" s="9">
        <f t="shared" si="61"/>
        <v>326.70000000000073</v>
      </c>
      <c r="P617" s="24">
        <f t="shared" si="63"/>
        <v>2.9117647058823692E-2</v>
      </c>
    </row>
    <row r="618" spans="1:17">
      <c r="A618">
        <v>35</v>
      </c>
      <c r="B618" t="s">
        <v>1417</v>
      </c>
      <c r="E618">
        <v>3</v>
      </c>
      <c r="F618" t="s">
        <v>527</v>
      </c>
      <c r="G618" s="6">
        <v>43339</v>
      </c>
      <c r="H618">
        <v>120</v>
      </c>
      <c r="I618" t="s">
        <v>1418</v>
      </c>
      <c r="K618" s="9">
        <v>2909.28</v>
      </c>
      <c r="L618" s="1">
        <f>923*3</f>
        <v>2769</v>
      </c>
      <c r="M618" s="9">
        <f t="shared" si="61"/>
        <v>140.2800000000002</v>
      </c>
      <c r="P618" s="24">
        <f t="shared" si="63"/>
        <v>5.0660888407367377E-2</v>
      </c>
    </row>
    <row r="619" spans="1:17">
      <c r="A619">
        <v>36</v>
      </c>
      <c r="B619" t="s">
        <v>1419</v>
      </c>
      <c r="E619">
        <v>6</v>
      </c>
      <c r="F619" t="s">
        <v>129</v>
      </c>
      <c r="G619" s="6">
        <v>43339</v>
      </c>
      <c r="H619">
        <v>120</v>
      </c>
      <c r="I619" t="s">
        <v>1420</v>
      </c>
      <c r="K619" s="9">
        <v>9345.48</v>
      </c>
      <c r="L619" s="1">
        <f>9180+18.66</f>
        <v>9198.66</v>
      </c>
      <c r="M619" s="63">
        <f t="shared" si="61"/>
        <v>146.81999999999971</v>
      </c>
      <c r="N619">
        <v>24.97</v>
      </c>
      <c r="P619" s="24">
        <f t="shared" si="63"/>
        <v>1.5961020409494431E-2</v>
      </c>
    </row>
    <row r="620" spans="1:17">
      <c r="A620">
        <v>37</v>
      </c>
      <c r="B620" t="s">
        <v>1421</v>
      </c>
      <c r="E620">
        <v>3</v>
      </c>
      <c r="F620" t="s">
        <v>446</v>
      </c>
      <c r="G620" s="6">
        <v>43339</v>
      </c>
      <c r="H620">
        <v>120</v>
      </c>
      <c r="I620" t="s">
        <v>1422</v>
      </c>
      <c r="K620" s="9">
        <v>916.83</v>
      </c>
      <c r="L620" s="1">
        <v>871.53</v>
      </c>
      <c r="M620" s="9">
        <f t="shared" si="61"/>
        <v>45.300000000000068</v>
      </c>
      <c r="P620" s="24">
        <f t="shared" si="63"/>
        <v>5.1977556710612438E-2</v>
      </c>
    </row>
    <row r="621" spans="1:17">
      <c r="A621">
        <v>38</v>
      </c>
      <c r="B621" t="s">
        <v>1423</v>
      </c>
      <c r="E621">
        <v>6</v>
      </c>
      <c r="F621" t="s">
        <v>129</v>
      </c>
      <c r="G621" s="6">
        <v>43339</v>
      </c>
      <c r="H621">
        <v>120</v>
      </c>
      <c r="I621" t="s">
        <v>1424</v>
      </c>
      <c r="K621" s="9">
        <v>6290.4</v>
      </c>
      <c r="L621" s="1">
        <f>6150+25.2</f>
        <v>6175.2</v>
      </c>
      <c r="M621" s="63">
        <f t="shared" si="61"/>
        <v>115.19999999999982</v>
      </c>
      <c r="N621">
        <v>33.97</v>
      </c>
      <c r="P621" s="24">
        <f t="shared" si="63"/>
        <v>1.8655266226195177E-2</v>
      </c>
    </row>
    <row r="622" spans="1:17">
      <c r="A622">
        <v>39</v>
      </c>
      <c r="B622" t="s">
        <v>1425</v>
      </c>
      <c r="E622">
        <v>1</v>
      </c>
      <c r="F622" s="75" t="s">
        <v>1191</v>
      </c>
      <c r="G622" s="6">
        <v>43339</v>
      </c>
      <c r="I622" t="s">
        <v>1426</v>
      </c>
      <c r="K622" s="9">
        <v>4366</v>
      </c>
      <c r="L622" s="1">
        <f>4244+43.39</f>
        <v>4287.3900000000003</v>
      </c>
      <c r="M622" s="63">
        <f t="shared" si="61"/>
        <v>78.609999999999673</v>
      </c>
      <c r="N622">
        <v>52.7</v>
      </c>
      <c r="P622" s="24">
        <f t="shared" si="63"/>
        <v>1.8335164284098093E-2</v>
      </c>
    </row>
    <row r="623" spans="1:17">
      <c r="A623">
        <v>40</v>
      </c>
      <c r="B623" t="s">
        <v>1427</v>
      </c>
      <c r="E623">
        <v>384</v>
      </c>
      <c r="F623" t="s">
        <v>135</v>
      </c>
      <c r="G623" s="6">
        <v>43339</v>
      </c>
      <c r="I623" t="s">
        <v>1428</v>
      </c>
      <c r="K623" s="9">
        <v>6923.52</v>
      </c>
      <c r="L623" s="1">
        <f>17.56*384</f>
        <v>6743.0399999999991</v>
      </c>
      <c r="M623" s="9">
        <f t="shared" si="61"/>
        <v>180.48000000000138</v>
      </c>
      <c r="P623" s="24">
        <f t="shared" si="63"/>
        <v>2.6765375854214346E-2</v>
      </c>
    </row>
    <row r="624" spans="1:17">
      <c r="A624">
        <v>41</v>
      </c>
      <c r="B624" t="s">
        <v>1429</v>
      </c>
      <c r="E624">
        <v>32</v>
      </c>
      <c r="F624" s="208" t="s">
        <v>135</v>
      </c>
      <c r="G624" s="6">
        <v>43340</v>
      </c>
      <c r="I624" t="s">
        <v>1430</v>
      </c>
      <c r="K624" s="9">
        <v>2029.76</v>
      </c>
      <c r="L624" s="1">
        <v>1898.4</v>
      </c>
      <c r="M624" s="9">
        <f t="shared" si="61"/>
        <v>131.3599999999999</v>
      </c>
      <c r="P624" s="24">
        <f t="shared" si="63"/>
        <v>6.9195111672987641E-2</v>
      </c>
      <c r="Q624" s="73" t="s">
        <v>1431</v>
      </c>
    </row>
    <row r="625" spans="1:17">
      <c r="A625">
        <v>42</v>
      </c>
      <c r="B625" t="s">
        <v>1432</v>
      </c>
      <c r="E625">
        <v>14</v>
      </c>
      <c r="F625" t="s">
        <v>129</v>
      </c>
      <c r="G625" s="6">
        <v>43340</v>
      </c>
      <c r="I625" t="s">
        <v>1433</v>
      </c>
      <c r="K625" s="9">
        <v>11667.6</v>
      </c>
      <c r="L625" s="1">
        <f>11480+30.31</f>
        <v>11510.31</v>
      </c>
      <c r="M625" s="63">
        <f t="shared" si="61"/>
        <v>157.29000000000087</v>
      </c>
      <c r="N625">
        <f>18.52+32.04</f>
        <v>50.56</v>
      </c>
      <c r="O625" s="11">
        <f>+M625-N625</f>
        <v>106.73000000000087</v>
      </c>
      <c r="P625" s="24">
        <f t="shared" si="63"/>
        <v>1.3665140209082161E-2</v>
      </c>
    </row>
    <row r="626" spans="1:17">
      <c r="A626">
        <v>43</v>
      </c>
      <c r="B626" t="s">
        <v>1434</v>
      </c>
      <c r="E626">
        <v>6</v>
      </c>
      <c r="F626" t="s">
        <v>1435</v>
      </c>
      <c r="G626" s="6">
        <v>43341</v>
      </c>
      <c r="H626">
        <v>140</v>
      </c>
      <c r="I626" t="s">
        <v>1436</v>
      </c>
      <c r="J626" t="s">
        <v>644</v>
      </c>
      <c r="K626" s="9">
        <v>4273.68</v>
      </c>
      <c r="L626" s="1">
        <v>4218</v>
      </c>
      <c r="M626" s="9">
        <f t="shared" si="61"/>
        <v>55.680000000000291</v>
      </c>
      <c r="P626" s="24">
        <f t="shared" si="63"/>
        <v>1.3200568990042738E-2</v>
      </c>
    </row>
    <row r="627" spans="1:17">
      <c r="A627">
        <v>44</v>
      </c>
      <c r="B627" t="s">
        <v>1437</v>
      </c>
      <c r="E627">
        <v>13</v>
      </c>
      <c r="F627" t="s">
        <v>1438</v>
      </c>
      <c r="G627" s="6">
        <v>43341</v>
      </c>
      <c r="H627">
        <v>120</v>
      </c>
      <c r="I627" t="s">
        <v>1439</v>
      </c>
      <c r="K627" s="9">
        <v>4694.82</v>
      </c>
      <c r="L627" s="1">
        <v>4903.6000000000004</v>
      </c>
      <c r="M627" s="9">
        <f t="shared" si="61"/>
        <v>-208.78000000000065</v>
      </c>
      <c r="P627" s="24">
        <f t="shared" si="63"/>
        <v>-4.2576882290562112E-2</v>
      </c>
      <c r="Q627" s="73" t="s">
        <v>1440</v>
      </c>
    </row>
    <row r="628" spans="1:17">
      <c r="A628">
        <v>45</v>
      </c>
      <c r="B628" t="s">
        <v>1441</v>
      </c>
      <c r="E628">
        <v>5</v>
      </c>
      <c r="F628" t="s">
        <v>135</v>
      </c>
      <c r="G628" s="6">
        <v>43341</v>
      </c>
      <c r="H628">
        <v>140</v>
      </c>
      <c r="I628" t="s">
        <v>1442</v>
      </c>
      <c r="K628" s="9">
        <v>2492.9</v>
      </c>
      <c r="L628" s="1">
        <f>489.62*5</f>
        <v>2448.1</v>
      </c>
      <c r="M628" s="9">
        <f t="shared" si="61"/>
        <v>44.800000000000182</v>
      </c>
      <c r="P628" s="24">
        <f t="shared" si="63"/>
        <v>1.8299906049589643E-2</v>
      </c>
    </row>
    <row r="629" spans="1:17">
      <c r="K629" s="64">
        <f>SUM(K584:K628)</f>
        <v>406850.58000000007</v>
      </c>
      <c r="L629" s="26">
        <f>SUM(L584:L628)</f>
        <v>394576.64999999991</v>
      </c>
      <c r="M629" s="64">
        <f t="shared" si="61"/>
        <v>12273.930000000168</v>
      </c>
      <c r="P629" s="129">
        <f t="shared" si="63"/>
        <v>3.1106579672163015E-2</v>
      </c>
    </row>
    <row r="630" spans="1:17">
      <c r="P630" s="24" t="e">
        <f t="shared" si="63"/>
        <v>#DIV/0!</v>
      </c>
    </row>
    <row r="631" spans="1:17">
      <c r="A631">
        <v>1</v>
      </c>
      <c r="B631" t="s">
        <v>1443</v>
      </c>
      <c r="E631">
        <v>18</v>
      </c>
      <c r="F631" t="s">
        <v>1444</v>
      </c>
      <c r="G631" s="199">
        <v>43347</v>
      </c>
      <c r="H631">
        <v>120</v>
      </c>
      <c r="K631" s="9">
        <v>0</v>
      </c>
      <c r="L631">
        <v>0</v>
      </c>
      <c r="P631" s="24" t="e">
        <f t="shared" si="63"/>
        <v>#DIV/0!</v>
      </c>
    </row>
    <row r="632" spans="1:17">
      <c r="A632">
        <v>2</v>
      </c>
      <c r="B632" s="4" t="s">
        <v>1445</v>
      </c>
      <c r="E632">
        <v>6</v>
      </c>
      <c r="F632" s="75" t="s">
        <v>1446</v>
      </c>
      <c r="G632" s="199">
        <v>43347</v>
      </c>
      <c r="H632">
        <v>140</v>
      </c>
      <c r="I632" t="s">
        <v>1447</v>
      </c>
      <c r="K632" s="9">
        <v>5672.28</v>
      </c>
      <c r="L632" s="1">
        <v>5655.3</v>
      </c>
      <c r="M632" s="9">
        <f t="shared" ref="M632:M663" si="64">K632-L632</f>
        <v>16.979999999999563</v>
      </c>
      <c r="P632" s="24">
        <f t="shared" si="63"/>
        <v>3.0024932364329793E-3</v>
      </c>
    </row>
    <row r="633" spans="1:17">
      <c r="A633">
        <v>3</v>
      </c>
      <c r="B633" t="s">
        <v>1448</v>
      </c>
      <c r="E633">
        <v>3</v>
      </c>
      <c r="F633" t="s">
        <v>1449</v>
      </c>
      <c r="G633" s="199">
        <v>43347</v>
      </c>
      <c r="H633">
        <v>120</v>
      </c>
      <c r="I633" t="s">
        <v>1450</v>
      </c>
      <c r="K633" s="9">
        <v>1669.29</v>
      </c>
      <c r="L633" s="1">
        <f>529.02*3</f>
        <v>1587.06</v>
      </c>
      <c r="M633" s="9">
        <f t="shared" si="64"/>
        <v>82.230000000000018</v>
      </c>
      <c r="N633">
        <v>32.119999999999997</v>
      </c>
      <c r="P633" s="24">
        <f t="shared" si="63"/>
        <v>5.1812785906014902E-2</v>
      </c>
    </row>
    <row r="634" spans="1:17">
      <c r="A634">
        <v>4</v>
      </c>
      <c r="B634" s="4" t="s">
        <v>1451</v>
      </c>
      <c r="E634">
        <v>167</v>
      </c>
      <c r="F634" t="s">
        <v>1452</v>
      </c>
      <c r="G634" s="199">
        <v>43347</v>
      </c>
      <c r="H634">
        <v>160</v>
      </c>
      <c r="I634" t="s">
        <v>1453</v>
      </c>
      <c r="K634" s="9">
        <v>9417.1299999999992</v>
      </c>
      <c r="L634" s="1">
        <v>9261.82</v>
      </c>
      <c r="M634" s="9">
        <f t="shared" si="64"/>
        <v>155.30999999999949</v>
      </c>
      <c r="P634" s="24">
        <f t="shared" si="63"/>
        <v>1.6768842408943385E-2</v>
      </c>
    </row>
    <row r="635" spans="1:17">
      <c r="A635">
        <v>5</v>
      </c>
      <c r="B635" t="s">
        <v>1454</v>
      </c>
      <c r="E635">
        <v>40</v>
      </c>
      <c r="F635" s="208" t="s">
        <v>135</v>
      </c>
      <c r="G635" s="199">
        <v>43347</v>
      </c>
      <c r="H635">
        <v>140</v>
      </c>
      <c r="I635" t="s">
        <v>1455</v>
      </c>
      <c r="K635" s="9">
        <v>5266.8</v>
      </c>
      <c r="L635" s="1">
        <v>5360</v>
      </c>
      <c r="M635" s="9">
        <f t="shared" si="64"/>
        <v>-93.199999999999818</v>
      </c>
      <c r="P635" s="24">
        <f t="shared" si="63"/>
        <v>-1.7388059701492486E-2</v>
      </c>
    </row>
    <row r="636" spans="1:17">
      <c r="A636">
        <v>6</v>
      </c>
      <c r="B636" t="s">
        <v>1456</v>
      </c>
      <c r="E636">
        <v>100</v>
      </c>
      <c r="F636" t="s">
        <v>821</v>
      </c>
      <c r="G636" s="199">
        <v>43347</v>
      </c>
      <c r="I636" t="s">
        <v>1457</v>
      </c>
      <c r="K636" s="9">
        <v>6109</v>
      </c>
      <c r="L636" s="1">
        <v>5950</v>
      </c>
      <c r="M636" s="9">
        <f t="shared" si="64"/>
        <v>159</v>
      </c>
      <c r="P636" s="24">
        <f t="shared" si="63"/>
        <v>2.6722689075630246E-2</v>
      </c>
    </row>
    <row r="637" spans="1:17">
      <c r="A637">
        <v>7</v>
      </c>
      <c r="B637" t="s">
        <v>1458</v>
      </c>
      <c r="E637">
        <v>10</v>
      </c>
      <c r="F637" t="s">
        <v>1459</v>
      </c>
      <c r="G637" s="6">
        <v>43348</v>
      </c>
      <c r="H637">
        <v>95</v>
      </c>
      <c r="I637" t="s">
        <v>1460</v>
      </c>
      <c r="K637" s="9">
        <v>2169.3000000000002</v>
      </c>
      <c r="L637" s="1">
        <v>2104.3000000000002</v>
      </c>
      <c r="M637" s="9">
        <f t="shared" si="64"/>
        <v>65</v>
      </c>
      <c r="P637" s="24"/>
    </row>
    <row r="638" spans="1:17">
      <c r="A638">
        <v>8</v>
      </c>
      <c r="B638" s="4" t="s">
        <v>1461</v>
      </c>
      <c r="E638">
        <v>14</v>
      </c>
      <c r="F638" t="s">
        <v>1462</v>
      </c>
      <c r="G638" s="6">
        <v>43349</v>
      </c>
      <c r="H638">
        <v>170</v>
      </c>
      <c r="I638" t="s">
        <v>1463</v>
      </c>
      <c r="K638" s="9">
        <v>1476.44</v>
      </c>
      <c r="L638" s="1">
        <v>1399.58</v>
      </c>
      <c r="M638" s="9">
        <f t="shared" si="64"/>
        <v>76.860000000000127</v>
      </c>
      <c r="P638" s="24">
        <f t="shared" ref="P638:P680" si="65">(K638/L638)-1</f>
        <v>5.4916474942482862E-2</v>
      </c>
    </row>
    <row r="639" spans="1:17">
      <c r="A639">
        <v>9</v>
      </c>
      <c r="B639" s="4" t="s">
        <v>1464</v>
      </c>
      <c r="E639">
        <v>1</v>
      </c>
      <c r="F639" t="s">
        <v>129</v>
      </c>
      <c r="G639" s="6">
        <v>43349</v>
      </c>
      <c r="H639">
        <v>160</v>
      </c>
      <c r="I639" t="s">
        <v>1465</v>
      </c>
      <c r="K639" s="9">
        <v>6862.89</v>
      </c>
      <c r="L639" s="1">
        <v>6740</v>
      </c>
      <c r="M639" s="63">
        <f t="shared" si="64"/>
        <v>122.89000000000033</v>
      </c>
      <c r="P639" s="24">
        <f t="shared" si="65"/>
        <v>1.8232937685459971E-2</v>
      </c>
    </row>
    <row r="640" spans="1:17">
      <c r="A640">
        <v>10</v>
      </c>
      <c r="B640" s="4" t="s">
        <v>1466</v>
      </c>
      <c r="E640">
        <v>49</v>
      </c>
      <c r="F640" t="s">
        <v>135</v>
      </c>
      <c r="G640" s="6">
        <v>43349</v>
      </c>
      <c r="H640">
        <v>140</v>
      </c>
      <c r="I640" t="s">
        <v>1467</v>
      </c>
      <c r="K640" s="9">
        <v>3738.7</v>
      </c>
      <c r="L640" s="1">
        <v>3695</v>
      </c>
      <c r="M640" s="9">
        <f t="shared" si="64"/>
        <v>43.699999999999818</v>
      </c>
      <c r="P640" s="24">
        <f t="shared" si="65"/>
        <v>1.1826792963464117E-2</v>
      </c>
    </row>
    <row r="641" spans="1:17">
      <c r="A641">
        <v>11</v>
      </c>
      <c r="B641" t="s">
        <v>1468</v>
      </c>
      <c r="E641">
        <v>10</v>
      </c>
      <c r="F641" t="s">
        <v>135</v>
      </c>
      <c r="G641" s="6">
        <v>43349</v>
      </c>
      <c r="H641">
        <v>120</v>
      </c>
      <c r="I641" t="s">
        <v>1469</v>
      </c>
      <c r="K641" s="9">
        <v>2564.3000000000002</v>
      </c>
      <c r="L641" s="1">
        <v>2501.3000000000002</v>
      </c>
      <c r="M641" s="9">
        <f t="shared" si="64"/>
        <v>63</v>
      </c>
      <c r="P641" s="24">
        <f t="shared" si="65"/>
        <v>2.5186902810538481E-2</v>
      </c>
    </row>
    <row r="642" spans="1:17">
      <c r="A642">
        <v>12</v>
      </c>
      <c r="B642" s="4" t="s">
        <v>1470</v>
      </c>
      <c r="E642">
        <v>1</v>
      </c>
      <c r="F642" s="75" t="s">
        <v>1471</v>
      </c>
      <c r="G642" s="6">
        <v>40796</v>
      </c>
      <c r="H642">
        <v>78</v>
      </c>
      <c r="I642" s="75" t="s">
        <v>1472</v>
      </c>
      <c r="K642" s="9">
        <v>173.7</v>
      </c>
      <c r="L642" s="1">
        <v>65.05</v>
      </c>
      <c r="M642" s="9">
        <f t="shared" si="64"/>
        <v>108.64999999999999</v>
      </c>
      <c r="P642" s="24">
        <f t="shared" si="65"/>
        <v>1.6702536510376631</v>
      </c>
    </row>
    <row r="643" spans="1:17">
      <c r="A643">
        <v>13</v>
      </c>
      <c r="B643" t="s">
        <v>1473</v>
      </c>
      <c r="E643">
        <v>119</v>
      </c>
      <c r="F643" t="s">
        <v>135</v>
      </c>
      <c r="G643" s="6">
        <v>40796</v>
      </c>
      <c r="H643">
        <v>140</v>
      </c>
      <c r="I643" t="s">
        <v>1474</v>
      </c>
      <c r="K643" s="9">
        <v>25219.67</v>
      </c>
      <c r="L643" s="148">
        <f>24204.56+3*208</f>
        <v>24828.560000000001</v>
      </c>
      <c r="M643" s="9">
        <f t="shared" si="64"/>
        <v>391.10999999999694</v>
      </c>
      <c r="P643" s="24">
        <f t="shared" si="65"/>
        <v>1.5752423821598915E-2</v>
      </c>
    </row>
    <row r="644" spans="1:17">
      <c r="A644">
        <v>14</v>
      </c>
      <c r="B644" t="s">
        <v>1475</v>
      </c>
      <c r="E644">
        <v>302</v>
      </c>
      <c r="F644" t="s">
        <v>135</v>
      </c>
      <c r="G644" s="6">
        <v>40796</v>
      </c>
      <c r="H644">
        <v>160</v>
      </c>
      <c r="I644" t="s">
        <v>1476</v>
      </c>
      <c r="K644" s="9">
        <v>7311.42</v>
      </c>
      <c r="L644" s="1">
        <v>7195.68</v>
      </c>
      <c r="M644" s="9">
        <f t="shared" si="64"/>
        <v>115.73999999999978</v>
      </c>
      <c r="P644" s="24">
        <f t="shared" si="65"/>
        <v>1.6084650790474164E-2</v>
      </c>
    </row>
    <row r="645" spans="1:17">
      <c r="A645">
        <v>15</v>
      </c>
      <c r="B645" s="4" t="s">
        <v>1477</v>
      </c>
      <c r="E645">
        <v>432</v>
      </c>
      <c r="F645" s="208" t="s">
        <v>1478</v>
      </c>
      <c r="G645" s="6">
        <v>40796</v>
      </c>
      <c r="H645">
        <v>140</v>
      </c>
      <c r="I645" t="s">
        <v>1479</v>
      </c>
      <c r="K645" s="9">
        <v>9482.4</v>
      </c>
      <c r="L645" s="1">
        <v>9820</v>
      </c>
      <c r="M645" s="9">
        <f t="shared" si="64"/>
        <v>-337.60000000000036</v>
      </c>
      <c r="P645" s="24">
        <f t="shared" si="65"/>
        <v>-3.4378818737270889E-2</v>
      </c>
      <c r="Q645" s="75" t="s">
        <v>1480</v>
      </c>
    </row>
    <row r="646" spans="1:17">
      <c r="A646">
        <v>16</v>
      </c>
      <c r="B646" t="s">
        <v>1481</v>
      </c>
      <c r="E646">
        <v>1</v>
      </c>
      <c r="F646" t="s">
        <v>129</v>
      </c>
      <c r="G646" s="6">
        <v>40797</v>
      </c>
      <c r="I646" t="s">
        <v>1482</v>
      </c>
      <c r="K646" s="9">
        <v>6861.78</v>
      </c>
      <c r="L646" s="1">
        <f>6740+25.36</f>
        <v>6765.36</v>
      </c>
      <c r="M646" s="63">
        <f t="shared" si="64"/>
        <v>96.420000000000073</v>
      </c>
      <c r="N646">
        <v>30.51</v>
      </c>
      <c r="P646" s="24">
        <f t="shared" si="65"/>
        <v>1.4252013196637048E-2</v>
      </c>
    </row>
    <row r="647" spans="1:17">
      <c r="A647">
        <v>17</v>
      </c>
      <c r="B647" s="4" t="s">
        <v>1483</v>
      </c>
      <c r="E647">
        <v>13</v>
      </c>
      <c r="F647" s="208" t="s">
        <v>1484</v>
      </c>
      <c r="G647" s="6">
        <v>40798</v>
      </c>
      <c r="I647" t="s">
        <v>1472</v>
      </c>
      <c r="K647" s="9">
        <v>901.94</v>
      </c>
      <c r="L647" s="1">
        <f>65.05*13</f>
        <v>845.65</v>
      </c>
      <c r="M647" s="9">
        <f t="shared" si="64"/>
        <v>56.290000000000077</v>
      </c>
      <c r="P647" s="24">
        <f t="shared" si="65"/>
        <v>6.6564181398923949E-2</v>
      </c>
    </row>
    <row r="648" spans="1:17">
      <c r="A648">
        <v>18</v>
      </c>
      <c r="B648" s="4" t="s">
        <v>1485</v>
      </c>
      <c r="E648">
        <v>9</v>
      </c>
      <c r="F648" s="90" t="s">
        <v>1486</v>
      </c>
      <c r="G648" s="6">
        <v>40799</v>
      </c>
      <c r="H648">
        <v>90</v>
      </c>
      <c r="I648" t="s">
        <v>1472</v>
      </c>
      <c r="K648" s="9">
        <v>4894.83</v>
      </c>
      <c r="L648" s="1">
        <f>375*15</f>
        <v>5625</v>
      </c>
      <c r="M648" s="9">
        <f t="shared" si="64"/>
        <v>-730.17000000000007</v>
      </c>
      <c r="P648" s="24">
        <f t="shared" si="65"/>
        <v>-0.12980800000000003</v>
      </c>
    </row>
    <row r="649" spans="1:17">
      <c r="A649">
        <v>19</v>
      </c>
      <c r="B649" t="s">
        <v>1487</v>
      </c>
      <c r="E649">
        <v>7</v>
      </c>
      <c r="F649" t="s">
        <v>129</v>
      </c>
      <c r="G649" s="6">
        <v>40799</v>
      </c>
      <c r="I649" t="s">
        <v>1488</v>
      </c>
      <c r="K649" s="9">
        <v>11089.61</v>
      </c>
      <c r="L649" s="1">
        <f>10885+14.93</f>
        <v>10899.93</v>
      </c>
      <c r="M649" s="63">
        <f t="shared" si="64"/>
        <v>189.68000000000029</v>
      </c>
      <c r="P649" s="24">
        <f t="shared" si="65"/>
        <v>1.7401946618005759E-2</v>
      </c>
    </row>
    <row r="650" spans="1:17">
      <c r="A650">
        <v>20</v>
      </c>
      <c r="B650" t="s">
        <v>1489</v>
      </c>
      <c r="E650">
        <v>25</v>
      </c>
      <c r="F650" t="s">
        <v>1449</v>
      </c>
      <c r="G650" s="6">
        <v>40799</v>
      </c>
      <c r="H650">
        <v>120</v>
      </c>
      <c r="I650" t="s">
        <v>1490</v>
      </c>
      <c r="K650" s="9">
        <v>9661.75</v>
      </c>
      <c r="L650" s="1">
        <v>9486</v>
      </c>
      <c r="M650" s="9">
        <f t="shared" si="64"/>
        <v>175.75</v>
      </c>
      <c r="P650" s="24">
        <f t="shared" si="65"/>
        <v>1.8527303394476169E-2</v>
      </c>
    </row>
    <row r="651" spans="1:17">
      <c r="A651">
        <v>21</v>
      </c>
      <c r="B651" s="4" t="s">
        <v>1491</v>
      </c>
      <c r="E651">
        <v>51</v>
      </c>
      <c r="F651" s="90" t="s">
        <v>1492</v>
      </c>
      <c r="G651" s="6">
        <v>40799</v>
      </c>
      <c r="I651" t="s">
        <v>1493</v>
      </c>
      <c r="K651" s="9">
        <v>584.46</v>
      </c>
      <c r="L651" s="1">
        <v>508.48</v>
      </c>
      <c r="M651" s="9">
        <f t="shared" si="64"/>
        <v>75.980000000000018</v>
      </c>
      <c r="P651" s="24">
        <f t="shared" si="65"/>
        <v>0.14942573945877924</v>
      </c>
      <c r="Q651" s="75" t="s">
        <v>1494</v>
      </c>
    </row>
    <row r="652" spans="1:17">
      <c r="A652">
        <v>22</v>
      </c>
      <c r="B652" t="s">
        <v>1495</v>
      </c>
      <c r="E652">
        <v>33</v>
      </c>
      <c r="F652" t="s">
        <v>135</v>
      </c>
      <c r="G652" s="6">
        <v>40800</v>
      </c>
      <c r="H652">
        <v>140</v>
      </c>
      <c r="I652" t="s">
        <v>1496</v>
      </c>
      <c r="K652" s="9">
        <v>5937.36</v>
      </c>
      <c r="L652" s="1">
        <f>33*140.08</f>
        <v>4622.6400000000003</v>
      </c>
      <c r="M652" s="9">
        <f t="shared" si="64"/>
        <v>1314.7199999999993</v>
      </c>
      <c r="P652" s="24">
        <f t="shared" si="65"/>
        <v>0.28440890919474571</v>
      </c>
      <c r="Q652" s="75" t="s">
        <v>1497</v>
      </c>
    </row>
    <row r="653" spans="1:17">
      <c r="A653">
        <v>23</v>
      </c>
      <c r="B653" t="s">
        <v>1498</v>
      </c>
      <c r="E653">
        <v>1</v>
      </c>
      <c r="F653" s="75" t="s">
        <v>1499</v>
      </c>
      <c r="G653" s="6">
        <v>40801</v>
      </c>
      <c r="H653">
        <v>120</v>
      </c>
      <c r="K653" s="9">
        <v>0</v>
      </c>
      <c r="L653">
        <v>0</v>
      </c>
      <c r="M653" s="9">
        <f t="shared" si="64"/>
        <v>0</v>
      </c>
      <c r="N653" s="11">
        <f>L652+L709</f>
        <v>8825.0400000000009</v>
      </c>
      <c r="P653" s="24" t="e">
        <f t="shared" si="65"/>
        <v>#DIV/0!</v>
      </c>
    </row>
    <row r="654" spans="1:17">
      <c r="A654">
        <v>24</v>
      </c>
      <c r="B654" t="s">
        <v>1500</v>
      </c>
      <c r="E654">
        <v>21</v>
      </c>
      <c r="F654" s="208" t="s">
        <v>1501</v>
      </c>
      <c r="G654" s="6">
        <v>43360</v>
      </c>
      <c r="H654">
        <v>140</v>
      </c>
      <c r="I654" t="s">
        <v>1502</v>
      </c>
      <c r="K654" s="9">
        <v>16672.740000000002</v>
      </c>
      <c r="L654" s="1">
        <v>16397.400000000001</v>
      </c>
      <c r="M654" s="9">
        <f t="shared" si="64"/>
        <v>275.34000000000015</v>
      </c>
      <c r="P654" s="24">
        <f t="shared" si="65"/>
        <v>1.6791686486882007E-2</v>
      </c>
    </row>
    <row r="655" spans="1:17">
      <c r="A655">
        <v>25</v>
      </c>
      <c r="B655" t="s">
        <v>1503</v>
      </c>
      <c r="E655">
        <v>259</v>
      </c>
      <c r="F655" t="s">
        <v>135</v>
      </c>
      <c r="G655" s="6">
        <v>43360</v>
      </c>
      <c r="H655">
        <v>140</v>
      </c>
      <c r="I655" t="s">
        <v>1504</v>
      </c>
      <c r="K655" s="9">
        <v>14864.01</v>
      </c>
      <c r="L655" s="1">
        <v>14615.37</v>
      </c>
      <c r="M655" s="9">
        <f t="shared" si="64"/>
        <v>248.63999999999942</v>
      </c>
      <c r="P655" s="24">
        <f t="shared" si="65"/>
        <v>1.7012227538543367E-2</v>
      </c>
    </row>
    <row r="656" spans="1:17">
      <c r="A656">
        <v>26</v>
      </c>
      <c r="B656" t="s">
        <v>1505</v>
      </c>
      <c r="E656">
        <v>25</v>
      </c>
      <c r="F656" t="s">
        <v>1506</v>
      </c>
      <c r="G656" s="6">
        <v>43360</v>
      </c>
      <c r="H656">
        <v>95</v>
      </c>
      <c r="I656" t="s">
        <v>1507</v>
      </c>
      <c r="J656" t="s">
        <v>644</v>
      </c>
      <c r="K656" s="9">
        <v>1244.5</v>
      </c>
      <c r="L656" s="1">
        <v>1176</v>
      </c>
      <c r="M656" s="9">
        <f t="shared" si="64"/>
        <v>68.5</v>
      </c>
      <c r="P656" s="24">
        <f t="shared" si="65"/>
        <v>5.824829931972797E-2</v>
      </c>
    </row>
    <row r="657" spans="1:16">
      <c r="A657">
        <v>27</v>
      </c>
      <c r="B657" t="s">
        <v>1508</v>
      </c>
      <c r="E657">
        <v>3</v>
      </c>
      <c r="F657" t="s">
        <v>1141</v>
      </c>
      <c r="G657" s="6">
        <v>43360</v>
      </c>
      <c r="H657">
        <v>120</v>
      </c>
      <c r="I657" t="s">
        <v>1509</v>
      </c>
      <c r="J657" t="s">
        <v>644</v>
      </c>
      <c r="K657" s="9">
        <v>1422.72</v>
      </c>
      <c r="L657" s="1">
        <v>1365</v>
      </c>
      <c r="M657" s="9">
        <f t="shared" si="64"/>
        <v>57.720000000000027</v>
      </c>
      <c r="P657" s="24">
        <f t="shared" si="65"/>
        <v>4.228571428571426E-2</v>
      </c>
    </row>
    <row r="658" spans="1:16">
      <c r="A658">
        <v>28</v>
      </c>
      <c r="B658" t="s">
        <v>1510</v>
      </c>
      <c r="E658">
        <v>1</v>
      </c>
      <c r="F658" t="s">
        <v>135</v>
      </c>
      <c r="G658" s="6">
        <v>43360</v>
      </c>
      <c r="H658">
        <v>45</v>
      </c>
      <c r="I658" t="s">
        <v>1511</v>
      </c>
      <c r="K658" s="9">
        <v>549.41999999999996</v>
      </c>
      <c r="L658" s="1">
        <v>509.64</v>
      </c>
      <c r="M658" s="9">
        <f t="shared" si="64"/>
        <v>39.779999999999973</v>
      </c>
      <c r="P658" s="24">
        <f t="shared" si="65"/>
        <v>7.8055097716034805E-2</v>
      </c>
    </row>
    <row r="659" spans="1:16">
      <c r="A659">
        <v>29</v>
      </c>
      <c r="B659" t="s">
        <v>1512</v>
      </c>
      <c r="E659">
        <v>16</v>
      </c>
      <c r="F659" s="208" t="s">
        <v>1484</v>
      </c>
      <c r="G659" s="6">
        <v>43361</v>
      </c>
      <c r="H659">
        <v>140</v>
      </c>
      <c r="I659" s="75" t="s">
        <v>1513</v>
      </c>
      <c r="K659" s="9">
        <v>3370.72</v>
      </c>
      <c r="L659" s="1">
        <v>3336.4</v>
      </c>
      <c r="M659" s="9">
        <f t="shared" si="64"/>
        <v>34.319999999999709</v>
      </c>
      <c r="P659" s="24">
        <f t="shared" si="65"/>
        <v>1.0286536386524325E-2</v>
      </c>
    </row>
    <row r="660" spans="1:16">
      <c r="A660">
        <v>30</v>
      </c>
      <c r="B660" t="s">
        <v>1514</v>
      </c>
      <c r="E660">
        <v>6</v>
      </c>
      <c r="F660" t="s">
        <v>129</v>
      </c>
      <c r="G660" s="6">
        <v>43361</v>
      </c>
      <c r="H660">
        <v>120</v>
      </c>
      <c r="I660" t="s">
        <v>1515</v>
      </c>
      <c r="K660" s="9">
        <v>11399.28</v>
      </c>
      <c r="L660" s="1">
        <f>11220+14.05</f>
        <v>11234.05</v>
      </c>
      <c r="M660" s="63">
        <f t="shared" si="64"/>
        <v>165.23000000000138</v>
      </c>
      <c r="P660" s="24">
        <f t="shared" si="65"/>
        <v>1.4707963735251406E-2</v>
      </c>
    </row>
    <row r="661" spans="1:16">
      <c r="A661">
        <v>31</v>
      </c>
      <c r="B661" s="4" t="s">
        <v>1516</v>
      </c>
      <c r="E661">
        <v>30</v>
      </c>
      <c r="F661" s="75" t="s">
        <v>1517</v>
      </c>
      <c r="G661" s="6">
        <v>43361</v>
      </c>
      <c r="H661">
        <v>140</v>
      </c>
      <c r="K661" s="9">
        <v>5688.9</v>
      </c>
      <c r="L661" s="1">
        <v>5622.75</v>
      </c>
      <c r="M661" s="9">
        <f t="shared" si="64"/>
        <v>66.149999999999636</v>
      </c>
      <c r="P661" s="24">
        <f t="shared" si="65"/>
        <v>1.1764705882352899E-2</v>
      </c>
    </row>
    <row r="662" spans="1:16">
      <c r="A662">
        <v>32</v>
      </c>
      <c r="B662" t="s">
        <v>1518</v>
      </c>
      <c r="E662">
        <v>6</v>
      </c>
      <c r="F662" s="208" t="s">
        <v>1519</v>
      </c>
      <c r="G662" s="6">
        <v>43362</v>
      </c>
      <c r="H662">
        <v>140</v>
      </c>
      <c r="I662" t="s">
        <v>1520</v>
      </c>
      <c r="K662" s="9">
        <v>5837.28</v>
      </c>
      <c r="L662" s="1">
        <v>6338.64</v>
      </c>
      <c r="M662" s="9">
        <f t="shared" si="64"/>
        <v>-501.36000000000058</v>
      </c>
      <c r="P662" s="24">
        <f t="shared" si="65"/>
        <v>-7.9095831282420259E-2</v>
      </c>
    </row>
    <row r="663" spans="1:16">
      <c r="A663">
        <v>33</v>
      </c>
      <c r="B663" t="s">
        <v>1521</v>
      </c>
      <c r="E663">
        <v>9</v>
      </c>
      <c r="F663" s="208" t="s">
        <v>1522</v>
      </c>
      <c r="G663" s="6">
        <v>43362</v>
      </c>
      <c r="H663">
        <v>120</v>
      </c>
      <c r="I663" t="s">
        <v>1523</v>
      </c>
      <c r="K663" s="9">
        <v>3893.13</v>
      </c>
      <c r="L663" s="1">
        <v>3813.4</v>
      </c>
      <c r="M663" s="9">
        <f t="shared" si="64"/>
        <v>79.730000000000018</v>
      </c>
      <c r="P663" s="24">
        <f t="shared" si="65"/>
        <v>2.0907851261341648E-2</v>
      </c>
    </row>
    <row r="664" spans="1:16">
      <c r="A664">
        <v>34</v>
      </c>
      <c r="B664" t="s">
        <v>1524</v>
      </c>
      <c r="E664">
        <v>25</v>
      </c>
      <c r="F664" t="s">
        <v>501</v>
      </c>
      <c r="G664" s="6">
        <v>43362</v>
      </c>
      <c r="H664">
        <v>90</v>
      </c>
      <c r="I664" t="s">
        <v>1525</v>
      </c>
      <c r="K664" s="9">
        <v>16047.25</v>
      </c>
      <c r="L664" s="1">
        <v>15984</v>
      </c>
      <c r="M664" s="9">
        <f t="shared" ref="M664:M680" si="66">K664-L664</f>
        <v>63.25</v>
      </c>
      <c r="P664" s="24">
        <f t="shared" si="65"/>
        <v>3.9570820820820085E-3</v>
      </c>
    </row>
    <row r="665" spans="1:16">
      <c r="A665">
        <v>35</v>
      </c>
      <c r="B665" t="s">
        <v>1526</v>
      </c>
      <c r="E665">
        <v>15</v>
      </c>
      <c r="F665" s="208" t="s">
        <v>579</v>
      </c>
      <c r="G665" s="6">
        <v>43362</v>
      </c>
      <c r="H665">
        <v>140</v>
      </c>
      <c r="I665" t="s">
        <v>1527</v>
      </c>
      <c r="K665" s="9">
        <v>2248.35</v>
      </c>
      <c r="L665" s="1">
        <v>2226</v>
      </c>
      <c r="M665" s="9">
        <f t="shared" si="66"/>
        <v>22.349999999999909</v>
      </c>
      <c r="P665" s="24">
        <f t="shared" si="65"/>
        <v>1.0040431266846284E-2</v>
      </c>
    </row>
    <row r="666" spans="1:16">
      <c r="A666">
        <v>36</v>
      </c>
      <c r="B666" t="s">
        <v>1528</v>
      </c>
      <c r="E666">
        <v>10</v>
      </c>
      <c r="F666" t="s">
        <v>1529</v>
      </c>
      <c r="G666" s="6">
        <v>43363</v>
      </c>
      <c r="H666">
        <v>140</v>
      </c>
      <c r="I666" t="s">
        <v>1530</v>
      </c>
      <c r="K666" s="9">
        <v>8682.4</v>
      </c>
      <c r="L666" s="1">
        <v>8500</v>
      </c>
      <c r="M666" s="9">
        <f t="shared" si="66"/>
        <v>182.39999999999964</v>
      </c>
      <c r="P666" s="24">
        <f t="shared" si="65"/>
        <v>2.1458823529411752E-2</v>
      </c>
    </row>
    <row r="667" spans="1:16">
      <c r="A667">
        <v>37</v>
      </c>
      <c r="B667" t="s">
        <v>1531</v>
      </c>
      <c r="E667">
        <v>58</v>
      </c>
      <c r="F667" t="s">
        <v>1532</v>
      </c>
      <c r="G667" s="6">
        <v>43364</v>
      </c>
      <c r="H667">
        <v>140</v>
      </c>
      <c r="I667" s="75" t="s">
        <v>1307</v>
      </c>
      <c r="K667" s="9">
        <v>10372.14</v>
      </c>
      <c r="L667" s="1">
        <f>176.36*58</f>
        <v>10228.880000000001</v>
      </c>
      <c r="M667" s="9">
        <f t="shared" si="66"/>
        <v>143.2599999999984</v>
      </c>
      <c r="P667" s="24">
        <f t="shared" si="65"/>
        <v>1.4005443411204244E-2</v>
      </c>
    </row>
    <row r="668" spans="1:16">
      <c r="A668">
        <v>38</v>
      </c>
      <c r="B668" t="s">
        <v>1533</v>
      </c>
      <c r="F668" t="s">
        <v>1534</v>
      </c>
      <c r="G668" s="6">
        <v>43364</v>
      </c>
      <c r="K668" s="9">
        <v>0</v>
      </c>
      <c r="L668" s="1">
        <v>0</v>
      </c>
      <c r="M668" s="9">
        <f t="shared" si="66"/>
        <v>0</v>
      </c>
      <c r="P668" s="24" t="e">
        <f t="shared" si="65"/>
        <v>#DIV/0!</v>
      </c>
    </row>
    <row r="669" spans="1:16">
      <c r="A669">
        <v>39</v>
      </c>
      <c r="B669" t="s">
        <v>1535</v>
      </c>
      <c r="E669">
        <v>3</v>
      </c>
      <c r="F669" t="s">
        <v>1529</v>
      </c>
      <c r="G669" s="6">
        <v>43367</v>
      </c>
      <c r="H669">
        <v>140</v>
      </c>
      <c r="I669" t="s">
        <v>1536</v>
      </c>
      <c r="K669" s="9">
        <v>13554</v>
      </c>
      <c r="L669" s="1">
        <f>4482.24*3</f>
        <v>13446.72</v>
      </c>
      <c r="M669" s="9">
        <f t="shared" si="66"/>
        <v>107.28000000000065</v>
      </c>
      <c r="P669" s="24">
        <f t="shared" si="65"/>
        <v>7.9781537802527946E-3</v>
      </c>
    </row>
    <row r="670" spans="1:16">
      <c r="A670">
        <v>40</v>
      </c>
      <c r="B670" t="s">
        <v>1537</v>
      </c>
      <c r="E670">
        <v>200</v>
      </c>
      <c r="F670" t="s">
        <v>508</v>
      </c>
      <c r="G670" s="6">
        <v>43367</v>
      </c>
      <c r="H670">
        <v>160</v>
      </c>
      <c r="I670" t="s">
        <v>1538</v>
      </c>
      <c r="K670" s="9">
        <v>0</v>
      </c>
      <c r="L670" s="1">
        <v>0</v>
      </c>
      <c r="M670" s="9">
        <f t="shared" si="66"/>
        <v>0</v>
      </c>
      <c r="P670" s="24" t="e">
        <f t="shared" si="65"/>
        <v>#DIV/0!</v>
      </c>
    </row>
    <row r="671" spans="1:16">
      <c r="A671">
        <v>41</v>
      </c>
      <c r="B671" t="s">
        <v>1539</v>
      </c>
      <c r="E671">
        <v>3</v>
      </c>
      <c r="F671" t="s">
        <v>1540</v>
      </c>
      <c r="G671" s="6">
        <v>43367</v>
      </c>
      <c r="H671">
        <v>90</v>
      </c>
      <c r="I671" t="s">
        <v>1541</v>
      </c>
      <c r="J671" t="s">
        <v>644</v>
      </c>
      <c r="K671" s="9">
        <v>311.64</v>
      </c>
      <c r="L671" s="1">
        <v>275.16000000000003</v>
      </c>
      <c r="M671" s="9">
        <f t="shared" si="66"/>
        <v>36.479999999999961</v>
      </c>
      <c r="P671" s="24">
        <f t="shared" si="65"/>
        <v>0.13257740950719565</v>
      </c>
    </row>
    <row r="672" spans="1:16">
      <c r="A672">
        <v>42</v>
      </c>
      <c r="B672" t="s">
        <v>1542</v>
      </c>
      <c r="E672">
        <v>459</v>
      </c>
      <c r="F672" t="s">
        <v>1543</v>
      </c>
      <c r="G672" s="6">
        <v>43368</v>
      </c>
      <c r="H672">
        <v>60</v>
      </c>
      <c r="I672" t="s">
        <v>1544</v>
      </c>
      <c r="J672" t="s">
        <v>644</v>
      </c>
      <c r="K672" s="9">
        <v>959.31</v>
      </c>
      <c r="L672" s="1">
        <v>364.06</v>
      </c>
      <c r="M672" s="9">
        <f t="shared" si="66"/>
        <v>595.25</v>
      </c>
      <c r="P672" s="24">
        <f t="shared" si="65"/>
        <v>1.6350326869197382</v>
      </c>
    </row>
    <row r="673" spans="1:16">
      <c r="A673">
        <v>43</v>
      </c>
      <c r="B673" t="s">
        <v>1545</v>
      </c>
      <c r="E673">
        <v>69</v>
      </c>
      <c r="F673" t="s">
        <v>1546</v>
      </c>
      <c r="G673" s="6">
        <v>43368</v>
      </c>
      <c r="H673">
        <v>120</v>
      </c>
      <c r="I673" t="s">
        <v>1547</v>
      </c>
      <c r="J673" t="s">
        <v>644</v>
      </c>
      <c r="K673" s="9">
        <v>129.03</v>
      </c>
      <c r="L673" s="1">
        <v>113</v>
      </c>
      <c r="M673" s="9">
        <f t="shared" si="66"/>
        <v>16.03</v>
      </c>
      <c r="P673" s="24">
        <f t="shared" si="65"/>
        <v>0.14185840707964603</v>
      </c>
    </row>
    <row r="674" spans="1:16">
      <c r="A674">
        <v>44</v>
      </c>
      <c r="B674" s="4" t="s">
        <v>1548</v>
      </c>
      <c r="E674">
        <v>8</v>
      </c>
      <c r="F674" t="s">
        <v>135</v>
      </c>
      <c r="G674" s="6">
        <v>43368</v>
      </c>
      <c r="H674">
        <v>160</v>
      </c>
      <c r="I674" t="s">
        <v>1549</v>
      </c>
      <c r="J674" t="s">
        <v>644</v>
      </c>
      <c r="K674" s="9">
        <v>33045.440000000002</v>
      </c>
      <c r="L674" s="1">
        <v>29241</v>
      </c>
      <c r="M674" s="9">
        <f t="shared" si="66"/>
        <v>3804.4400000000023</v>
      </c>
      <c r="P674" s="24">
        <f t="shared" si="65"/>
        <v>0.13010635751171318</v>
      </c>
    </row>
    <row r="675" spans="1:16">
      <c r="A675">
        <v>45</v>
      </c>
      <c r="B675" t="s">
        <v>1550</v>
      </c>
      <c r="E675">
        <v>36</v>
      </c>
      <c r="F675" t="s">
        <v>946</v>
      </c>
      <c r="G675" s="6">
        <v>43369</v>
      </c>
      <c r="H675">
        <v>110</v>
      </c>
      <c r="I675" t="s">
        <v>1551</v>
      </c>
      <c r="K675" s="9">
        <v>9247.32</v>
      </c>
      <c r="L675" s="1">
        <v>8373.4</v>
      </c>
      <c r="M675" s="9">
        <f t="shared" si="66"/>
        <v>873.92000000000007</v>
      </c>
      <c r="P675" s="24">
        <f t="shared" si="65"/>
        <v>0.10436859579143487</v>
      </c>
    </row>
    <row r="676" spans="1:16">
      <c r="A676">
        <v>46</v>
      </c>
      <c r="B676" t="s">
        <v>1552</v>
      </c>
      <c r="E676">
        <v>2</v>
      </c>
      <c r="F676" t="s">
        <v>266</v>
      </c>
      <c r="G676" s="6">
        <v>43369</v>
      </c>
      <c r="H676">
        <v>160</v>
      </c>
      <c r="I676" t="s">
        <v>1553</v>
      </c>
      <c r="K676" s="9">
        <v>4565.08</v>
      </c>
      <c r="L676" s="1">
        <v>4486</v>
      </c>
      <c r="M676" s="9">
        <f t="shared" si="66"/>
        <v>79.079999999999927</v>
      </c>
      <c r="N676">
        <v>29.71</v>
      </c>
      <c r="P676" s="24">
        <f t="shared" si="65"/>
        <v>1.7628176549264296E-2</v>
      </c>
    </row>
    <row r="677" spans="1:16">
      <c r="A677">
        <v>47</v>
      </c>
      <c r="B677" s="4" t="s">
        <v>1554</v>
      </c>
      <c r="E677">
        <v>14</v>
      </c>
      <c r="F677" t="s">
        <v>135</v>
      </c>
      <c r="G677" s="6">
        <v>43369</v>
      </c>
      <c r="H677">
        <v>140</v>
      </c>
      <c r="I677" s="75" t="s">
        <v>1555</v>
      </c>
      <c r="K677" s="9">
        <v>2335.48</v>
      </c>
      <c r="L677" s="1">
        <v>2321.8000000000002</v>
      </c>
      <c r="M677" s="9">
        <f t="shared" si="66"/>
        <v>13.679999999999836</v>
      </c>
      <c r="P677" s="24">
        <f t="shared" si="65"/>
        <v>5.8919803600654408E-3</v>
      </c>
    </row>
    <row r="678" spans="1:16">
      <c r="A678">
        <v>48</v>
      </c>
      <c r="B678" t="s">
        <v>1556</v>
      </c>
      <c r="E678">
        <v>31</v>
      </c>
      <c r="F678" s="208" t="s">
        <v>1557</v>
      </c>
      <c r="G678" s="6">
        <v>43369</v>
      </c>
      <c r="H678">
        <v>140</v>
      </c>
      <c r="I678" s="75" t="s">
        <v>1558</v>
      </c>
      <c r="K678" s="9">
        <v>5216.37</v>
      </c>
      <c r="L678" s="1">
        <v>5196.8</v>
      </c>
      <c r="M678" s="9">
        <f t="shared" si="66"/>
        <v>19.569999999999709</v>
      </c>
      <c r="P678" s="24">
        <f t="shared" si="65"/>
        <v>3.7657789408866993E-3</v>
      </c>
    </row>
    <row r="679" spans="1:16">
      <c r="A679">
        <v>49</v>
      </c>
      <c r="B679" t="s">
        <v>1559</v>
      </c>
      <c r="E679">
        <v>7</v>
      </c>
      <c r="F679" t="s">
        <v>404</v>
      </c>
      <c r="G679" s="6">
        <v>43370</v>
      </c>
      <c r="H679">
        <v>230</v>
      </c>
      <c r="I679" t="s">
        <v>1560</v>
      </c>
      <c r="K679" s="9">
        <v>9790.83</v>
      </c>
      <c r="L679" s="1">
        <v>9693.25</v>
      </c>
      <c r="M679" s="9">
        <f t="shared" si="66"/>
        <v>97.579999999999927</v>
      </c>
      <c r="P679" s="24">
        <f t="shared" si="65"/>
        <v>1.0066799061202447E-2</v>
      </c>
    </row>
    <row r="680" spans="1:16">
      <c r="K680" s="64">
        <f>SUM(K631:K679)</f>
        <v>308512.39000000007</v>
      </c>
      <c r="L680" s="5">
        <f>SUM(L631:L679)</f>
        <v>299775.43</v>
      </c>
      <c r="M680" s="64">
        <f t="shared" si="66"/>
        <v>8736.9600000000792</v>
      </c>
      <c r="P680" s="129">
        <f t="shared" si="65"/>
        <v>2.9145016988217032E-2</v>
      </c>
    </row>
    <row r="681" spans="1:16">
      <c r="N681" s="26"/>
    </row>
    <row r="682" spans="1:16">
      <c r="N682" s="9">
        <f>M643+M645+M648+M649+M652+M654+M655+M672+M674</f>
        <v>5751.409999999998</v>
      </c>
    </row>
    <row r="683" spans="1:16">
      <c r="A683">
        <v>1</v>
      </c>
      <c r="B683" s="4" t="s">
        <v>1561</v>
      </c>
      <c r="E683">
        <v>10</v>
      </c>
      <c r="F683" t="s">
        <v>135</v>
      </c>
      <c r="G683" s="6">
        <v>43374</v>
      </c>
      <c r="H683">
        <v>140</v>
      </c>
      <c r="I683" t="s">
        <v>1562</v>
      </c>
      <c r="K683" s="9">
        <v>3990</v>
      </c>
      <c r="L683" s="148">
        <v>3922</v>
      </c>
      <c r="M683" s="9">
        <f t="shared" ref="M683:M722" si="67">K683-L683</f>
        <v>68</v>
      </c>
      <c r="P683" s="24">
        <f t="shared" ref="P683:P690" si="68">(K683/L683)-1</f>
        <v>1.7338092809790817E-2</v>
      </c>
    </row>
    <row r="684" spans="1:16">
      <c r="A684">
        <v>2</v>
      </c>
      <c r="B684" t="s">
        <v>1563</v>
      </c>
      <c r="E684">
        <v>45</v>
      </c>
      <c r="F684" t="s">
        <v>625</v>
      </c>
      <c r="G684" s="6">
        <v>43374</v>
      </c>
      <c r="I684" t="s">
        <v>1564</v>
      </c>
      <c r="K684" s="9">
        <v>6362.1</v>
      </c>
      <c r="L684" s="1">
        <v>6251.81</v>
      </c>
      <c r="M684" s="9">
        <f t="shared" si="67"/>
        <v>110.28999999999996</v>
      </c>
      <c r="P684" s="24">
        <f t="shared" si="68"/>
        <v>1.7641291082102661E-2</v>
      </c>
    </row>
    <row r="685" spans="1:16">
      <c r="A685">
        <v>3</v>
      </c>
      <c r="B685" t="s">
        <v>1565</v>
      </c>
      <c r="E685">
        <v>2</v>
      </c>
      <c r="F685" t="s">
        <v>399</v>
      </c>
      <c r="G685" s="6">
        <v>43374</v>
      </c>
      <c r="H685">
        <v>140</v>
      </c>
      <c r="I685" t="s">
        <v>1566</v>
      </c>
      <c r="J685" t="s">
        <v>654</v>
      </c>
      <c r="K685" s="9">
        <v>10125.64</v>
      </c>
      <c r="L685" s="1">
        <v>9878</v>
      </c>
      <c r="M685" s="9">
        <f t="shared" si="67"/>
        <v>247.63999999999942</v>
      </c>
      <c r="P685" s="24">
        <f t="shared" si="68"/>
        <v>2.5069852196800912E-2</v>
      </c>
    </row>
    <row r="686" spans="1:16">
      <c r="A686">
        <v>4</v>
      </c>
      <c r="B686" s="4" t="s">
        <v>1567</v>
      </c>
      <c r="E686">
        <v>23</v>
      </c>
      <c r="F686" t="s">
        <v>135</v>
      </c>
      <c r="G686" s="6">
        <v>43374</v>
      </c>
      <c r="H686">
        <v>160</v>
      </c>
      <c r="I686" s="75" t="s">
        <v>1568</v>
      </c>
      <c r="K686" s="9">
        <v>16859</v>
      </c>
      <c r="L686" s="9">
        <f>528.28*23</f>
        <v>12150.439999999999</v>
      </c>
      <c r="M686" s="9">
        <f t="shared" si="67"/>
        <v>4708.5600000000013</v>
      </c>
      <c r="P686" s="24">
        <f t="shared" si="68"/>
        <v>0.38752176875899158</v>
      </c>
    </row>
    <row r="687" spans="1:16">
      <c r="A687">
        <v>5</v>
      </c>
      <c r="B687" t="s">
        <v>1569</v>
      </c>
      <c r="E687">
        <v>10</v>
      </c>
      <c r="F687" t="s">
        <v>1570</v>
      </c>
      <c r="G687" s="6">
        <v>43375</v>
      </c>
      <c r="H687">
        <v>120</v>
      </c>
      <c r="I687" s="75" t="s">
        <v>1472</v>
      </c>
      <c r="K687" s="9">
        <v>4966.5</v>
      </c>
      <c r="L687" s="1">
        <f>375*10</f>
        <v>3750</v>
      </c>
      <c r="M687" s="9">
        <f t="shared" si="67"/>
        <v>1216.5</v>
      </c>
      <c r="P687" s="24">
        <f t="shared" si="68"/>
        <v>0.32440000000000002</v>
      </c>
    </row>
    <row r="688" spans="1:16">
      <c r="A688">
        <v>5</v>
      </c>
      <c r="B688" t="s">
        <v>1571</v>
      </c>
      <c r="E688">
        <v>35</v>
      </c>
      <c r="F688" s="208" t="s">
        <v>1572</v>
      </c>
      <c r="G688" s="6">
        <v>43376</v>
      </c>
      <c r="H688">
        <v>160</v>
      </c>
      <c r="I688" t="s">
        <v>1573</v>
      </c>
      <c r="K688" s="9">
        <v>5735.45</v>
      </c>
      <c r="L688" s="148">
        <v>5952</v>
      </c>
      <c r="M688" s="9">
        <f t="shared" si="67"/>
        <v>-216.55000000000018</v>
      </c>
      <c r="P688" s="24">
        <f t="shared" si="68"/>
        <v>-3.6382728494623651E-2</v>
      </c>
    </row>
    <row r="689" spans="1:16">
      <c r="A689">
        <v>6</v>
      </c>
      <c r="B689" t="s">
        <v>1574</v>
      </c>
      <c r="E689">
        <v>1</v>
      </c>
      <c r="F689" t="s">
        <v>32</v>
      </c>
      <c r="G689" s="6">
        <v>43376</v>
      </c>
      <c r="H689">
        <v>120</v>
      </c>
      <c r="I689" t="s">
        <v>1575</v>
      </c>
      <c r="K689" s="9">
        <v>2418.7399999999998</v>
      </c>
      <c r="L689" s="1">
        <f>2362.4+12.88</f>
        <v>2375.2800000000002</v>
      </c>
      <c r="M689" s="9">
        <f t="shared" si="67"/>
        <v>43.459999999999582</v>
      </c>
      <c r="P689" s="24">
        <f t="shared" si="68"/>
        <v>1.8296790273146568E-2</v>
      </c>
    </row>
    <row r="690" spans="1:16">
      <c r="A690">
        <v>7</v>
      </c>
      <c r="B690" t="s">
        <v>1576</v>
      </c>
      <c r="E690">
        <v>1</v>
      </c>
      <c r="F690" t="s">
        <v>1506</v>
      </c>
      <c r="G690" s="6">
        <v>43376</v>
      </c>
      <c r="H690">
        <v>120</v>
      </c>
      <c r="I690" t="s">
        <v>1577</v>
      </c>
      <c r="K690" s="9">
        <v>2326.84</v>
      </c>
      <c r="L690" s="1">
        <v>2268</v>
      </c>
      <c r="M690" s="9">
        <f t="shared" si="67"/>
        <v>58.840000000000146</v>
      </c>
      <c r="P690" s="24">
        <f t="shared" si="68"/>
        <v>2.5943562610229343E-2</v>
      </c>
    </row>
    <row r="691" spans="1:16">
      <c r="A691">
        <v>8</v>
      </c>
      <c r="B691" s="4" t="s">
        <v>1578</v>
      </c>
      <c r="E691">
        <v>6</v>
      </c>
      <c r="F691" t="s">
        <v>404</v>
      </c>
      <c r="G691" s="6">
        <v>43377</v>
      </c>
      <c r="H691">
        <v>240</v>
      </c>
      <c r="I691" t="s">
        <v>1579</v>
      </c>
      <c r="K691" s="9">
        <v>4251.84</v>
      </c>
      <c r="L691" s="1">
        <v>4186.8</v>
      </c>
      <c r="M691" s="9">
        <f t="shared" si="67"/>
        <v>65.039999999999964</v>
      </c>
      <c r="P691" s="24" t="e">
        <f>(#REF!/K691)-1</f>
        <v>#REF!</v>
      </c>
    </row>
    <row r="692" spans="1:16">
      <c r="A692">
        <v>9</v>
      </c>
      <c r="B692" t="s">
        <v>1580</v>
      </c>
      <c r="E692">
        <v>1</v>
      </c>
      <c r="F692" t="s">
        <v>606</v>
      </c>
      <c r="G692" s="6">
        <v>43377</v>
      </c>
      <c r="H692">
        <v>120</v>
      </c>
      <c r="I692" t="s">
        <v>1581</v>
      </c>
      <c r="K692" s="9">
        <v>298</v>
      </c>
      <c r="L692" s="9">
        <v>258.88</v>
      </c>
      <c r="M692" s="9">
        <f t="shared" si="67"/>
        <v>39.120000000000005</v>
      </c>
      <c r="P692" s="24" t="e">
        <f>(#REF!/K692)-1</f>
        <v>#REF!</v>
      </c>
    </row>
    <row r="693" spans="1:16">
      <c r="A693">
        <v>10</v>
      </c>
      <c r="G693" s="6"/>
      <c r="K693" s="9">
        <v>0</v>
      </c>
      <c r="L693" s="1">
        <v>0</v>
      </c>
      <c r="M693" s="9">
        <f t="shared" si="67"/>
        <v>0</v>
      </c>
      <c r="P693" s="24"/>
    </row>
    <row r="694" spans="1:16">
      <c r="A694">
        <v>11</v>
      </c>
      <c r="B694" t="s">
        <v>1582</v>
      </c>
      <c r="E694">
        <v>6</v>
      </c>
      <c r="F694" t="s">
        <v>129</v>
      </c>
      <c r="G694" s="6">
        <v>43378</v>
      </c>
      <c r="H694">
        <v>140</v>
      </c>
      <c r="I694" t="s">
        <v>1583</v>
      </c>
      <c r="K694" s="9">
        <v>4435.38</v>
      </c>
      <c r="L694" s="1">
        <v>4350</v>
      </c>
      <c r="M694" s="9">
        <f t="shared" si="67"/>
        <v>85.380000000000109</v>
      </c>
      <c r="P694" s="24" t="e">
        <f>(#REF!/K694)-1</f>
        <v>#REF!</v>
      </c>
    </row>
    <row r="695" spans="1:16">
      <c r="A695">
        <v>12</v>
      </c>
      <c r="B695" t="s">
        <v>1584</v>
      </c>
      <c r="E695">
        <v>78</v>
      </c>
      <c r="F695" t="s">
        <v>251</v>
      </c>
      <c r="G695" s="6">
        <v>43378</v>
      </c>
      <c r="H695">
        <v>120</v>
      </c>
      <c r="I695" t="s">
        <v>1585</v>
      </c>
      <c r="K695" s="9">
        <v>9740.64</v>
      </c>
      <c r="L695" s="1">
        <v>9594</v>
      </c>
      <c r="M695" s="9">
        <f t="shared" si="67"/>
        <v>146.63999999999942</v>
      </c>
      <c r="N695" s="75">
        <f>45.46*3+19.5</f>
        <v>155.88</v>
      </c>
      <c r="P695" s="24">
        <f>(K695/L695)-1</f>
        <v>1.5284552845528321E-2</v>
      </c>
    </row>
    <row r="696" spans="1:16">
      <c r="A696">
        <v>13</v>
      </c>
      <c r="B696" t="s">
        <v>1586</v>
      </c>
      <c r="E696">
        <v>7</v>
      </c>
      <c r="F696" s="90" t="s">
        <v>1522</v>
      </c>
      <c r="G696" s="6">
        <v>43378</v>
      </c>
      <c r="H696">
        <v>140</v>
      </c>
      <c r="I696" t="s">
        <v>1587</v>
      </c>
      <c r="K696" s="9">
        <v>4318.58</v>
      </c>
      <c r="L696" s="1">
        <v>4747.3999999999996</v>
      </c>
      <c r="M696" s="9">
        <f t="shared" si="67"/>
        <v>-428.81999999999971</v>
      </c>
      <c r="P696" s="24" t="e">
        <f>(#REF!/K696)-1</f>
        <v>#REF!</v>
      </c>
    </row>
    <row r="697" spans="1:16">
      <c r="A697">
        <v>14</v>
      </c>
      <c r="B697" t="s">
        <v>1588</v>
      </c>
      <c r="E697">
        <v>14</v>
      </c>
      <c r="F697" t="s">
        <v>1589</v>
      </c>
      <c r="G697" s="6">
        <v>43379</v>
      </c>
      <c r="I697" t="s">
        <v>1590</v>
      </c>
      <c r="K697" s="9">
        <v>1472</v>
      </c>
      <c r="L697">
        <v>0</v>
      </c>
      <c r="M697" s="9">
        <f t="shared" si="67"/>
        <v>1472</v>
      </c>
      <c r="P697" s="24" t="e">
        <f t="shared" ref="P697:P728" si="69">(K697/L697)-1</f>
        <v>#DIV/0!</v>
      </c>
    </row>
    <row r="698" spans="1:16">
      <c r="A698">
        <v>15</v>
      </c>
      <c r="B698" t="s">
        <v>1591</v>
      </c>
      <c r="E698">
        <v>15</v>
      </c>
      <c r="F698" s="90" t="s">
        <v>1592</v>
      </c>
      <c r="G698" s="6">
        <v>43382</v>
      </c>
      <c r="H698">
        <v>140</v>
      </c>
      <c r="I698" t="s">
        <v>1593</v>
      </c>
      <c r="K698" s="9">
        <v>2950.5</v>
      </c>
      <c r="L698" s="1">
        <f>149.23*19</f>
        <v>2835.37</v>
      </c>
      <c r="M698" s="9">
        <f t="shared" si="67"/>
        <v>115.13000000000011</v>
      </c>
      <c r="P698" s="24">
        <f t="shared" si="69"/>
        <v>4.0604929868059525E-2</v>
      </c>
    </row>
    <row r="699" spans="1:16">
      <c r="A699">
        <v>16</v>
      </c>
      <c r="B699" t="s">
        <v>1594</v>
      </c>
      <c r="E699">
        <v>1</v>
      </c>
      <c r="F699" t="s">
        <v>1595</v>
      </c>
      <c r="G699" s="6">
        <v>43382</v>
      </c>
      <c r="H699">
        <v>140</v>
      </c>
      <c r="I699" t="s">
        <v>1596</v>
      </c>
      <c r="K699" s="9">
        <v>2121.87</v>
      </c>
      <c r="L699" s="1">
        <v>2071</v>
      </c>
      <c r="M699" s="9">
        <f t="shared" si="67"/>
        <v>50.869999999999891</v>
      </c>
      <c r="P699" s="24">
        <f t="shared" si="69"/>
        <v>2.4563013037180115E-2</v>
      </c>
    </row>
    <row r="700" spans="1:16">
      <c r="A700">
        <v>17</v>
      </c>
      <c r="B700" t="s">
        <v>1597</v>
      </c>
      <c r="E700">
        <v>9</v>
      </c>
      <c r="F700" t="s">
        <v>129</v>
      </c>
      <c r="G700" s="6">
        <v>43382</v>
      </c>
      <c r="H700">
        <v>140</v>
      </c>
      <c r="I700" t="s">
        <v>1598</v>
      </c>
      <c r="K700" s="9">
        <v>10056.42</v>
      </c>
      <c r="L700" s="1">
        <f>9855+26.77</f>
        <v>9881.77</v>
      </c>
      <c r="M700" s="9">
        <f t="shared" si="67"/>
        <v>174.64999999999964</v>
      </c>
      <c r="P700" s="24">
        <f t="shared" si="69"/>
        <v>1.7673959219856261E-2</v>
      </c>
    </row>
    <row r="701" spans="1:16">
      <c r="A701">
        <v>18</v>
      </c>
      <c r="B701" s="4" t="s">
        <v>1599</v>
      </c>
      <c r="E701">
        <v>1</v>
      </c>
      <c r="F701" t="s">
        <v>1600</v>
      </c>
      <c r="G701" s="6">
        <v>43382</v>
      </c>
      <c r="H701">
        <v>180</v>
      </c>
      <c r="I701" t="s">
        <v>1601</v>
      </c>
      <c r="K701" s="9">
        <v>3058</v>
      </c>
      <c r="L701" s="1">
        <v>3007.3</v>
      </c>
      <c r="M701" s="9">
        <f t="shared" si="67"/>
        <v>50.699999999999818</v>
      </c>
      <c r="P701" s="24">
        <f t="shared" si="69"/>
        <v>1.6858976490539579E-2</v>
      </c>
    </row>
    <row r="702" spans="1:16">
      <c r="A702">
        <v>19</v>
      </c>
      <c r="B702" t="s">
        <v>1602</v>
      </c>
      <c r="E702">
        <v>5</v>
      </c>
      <c r="F702" t="s">
        <v>1603</v>
      </c>
      <c r="G702" s="6">
        <v>43382</v>
      </c>
      <c r="H702">
        <v>120</v>
      </c>
      <c r="I702" t="s">
        <v>1604</v>
      </c>
      <c r="K702" s="9">
        <v>1629.45</v>
      </c>
      <c r="L702" s="1">
        <v>1568.75</v>
      </c>
      <c r="M702" s="9">
        <f t="shared" si="67"/>
        <v>60.700000000000045</v>
      </c>
      <c r="P702" s="24">
        <f t="shared" si="69"/>
        <v>3.8693227091633586E-2</v>
      </c>
    </row>
    <row r="703" spans="1:16">
      <c r="A703">
        <v>20</v>
      </c>
      <c r="B703" t="s">
        <v>1605</v>
      </c>
      <c r="E703">
        <v>1</v>
      </c>
      <c r="F703" t="s">
        <v>139</v>
      </c>
      <c r="G703" s="6">
        <v>43382</v>
      </c>
      <c r="H703">
        <v>120</v>
      </c>
      <c r="I703" t="s">
        <v>1606</v>
      </c>
      <c r="K703" s="9">
        <v>926.48</v>
      </c>
      <c r="L703" s="1">
        <v>861</v>
      </c>
      <c r="M703" s="9">
        <f t="shared" si="67"/>
        <v>65.480000000000018</v>
      </c>
      <c r="P703" s="24">
        <f t="shared" si="69"/>
        <v>7.6051103368176554E-2</v>
      </c>
    </row>
    <row r="704" spans="1:16">
      <c r="A704">
        <v>21</v>
      </c>
      <c r="B704" t="s">
        <v>1607</v>
      </c>
      <c r="E704">
        <v>1</v>
      </c>
      <c r="F704" t="s">
        <v>139</v>
      </c>
      <c r="G704" s="6">
        <v>43382</v>
      </c>
      <c r="H704">
        <v>120</v>
      </c>
      <c r="I704" t="s">
        <v>1608</v>
      </c>
      <c r="K704" s="9">
        <v>954.87</v>
      </c>
      <c r="L704" s="1">
        <v>892</v>
      </c>
      <c r="M704" s="9">
        <f t="shared" si="67"/>
        <v>62.870000000000005</v>
      </c>
      <c r="P704" s="24">
        <f t="shared" si="69"/>
        <v>7.0482062780269139E-2</v>
      </c>
    </row>
    <row r="705" spans="1:16">
      <c r="A705">
        <v>22</v>
      </c>
      <c r="B705" t="s">
        <v>1609</v>
      </c>
      <c r="E705">
        <v>2</v>
      </c>
      <c r="F705" t="s">
        <v>135</v>
      </c>
      <c r="G705" s="6">
        <v>43383</v>
      </c>
      <c r="H705">
        <v>140</v>
      </c>
      <c r="I705" t="s">
        <v>1610</v>
      </c>
      <c r="K705" s="9">
        <v>1325.58</v>
      </c>
      <c r="L705" s="1">
        <v>1306.8800000000001</v>
      </c>
      <c r="M705" s="9">
        <f t="shared" si="67"/>
        <v>18.699999999999818</v>
      </c>
      <c r="P705" s="24">
        <f t="shared" si="69"/>
        <v>1.4308888344759962E-2</v>
      </c>
    </row>
    <row r="706" spans="1:16">
      <c r="A706">
        <v>23</v>
      </c>
      <c r="B706" t="s">
        <v>1611</v>
      </c>
      <c r="E706">
        <v>6</v>
      </c>
      <c r="F706" s="75" t="s">
        <v>1612</v>
      </c>
      <c r="G706" s="6">
        <v>43383</v>
      </c>
      <c r="H706">
        <v>140</v>
      </c>
      <c r="I706" t="s">
        <v>1613</v>
      </c>
      <c r="K706" s="9">
        <v>13194</v>
      </c>
      <c r="L706" s="1">
        <v>12984</v>
      </c>
      <c r="M706" s="9">
        <f t="shared" si="67"/>
        <v>210</v>
      </c>
      <c r="N706">
        <f>56.16+56.16</f>
        <v>112.32</v>
      </c>
      <c r="P706" s="24">
        <f t="shared" si="69"/>
        <v>1.6173752310536083E-2</v>
      </c>
    </row>
    <row r="707" spans="1:16">
      <c r="A707">
        <v>24</v>
      </c>
      <c r="B707" t="s">
        <v>1614</v>
      </c>
      <c r="E707">
        <v>19</v>
      </c>
      <c r="F707" s="208" t="s">
        <v>1615</v>
      </c>
      <c r="G707" s="6">
        <v>43384</v>
      </c>
      <c r="H707">
        <v>140</v>
      </c>
      <c r="I707" t="s">
        <v>1616</v>
      </c>
      <c r="K707" s="9">
        <v>1074.26</v>
      </c>
      <c r="L707" s="148">
        <v>1052.8</v>
      </c>
      <c r="M707" s="9">
        <f t="shared" si="67"/>
        <v>21.460000000000036</v>
      </c>
      <c r="P707" s="24">
        <f t="shared" si="69"/>
        <v>2.0383738601823742E-2</v>
      </c>
    </row>
    <row r="708" spans="1:16">
      <c r="A708">
        <v>25</v>
      </c>
      <c r="B708" t="s">
        <v>1617</v>
      </c>
      <c r="E708">
        <v>8</v>
      </c>
      <c r="F708" s="208" t="s">
        <v>1618</v>
      </c>
      <c r="G708" s="6">
        <v>43384</v>
      </c>
      <c r="H708">
        <v>140</v>
      </c>
      <c r="I708" t="s">
        <v>1619</v>
      </c>
      <c r="K708" s="9">
        <v>3414.16</v>
      </c>
      <c r="L708" s="1">
        <v>3398.5</v>
      </c>
      <c r="M708" s="9">
        <f t="shared" si="67"/>
        <v>15.659999999999854</v>
      </c>
      <c r="P708" s="24">
        <f t="shared" si="69"/>
        <v>4.6079152567308768E-3</v>
      </c>
    </row>
    <row r="709" spans="1:16">
      <c r="A709">
        <v>26</v>
      </c>
      <c r="B709" t="s">
        <v>1620</v>
      </c>
      <c r="E709">
        <v>30</v>
      </c>
      <c r="F709" t="s">
        <v>135</v>
      </c>
      <c r="G709" s="6">
        <v>43384</v>
      </c>
      <c r="H709">
        <v>140</v>
      </c>
      <c r="I709" t="s">
        <v>1496</v>
      </c>
      <c r="K709" s="9">
        <v>4910.1000000000004</v>
      </c>
      <c r="L709" s="1">
        <f>30*140.08</f>
        <v>4202.4000000000005</v>
      </c>
      <c r="M709" s="9">
        <f t="shared" si="67"/>
        <v>707.69999999999982</v>
      </c>
      <c r="P709" s="24">
        <f t="shared" si="69"/>
        <v>0.16840376927470002</v>
      </c>
    </row>
    <row r="710" spans="1:16">
      <c r="A710">
        <v>27</v>
      </c>
      <c r="B710" t="s">
        <v>1621</v>
      </c>
      <c r="E710">
        <v>8</v>
      </c>
      <c r="F710" t="s">
        <v>129</v>
      </c>
      <c r="G710" s="6">
        <v>43388</v>
      </c>
      <c r="H710">
        <v>140</v>
      </c>
      <c r="I710" t="s">
        <v>1622</v>
      </c>
      <c r="K710" s="9">
        <v>33344</v>
      </c>
      <c r="L710" s="1">
        <f>32720+161.16</f>
        <v>32881.160000000003</v>
      </c>
      <c r="M710" s="9">
        <f t="shared" si="67"/>
        <v>462.83999999999651</v>
      </c>
      <c r="N710" s="148">
        <f>24.91*8</f>
        <v>199.28</v>
      </c>
      <c r="O710" s="9">
        <f>M710-N710</f>
        <v>263.55999999999653</v>
      </c>
      <c r="P710" s="24">
        <f t="shared" si="69"/>
        <v>1.4076145732084822E-2</v>
      </c>
    </row>
    <row r="711" spans="1:16">
      <c r="A711">
        <v>28</v>
      </c>
      <c r="B711" t="s">
        <v>1623</v>
      </c>
      <c r="E711">
        <v>65</v>
      </c>
      <c r="F711" t="s">
        <v>135</v>
      </c>
      <c r="G711" s="6">
        <v>43390</v>
      </c>
      <c r="I711" t="s">
        <v>1624</v>
      </c>
      <c r="K711" s="9">
        <v>1941.55</v>
      </c>
      <c r="L711" s="1">
        <v>1857.05</v>
      </c>
      <c r="M711" s="9">
        <f t="shared" si="67"/>
        <v>84.5</v>
      </c>
      <c r="P711" s="24">
        <f t="shared" si="69"/>
        <v>4.5502275113755708E-2</v>
      </c>
    </row>
    <row r="712" spans="1:16">
      <c r="A712">
        <v>29</v>
      </c>
      <c r="B712" s="4" t="s">
        <v>1625</v>
      </c>
      <c r="E712">
        <v>11</v>
      </c>
      <c r="F712" t="s">
        <v>315</v>
      </c>
      <c r="G712" s="6">
        <v>43391</v>
      </c>
      <c r="I712" t="s">
        <v>1626</v>
      </c>
      <c r="K712" s="9">
        <v>17351.400000000001</v>
      </c>
      <c r="L712" s="1">
        <v>17303</v>
      </c>
      <c r="M712" s="9">
        <f t="shared" si="67"/>
        <v>48.400000000001455</v>
      </c>
      <c r="P712" s="24">
        <f t="shared" si="69"/>
        <v>2.7972027972029689E-3</v>
      </c>
    </row>
    <row r="713" spans="1:16">
      <c r="A713">
        <v>30</v>
      </c>
      <c r="B713" s="4" t="s">
        <v>1627</v>
      </c>
      <c r="E713">
        <v>5</v>
      </c>
      <c r="F713" t="s">
        <v>135</v>
      </c>
      <c r="G713" s="6">
        <v>43391</v>
      </c>
      <c r="I713" t="s">
        <v>1628</v>
      </c>
      <c r="K713" s="9">
        <v>2881.05</v>
      </c>
      <c r="L713" s="1">
        <v>2834.75</v>
      </c>
      <c r="M713" s="9">
        <f t="shared" si="67"/>
        <v>46.300000000000182</v>
      </c>
      <c r="P713" s="24">
        <f t="shared" si="69"/>
        <v>1.6333009965605605E-2</v>
      </c>
    </row>
    <row r="714" spans="1:16">
      <c r="A714">
        <v>31</v>
      </c>
      <c r="B714" t="s">
        <v>1629</v>
      </c>
      <c r="E714">
        <v>4</v>
      </c>
      <c r="F714" t="s">
        <v>1630</v>
      </c>
      <c r="G714" s="6">
        <v>43395</v>
      </c>
      <c r="H714">
        <v>160</v>
      </c>
      <c r="I714" t="s">
        <v>1631</v>
      </c>
      <c r="K714" s="9">
        <v>18046.48</v>
      </c>
      <c r="L714" s="1">
        <v>17745.8</v>
      </c>
      <c r="M714" s="9">
        <f t="shared" si="67"/>
        <v>300.68000000000029</v>
      </c>
      <c r="P714" s="24">
        <f t="shared" si="69"/>
        <v>1.6943727529894481E-2</v>
      </c>
    </row>
    <row r="715" spans="1:16">
      <c r="A715">
        <v>32</v>
      </c>
      <c r="B715" t="s">
        <v>1632</v>
      </c>
      <c r="E715">
        <v>62</v>
      </c>
      <c r="F715" t="s">
        <v>1600</v>
      </c>
      <c r="G715" s="6">
        <v>43395</v>
      </c>
      <c r="H715">
        <v>120</v>
      </c>
      <c r="I715" t="s">
        <v>1633</v>
      </c>
      <c r="K715" s="9">
        <v>4288.54</v>
      </c>
      <c r="L715" s="1">
        <v>4168.88</v>
      </c>
      <c r="M715" s="9">
        <f t="shared" si="67"/>
        <v>119.65999999999985</v>
      </c>
      <c r="P715" s="24">
        <f t="shared" si="69"/>
        <v>2.8703152885187322E-2</v>
      </c>
    </row>
    <row r="716" spans="1:16">
      <c r="A716">
        <v>33</v>
      </c>
      <c r="B716" t="s">
        <v>1634</v>
      </c>
      <c r="E716">
        <v>15</v>
      </c>
      <c r="F716" t="s">
        <v>1635</v>
      </c>
      <c r="G716" s="6">
        <v>43397</v>
      </c>
      <c r="I716" t="s">
        <v>1636</v>
      </c>
      <c r="K716" s="9">
        <v>6937.35</v>
      </c>
      <c r="L716" s="1">
        <f>6790.65+12.88</f>
        <v>6803.53</v>
      </c>
      <c r="M716" s="9">
        <f t="shared" si="67"/>
        <v>133.82000000000062</v>
      </c>
      <c r="P716" s="24">
        <f t="shared" si="69"/>
        <v>1.9669201135293024E-2</v>
      </c>
    </row>
    <row r="717" spans="1:16">
      <c r="A717">
        <v>34</v>
      </c>
      <c r="B717" s="4" t="s">
        <v>1637</v>
      </c>
      <c r="E717">
        <v>1</v>
      </c>
      <c r="F717" t="s">
        <v>1638</v>
      </c>
      <c r="G717" s="6">
        <v>43397</v>
      </c>
      <c r="I717" t="s">
        <v>1639</v>
      </c>
      <c r="K717" s="9">
        <v>6986.69</v>
      </c>
      <c r="L717" s="1">
        <v>6868</v>
      </c>
      <c r="M717" s="9">
        <f t="shared" si="67"/>
        <v>118.6899999999996</v>
      </c>
      <c r="P717" s="24">
        <f t="shared" si="69"/>
        <v>1.728159580663946E-2</v>
      </c>
    </row>
    <row r="718" spans="1:16">
      <c r="A718">
        <v>35</v>
      </c>
      <c r="B718" t="s">
        <v>1640</v>
      </c>
      <c r="E718">
        <v>17</v>
      </c>
      <c r="F718" t="s">
        <v>135</v>
      </c>
      <c r="G718" s="6">
        <v>43398</v>
      </c>
      <c r="H718">
        <v>140</v>
      </c>
      <c r="I718" t="s">
        <v>1307</v>
      </c>
      <c r="K718" s="9">
        <v>5026.7299999999996</v>
      </c>
      <c r="L718" s="1">
        <f>176.36*17</f>
        <v>2998.1200000000003</v>
      </c>
      <c r="M718" s="9">
        <f t="shared" si="67"/>
        <v>2028.6099999999992</v>
      </c>
      <c r="P718" s="24">
        <f t="shared" si="69"/>
        <v>0.67662735314130162</v>
      </c>
    </row>
    <row r="719" spans="1:16">
      <c r="A719">
        <v>36</v>
      </c>
      <c r="B719" s="4" t="s">
        <v>1641</v>
      </c>
      <c r="E719">
        <v>6</v>
      </c>
      <c r="F719" t="s">
        <v>1595</v>
      </c>
      <c r="G719" s="6">
        <v>43398</v>
      </c>
      <c r="H719">
        <v>150</v>
      </c>
      <c r="I719" t="s">
        <v>1642</v>
      </c>
      <c r="K719" s="9">
        <v>7010.4</v>
      </c>
      <c r="L719" s="148">
        <v>6852</v>
      </c>
      <c r="M719" s="9">
        <f t="shared" si="67"/>
        <v>158.39999999999964</v>
      </c>
      <c r="N719" s="75">
        <v>220.81</v>
      </c>
      <c r="P719" s="24">
        <f t="shared" si="69"/>
        <v>2.3117338003502574E-2</v>
      </c>
    </row>
    <row r="720" spans="1:16">
      <c r="A720">
        <v>37</v>
      </c>
      <c r="B720" t="s">
        <v>1643</v>
      </c>
      <c r="E720">
        <v>2</v>
      </c>
      <c r="F720" t="s">
        <v>1506</v>
      </c>
      <c r="G720" s="6">
        <v>43399</v>
      </c>
      <c r="H720">
        <v>90</v>
      </c>
      <c r="K720" s="9">
        <v>192.96</v>
      </c>
      <c r="L720" s="148">
        <v>110</v>
      </c>
      <c r="M720" s="9">
        <f t="shared" si="67"/>
        <v>82.960000000000008</v>
      </c>
      <c r="P720" s="24">
        <f t="shared" si="69"/>
        <v>0.75418181818181829</v>
      </c>
    </row>
    <row r="721" spans="1:16">
      <c r="A721">
        <v>38</v>
      </c>
      <c r="B721" t="s">
        <v>1644</v>
      </c>
      <c r="E721">
        <v>3</v>
      </c>
      <c r="F721" t="s">
        <v>1645</v>
      </c>
      <c r="G721" s="6">
        <v>43399</v>
      </c>
      <c r="H721">
        <v>140</v>
      </c>
      <c r="I721" t="s">
        <v>1646</v>
      </c>
      <c r="K721" s="9">
        <v>1277.07</v>
      </c>
      <c r="L721" s="1">
        <f>365.88*3</f>
        <v>1097.6399999999999</v>
      </c>
      <c r="M721" s="9">
        <f t="shared" si="67"/>
        <v>179.43000000000006</v>
      </c>
      <c r="P721" s="24">
        <f t="shared" si="69"/>
        <v>0.16346889690608957</v>
      </c>
    </row>
    <row r="722" spans="1:16">
      <c r="K722" s="64">
        <f>SUM(K683:K721)</f>
        <v>228200.61999999997</v>
      </c>
      <c r="L722" s="26">
        <f>SUM(L683:L721)</f>
        <v>215266.31</v>
      </c>
      <c r="M722" s="64">
        <f t="shared" si="67"/>
        <v>12934.309999999969</v>
      </c>
      <c r="N722" s="9">
        <f>M686+M687+M697+M700+M706+M709+M710+M714+M718</f>
        <v>11281.539999999995</v>
      </c>
      <c r="P722" s="129">
        <f t="shared" si="69"/>
        <v>6.0085156845955057E-2</v>
      </c>
    </row>
    <row r="723" spans="1:16">
      <c r="P723" s="24" t="e">
        <f t="shared" si="69"/>
        <v>#DIV/0!</v>
      </c>
    </row>
    <row r="724" spans="1:16">
      <c r="A724">
        <v>1</v>
      </c>
      <c r="B724" t="s">
        <v>1647</v>
      </c>
      <c r="E724">
        <v>6</v>
      </c>
      <c r="F724" t="s">
        <v>279</v>
      </c>
      <c r="G724" s="6">
        <v>43405</v>
      </c>
      <c r="H724">
        <v>180</v>
      </c>
      <c r="I724" t="s">
        <v>1648</v>
      </c>
      <c r="K724" s="9">
        <v>11106</v>
      </c>
      <c r="L724" s="1">
        <v>10872.3</v>
      </c>
      <c r="M724" s="1">
        <f t="shared" ref="M724:M756" si="70">K724-L724</f>
        <v>233.70000000000073</v>
      </c>
      <c r="P724" s="24">
        <f t="shared" si="69"/>
        <v>2.1494991860047996E-2</v>
      </c>
    </row>
    <row r="725" spans="1:16">
      <c r="A725">
        <v>2</v>
      </c>
      <c r="B725" s="4"/>
      <c r="E725">
        <v>43</v>
      </c>
      <c r="F725" s="90" t="s">
        <v>1649</v>
      </c>
      <c r="G725" s="6">
        <v>43405</v>
      </c>
      <c r="H725">
        <v>165</v>
      </c>
      <c r="I725" t="s">
        <v>1568</v>
      </c>
      <c r="K725" s="9">
        <v>25661.11</v>
      </c>
      <c r="L725" s="1">
        <f>528.28*43</f>
        <v>22716.039999999997</v>
      </c>
      <c r="M725" s="9">
        <f t="shared" si="70"/>
        <v>2945.0700000000033</v>
      </c>
      <c r="P725" s="24">
        <f t="shared" si="69"/>
        <v>0.12964715681078243</v>
      </c>
    </row>
    <row r="726" spans="1:16">
      <c r="A726">
        <v>3</v>
      </c>
      <c r="B726" t="s">
        <v>1650</v>
      </c>
      <c r="E726">
        <v>11</v>
      </c>
      <c r="F726" t="s">
        <v>129</v>
      </c>
      <c r="G726" s="6">
        <v>43406</v>
      </c>
      <c r="H726">
        <v>140</v>
      </c>
      <c r="I726" t="s">
        <v>1651</v>
      </c>
      <c r="K726" s="9">
        <v>20079.18</v>
      </c>
      <c r="L726" s="1">
        <f>19404+152</f>
        <v>19556</v>
      </c>
      <c r="M726" s="9">
        <f t="shared" si="70"/>
        <v>523.18000000000029</v>
      </c>
      <c r="N726" s="75">
        <f>58.29*3</f>
        <v>174.87</v>
      </c>
      <c r="O726" s="9">
        <f>M726-N726</f>
        <v>348.31000000000029</v>
      </c>
      <c r="P726" s="24">
        <f t="shared" si="69"/>
        <v>2.6752914706483999E-2</v>
      </c>
    </row>
    <row r="727" spans="1:16">
      <c r="A727">
        <v>4</v>
      </c>
      <c r="B727" t="s">
        <v>1652</v>
      </c>
      <c r="E727">
        <v>21</v>
      </c>
      <c r="F727" s="90" t="s">
        <v>1653</v>
      </c>
      <c r="G727" s="6">
        <v>43406</v>
      </c>
      <c r="H727">
        <v>140</v>
      </c>
      <c r="I727" t="s">
        <v>1654</v>
      </c>
      <c r="K727" s="9">
        <v>1274.49</v>
      </c>
      <c r="L727" s="1">
        <f>42.6*50</f>
        <v>2130</v>
      </c>
      <c r="M727" s="9">
        <f t="shared" si="70"/>
        <v>-855.51</v>
      </c>
      <c r="P727" s="24">
        <f t="shared" si="69"/>
        <v>-0.40164788732394363</v>
      </c>
    </row>
    <row r="728" spans="1:16">
      <c r="A728">
        <v>5</v>
      </c>
      <c r="B728" s="4" t="s">
        <v>1655</v>
      </c>
      <c r="E728">
        <v>7</v>
      </c>
      <c r="F728" t="s">
        <v>129</v>
      </c>
      <c r="G728" s="6">
        <v>43409</v>
      </c>
      <c r="H728">
        <v>140</v>
      </c>
      <c r="I728" t="s">
        <v>1656</v>
      </c>
      <c r="K728" s="9">
        <v>25890.83</v>
      </c>
      <c r="L728" s="1">
        <f>25480+55.66</f>
        <v>25535.66</v>
      </c>
      <c r="M728" s="9">
        <f t="shared" si="70"/>
        <v>355.17000000000189</v>
      </c>
      <c r="N728" s="75">
        <v>66.739999999999995</v>
      </c>
      <c r="P728" s="24">
        <f t="shared" si="69"/>
        <v>1.3908784813080999E-2</v>
      </c>
    </row>
    <row r="729" spans="1:16">
      <c r="A729">
        <v>6</v>
      </c>
      <c r="B729" s="4" t="s">
        <v>1657</v>
      </c>
      <c r="E729">
        <v>239</v>
      </c>
      <c r="F729" s="75" t="s">
        <v>1658</v>
      </c>
      <c r="G729" s="6">
        <v>43409</v>
      </c>
      <c r="H729">
        <v>155</v>
      </c>
      <c r="K729" s="9">
        <v>0</v>
      </c>
      <c r="L729" s="1">
        <v>0</v>
      </c>
      <c r="M729" s="9">
        <f t="shared" si="70"/>
        <v>0</v>
      </c>
      <c r="P729" s="24" t="e">
        <f t="shared" ref="P729:P756" si="71">(K729/L729)-1</f>
        <v>#DIV/0!</v>
      </c>
    </row>
    <row r="730" spans="1:16">
      <c r="A730">
        <v>7</v>
      </c>
      <c r="B730" s="4" t="s">
        <v>1659</v>
      </c>
      <c r="E730">
        <v>1</v>
      </c>
      <c r="F730" t="s">
        <v>1449</v>
      </c>
      <c r="G730" s="6">
        <v>43411</v>
      </c>
      <c r="H730">
        <v>120</v>
      </c>
      <c r="I730" t="s">
        <v>1660</v>
      </c>
      <c r="K730" s="9">
        <v>456.64</v>
      </c>
      <c r="L730" s="1">
        <v>403.97</v>
      </c>
      <c r="M730" s="9">
        <f t="shared" si="70"/>
        <v>52.669999999999959</v>
      </c>
      <c r="P730" s="24">
        <f t="shared" si="71"/>
        <v>0.130380968883828</v>
      </c>
    </row>
    <row r="731" spans="1:16">
      <c r="A731">
        <v>8</v>
      </c>
      <c r="B731" t="s">
        <v>1661</v>
      </c>
      <c r="E731">
        <v>14</v>
      </c>
      <c r="F731" s="90" t="s">
        <v>1662</v>
      </c>
      <c r="G731" s="6">
        <v>43411</v>
      </c>
      <c r="H731">
        <v>145</v>
      </c>
      <c r="I731" t="s">
        <v>1663</v>
      </c>
      <c r="K731" s="9">
        <v>4446.68</v>
      </c>
      <c r="L731" s="1">
        <v>4674.2</v>
      </c>
      <c r="M731" s="9">
        <f t="shared" si="70"/>
        <v>-227.51999999999953</v>
      </c>
      <c r="P731" s="24">
        <f t="shared" si="71"/>
        <v>-4.867570921227149E-2</v>
      </c>
    </row>
    <row r="732" spans="1:16">
      <c r="A732">
        <v>9</v>
      </c>
      <c r="B732" s="4" t="s">
        <v>1664</v>
      </c>
      <c r="E732">
        <v>62</v>
      </c>
      <c r="F732" t="s">
        <v>135</v>
      </c>
      <c r="G732" s="6">
        <v>43411</v>
      </c>
      <c r="H732">
        <v>140</v>
      </c>
      <c r="I732" t="s">
        <v>1665</v>
      </c>
      <c r="K732" s="9">
        <v>2750.32</v>
      </c>
      <c r="L732" s="1">
        <v>2697.62</v>
      </c>
      <c r="M732" s="9">
        <f t="shared" si="70"/>
        <v>52.700000000000273</v>
      </c>
      <c r="P732" s="24">
        <f t="shared" si="71"/>
        <v>1.9535738910595457E-2</v>
      </c>
    </row>
    <row r="733" spans="1:16">
      <c r="A733">
        <v>10</v>
      </c>
      <c r="B733" s="4" t="s">
        <v>1666</v>
      </c>
      <c r="E733">
        <v>2</v>
      </c>
      <c r="F733" s="90" t="s">
        <v>1649</v>
      </c>
      <c r="G733" s="6">
        <v>43413</v>
      </c>
      <c r="H733">
        <v>150</v>
      </c>
      <c r="I733" t="s">
        <v>1667</v>
      </c>
      <c r="K733" s="9">
        <v>2432</v>
      </c>
      <c r="L733" s="148">
        <v>2432</v>
      </c>
      <c r="M733" s="9">
        <f t="shared" si="70"/>
        <v>0</v>
      </c>
      <c r="P733" s="24">
        <f t="shared" si="71"/>
        <v>0</v>
      </c>
    </row>
    <row r="734" spans="1:16">
      <c r="A734">
        <v>11</v>
      </c>
      <c r="B734" t="s">
        <v>1668</v>
      </c>
      <c r="E734">
        <v>103</v>
      </c>
      <c r="F734" t="s">
        <v>1669</v>
      </c>
      <c r="G734" s="6">
        <v>43413</v>
      </c>
      <c r="H734">
        <v>120</v>
      </c>
      <c r="I734" t="s">
        <v>1670</v>
      </c>
      <c r="K734" s="9">
        <v>10255.709999999999</v>
      </c>
      <c r="L734" s="1">
        <v>9991</v>
      </c>
      <c r="M734" s="9">
        <f t="shared" si="70"/>
        <v>264.70999999999913</v>
      </c>
      <c r="N734">
        <v>41.21</v>
      </c>
      <c r="P734" s="24">
        <f t="shared" si="71"/>
        <v>2.6494845360824693E-2</v>
      </c>
    </row>
    <row r="735" spans="1:16">
      <c r="A735">
        <v>12</v>
      </c>
      <c r="B735" t="s">
        <v>1671</v>
      </c>
      <c r="E735">
        <v>11</v>
      </c>
      <c r="F735" t="s">
        <v>1062</v>
      </c>
      <c r="G735" s="6">
        <v>43413</v>
      </c>
      <c r="H735">
        <v>95</v>
      </c>
      <c r="I735" t="s">
        <v>1672</v>
      </c>
      <c r="K735" s="9">
        <v>9168.06</v>
      </c>
      <c r="L735" s="1">
        <v>8388</v>
      </c>
      <c r="M735" s="9">
        <f t="shared" si="70"/>
        <v>780.05999999999949</v>
      </c>
      <c r="P735" s="24">
        <f t="shared" si="71"/>
        <v>9.2997138769670862E-2</v>
      </c>
    </row>
    <row r="736" spans="1:16">
      <c r="A736">
        <v>13</v>
      </c>
      <c r="B736" t="s">
        <v>1673</v>
      </c>
      <c r="E736">
        <v>65</v>
      </c>
      <c r="F736" t="s">
        <v>1037</v>
      </c>
      <c r="G736" s="6">
        <v>43417</v>
      </c>
      <c r="H736">
        <v>140</v>
      </c>
      <c r="I736" t="s">
        <v>1674</v>
      </c>
      <c r="K736" s="9">
        <v>10855</v>
      </c>
      <c r="L736" s="1">
        <v>10790</v>
      </c>
      <c r="M736" s="9">
        <f t="shared" si="70"/>
        <v>65</v>
      </c>
      <c r="P736" s="24">
        <f t="shared" si="71"/>
        <v>6.0240963855422436E-3</v>
      </c>
    </row>
    <row r="737" spans="1:16">
      <c r="A737">
        <v>14</v>
      </c>
      <c r="B737" t="s">
        <v>1675</v>
      </c>
      <c r="E737">
        <v>31</v>
      </c>
      <c r="F737" t="s">
        <v>1676</v>
      </c>
      <c r="G737" s="6">
        <v>43417</v>
      </c>
      <c r="H737">
        <v>120</v>
      </c>
      <c r="I737" t="s">
        <v>1677</v>
      </c>
      <c r="K737" s="9">
        <v>11244.94</v>
      </c>
      <c r="L737" s="1">
        <v>11121.87</v>
      </c>
      <c r="M737" s="9">
        <f t="shared" si="70"/>
        <v>123.06999999999971</v>
      </c>
      <c r="P737" s="24">
        <f t="shared" si="71"/>
        <v>1.1065585193856808E-2</v>
      </c>
    </row>
    <row r="738" spans="1:16">
      <c r="A738">
        <v>15</v>
      </c>
      <c r="B738" t="s">
        <v>1678</v>
      </c>
      <c r="E738">
        <v>4</v>
      </c>
      <c r="F738" t="s">
        <v>1679</v>
      </c>
      <c r="G738" s="6">
        <v>43417</v>
      </c>
      <c r="H738">
        <v>129</v>
      </c>
      <c r="I738" t="s">
        <v>1680</v>
      </c>
      <c r="K738" s="9">
        <v>1051.3599999999999</v>
      </c>
      <c r="L738" s="1">
        <v>972</v>
      </c>
      <c r="M738" s="9">
        <f t="shared" si="70"/>
        <v>79.3599999999999</v>
      </c>
      <c r="N738">
        <v>16.52</v>
      </c>
      <c r="P738" s="24">
        <f t="shared" si="71"/>
        <v>8.1646090534979399E-2</v>
      </c>
    </row>
    <row r="739" spans="1:16">
      <c r="A739">
        <v>16</v>
      </c>
      <c r="B739" s="4" t="s">
        <v>1681</v>
      </c>
      <c r="E739">
        <v>11</v>
      </c>
      <c r="F739" t="s">
        <v>135</v>
      </c>
      <c r="G739" s="6">
        <v>43419</v>
      </c>
      <c r="H739">
        <v>140</v>
      </c>
      <c r="I739" t="s">
        <v>1682</v>
      </c>
      <c r="K739" s="9">
        <v>2518.7800000000002</v>
      </c>
      <c r="L739" s="1">
        <v>2488.31</v>
      </c>
      <c r="M739" s="9">
        <f t="shared" si="70"/>
        <v>30.470000000000255</v>
      </c>
      <c r="P739" s="24">
        <f t="shared" si="71"/>
        <v>1.2245258830290595E-2</v>
      </c>
    </row>
    <row r="740" spans="1:16">
      <c r="A740">
        <v>17</v>
      </c>
      <c r="B740" t="s">
        <v>1683</v>
      </c>
      <c r="E740">
        <v>7</v>
      </c>
      <c r="F740" s="75" t="s">
        <v>1684</v>
      </c>
      <c r="G740" s="6">
        <v>43424</v>
      </c>
      <c r="H740">
        <v>160</v>
      </c>
      <c r="K740" s="9">
        <v>0</v>
      </c>
      <c r="L740" s="1">
        <v>0</v>
      </c>
      <c r="M740" s="9">
        <f t="shared" si="70"/>
        <v>0</v>
      </c>
      <c r="P740" s="24" t="e">
        <f t="shared" si="71"/>
        <v>#DIV/0!</v>
      </c>
    </row>
    <row r="741" spans="1:16">
      <c r="A741">
        <v>18</v>
      </c>
      <c r="B741" s="4" t="s">
        <v>1685</v>
      </c>
      <c r="E741">
        <v>9</v>
      </c>
      <c r="F741" s="75" t="s">
        <v>1686</v>
      </c>
      <c r="G741" s="6">
        <v>43424</v>
      </c>
      <c r="H741">
        <v>140</v>
      </c>
      <c r="I741" t="s">
        <v>1687</v>
      </c>
      <c r="K741" s="9">
        <v>0</v>
      </c>
      <c r="L741" s="1">
        <v>0</v>
      </c>
      <c r="M741" s="9">
        <f t="shared" si="70"/>
        <v>0</v>
      </c>
      <c r="P741" s="24" t="e">
        <f t="shared" si="71"/>
        <v>#DIV/0!</v>
      </c>
    </row>
    <row r="742" spans="1:16">
      <c r="A742">
        <v>19</v>
      </c>
      <c r="B742" s="4" t="s">
        <v>1688</v>
      </c>
      <c r="E742">
        <v>92</v>
      </c>
      <c r="F742" t="s">
        <v>1669</v>
      </c>
      <c r="G742" s="6">
        <v>43424</v>
      </c>
      <c r="H742">
        <v>140</v>
      </c>
      <c r="I742" t="s">
        <v>1689</v>
      </c>
      <c r="K742" s="9">
        <v>9168.7199999999993</v>
      </c>
      <c r="L742" s="1">
        <f>90*92</f>
        <v>8280</v>
      </c>
      <c r="M742" s="9">
        <f t="shared" si="70"/>
        <v>888.71999999999935</v>
      </c>
      <c r="P742" s="24">
        <f t="shared" si="71"/>
        <v>0.10733333333333328</v>
      </c>
    </row>
    <row r="743" spans="1:16">
      <c r="A743">
        <v>20</v>
      </c>
      <c r="B743" t="s">
        <v>1690</v>
      </c>
      <c r="E743">
        <v>2</v>
      </c>
      <c r="F743" t="s">
        <v>279</v>
      </c>
      <c r="G743" s="6">
        <v>43425</v>
      </c>
      <c r="H743">
        <v>180</v>
      </c>
      <c r="I743" t="s">
        <v>1691</v>
      </c>
      <c r="K743" s="9">
        <v>9112</v>
      </c>
      <c r="L743" s="1">
        <v>8875</v>
      </c>
      <c r="M743" s="9">
        <f t="shared" si="70"/>
        <v>237</v>
      </c>
      <c r="P743" s="24">
        <f t="shared" si="71"/>
        <v>2.6704225352112587E-2</v>
      </c>
    </row>
    <row r="744" spans="1:16">
      <c r="A744">
        <v>21</v>
      </c>
      <c r="B744" s="4" t="s">
        <v>1692</v>
      </c>
      <c r="E744">
        <v>3</v>
      </c>
      <c r="F744" t="s">
        <v>1693</v>
      </c>
      <c r="G744" s="6">
        <v>43425</v>
      </c>
      <c r="H744">
        <v>140</v>
      </c>
      <c r="I744" t="s">
        <v>1694</v>
      </c>
      <c r="K744" s="9">
        <v>710.4</v>
      </c>
      <c r="L744" s="1">
        <v>845</v>
      </c>
      <c r="M744" s="9">
        <f t="shared" si="70"/>
        <v>-134.60000000000002</v>
      </c>
      <c r="P744" s="24">
        <f t="shared" si="71"/>
        <v>-0.15928994082840242</v>
      </c>
    </row>
    <row r="745" spans="1:16">
      <c r="A745">
        <v>22</v>
      </c>
      <c r="B745" s="25" t="s">
        <v>1695</v>
      </c>
      <c r="E745">
        <v>1</v>
      </c>
      <c r="F745" t="s">
        <v>279</v>
      </c>
      <c r="G745" s="6">
        <v>43425</v>
      </c>
      <c r="H745">
        <v>120</v>
      </c>
      <c r="I745" t="s">
        <v>1696</v>
      </c>
      <c r="K745" s="9">
        <v>1147</v>
      </c>
      <c r="L745" s="1">
        <v>1016.88</v>
      </c>
      <c r="M745" s="9">
        <f t="shared" si="70"/>
        <v>130.12</v>
      </c>
      <c r="P745" s="24">
        <f t="shared" si="71"/>
        <v>0.12796003461568728</v>
      </c>
    </row>
    <row r="746" spans="1:16">
      <c r="A746">
        <v>23</v>
      </c>
      <c r="B746" s="4" t="s">
        <v>1697</v>
      </c>
      <c r="E746">
        <v>3</v>
      </c>
      <c r="F746" t="s">
        <v>1211</v>
      </c>
      <c r="G746" s="6">
        <v>43425</v>
      </c>
      <c r="H746">
        <v>120</v>
      </c>
      <c r="I746" t="s">
        <v>1698</v>
      </c>
      <c r="K746" s="9">
        <v>2170.17</v>
      </c>
      <c r="L746" s="1">
        <v>2121</v>
      </c>
      <c r="M746" s="9">
        <f t="shared" si="70"/>
        <v>49.170000000000073</v>
      </c>
      <c r="P746" s="24">
        <f t="shared" si="71"/>
        <v>2.3182461103253171E-2</v>
      </c>
    </row>
    <row r="747" spans="1:16">
      <c r="A747">
        <v>24</v>
      </c>
      <c r="B747" t="s">
        <v>1699</v>
      </c>
      <c r="E747">
        <v>145</v>
      </c>
      <c r="F747" t="s">
        <v>946</v>
      </c>
      <c r="G747" s="6">
        <v>43430</v>
      </c>
      <c r="H747">
        <v>150</v>
      </c>
      <c r="I747" t="s">
        <v>1700</v>
      </c>
      <c r="K747" s="9">
        <v>21584.7</v>
      </c>
      <c r="L747" s="1">
        <v>20215</v>
      </c>
      <c r="M747" s="9">
        <f t="shared" si="70"/>
        <v>1369.7000000000007</v>
      </c>
      <c r="P747" s="24">
        <f t="shared" si="71"/>
        <v>6.7756616373979783E-2</v>
      </c>
    </row>
    <row r="748" spans="1:16">
      <c r="A748">
        <v>25</v>
      </c>
      <c r="B748" s="4" t="s">
        <v>1701</v>
      </c>
      <c r="E748">
        <v>20</v>
      </c>
      <c r="F748" t="s">
        <v>129</v>
      </c>
      <c r="G748" s="6">
        <v>43430</v>
      </c>
      <c r="H748">
        <v>140</v>
      </c>
      <c r="I748" t="s">
        <v>1702</v>
      </c>
      <c r="K748" s="9">
        <v>18532.400000000001</v>
      </c>
      <c r="L748" s="1">
        <f>18100+37.06</f>
        <v>18137.060000000001</v>
      </c>
      <c r="M748" s="9">
        <f t="shared" si="70"/>
        <v>395.34000000000015</v>
      </c>
      <c r="P748" s="24">
        <f t="shared" si="71"/>
        <v>2.1797358557561264E-2</v>
      </c>
    </row>
    <row r="749" spans="1:16">
      <c r="A749">
        <v>26</v>
      </c>
      <c r="B749" t="s">
        <v>1703</v>
      </c>
      <c r="E749">
        <v>1</v>
      </c>
      <c r="F749" t="s">
        <v>135</v>
      </c>
      <c r="G749" s="6">
        <v>43432</v>
      </c>
      <c r="H749">
        <v>140</v>
      </c>
      <c r="I749" t="s">
        <v>1646</v>
      </c>
      <c r="K749" s="9">
        <v>483.77</v>
      </c>
      <c r="L749" s="1">
        <v>365.88</v>
      </c>
      <c r="M749" s="9">
        <f t="shared" si="70"/>
        <v>117.88999999999999</v>
      </c>
      <c r="P749" s="24">
        <f t="shared" si="71"/>
        <v>0.32220946758500046</v>
      </c>
    </row>
    <row r="750" spans="1:16">
      <c r="A750">
        <v>27</v>
      </c>
      <c r="B750" s="4" t="s">
        <v>1704</v>
      </c>
      <c r="E750">
        <v>2</v>
      </c>
      <c r="F750" t="s">
        <v>129</v>
      </c>
      <c r="G750" s="6">
        <v>43432</v>
      </c>
      <c r="H750">
        <v>147</v>
      </c>
      <c r="I750" t="s">
        <v>1705</v>
      </c>
      <c r="K750" s="9">
        <v>15274.84</v>
      </c>
      <c r="L750" s="1">
        <v>14918</v>
      </c>
      <c r="M750" s="9">
        <f t="shared" si="70"/>
        <v>356.84000000000015</v>
      </c>
      <c r="P750" s="24">
        <f t="shared" si="71"/>
        <v>2.3920096527684676E-2</v>
      </c>
    </row>
    <row r="751" spans="1:16">
      <c r="A751">
        <v>28</v>
      </c>
      <c r="B751" s="4" t="s">
        <v>1706</v>
      </c>
      <c r="E751">
        <v>56</v>
      </c>
      <c r="F751" t="s">
        <v>845</v>
      </c>
      <c r="G751" s="6">
        <v>43432</v>
      </c>
      <c r="H751">
        <v>140</v>
      </c>
      <c r="I751" t="s">
        <v>1707</v>
      </c>
      <c r="K751" s="9">
        <v>15723.68</v>
      </c>
      <c r="L751" s="1">
        <v>15168.16</v>
      </c>
      <c r="M751" s="9">
        <f t="shared" si="70"/>
        <v>555.52000000000044</v>
      </c>
      <c r="P751" s="24">
        <f t="shared" si="71"/>
        <v>3.6624086243816079E-2</v>
      </c>
    </row>
    <row r="752" spans="1:16">
      <c r="A752">
        <v>29</v>
      </c>
      <c r="B752" t="s">
        <v>1708</v>
      </c>
      <c r="E752">
        <v>8</v>
      </c>
      <c r="F752" t="s">
        <v>1112</v>
      </c>
      <c r="G752" s="6">
        <v>43433</v>
      </c>
      <c r="H752">
        <v>120</v>
      </c>
      <c r="I752" t="s">
        <v>1709</v>
      </c>
      <c r="K752" s="9">
        <v>2971.36</v>
      </c>
      <c r="L752" s="1">
        <v>2880</v>
      </c>
      <c r="M752" s="9">
        <f t="shared" si="70"/>
        <v>91.360000000000127</v>
      </c>
      <c r="P752" s="24">
        <f t="shared" si="71"/>
        <v>3.1722222222222207E-2</v>
      </c>
    </row>
    <row r="753" spans="1:16">
      <c r="A753">
        <v>30</v>
      </c>
      <c r="B753" t="s">
        <v>1710</v>
      </c>
      <c r="E753">
        <v>189</v>
      </c>
      <c r="F753" t="s">
        <v>682</v>
      </c>
      <c r="G753" s="6">
        <v>43433</v>
      </c>
      <c r="H753">
        <v>130</v>
      </c>
      <c r="I753" t="s">
        <v>1711</v>
      </c>
      <c r="K753" s="9">
        <v>1513.89</v>
      </c>
      <c r="L753" s="1">
        <v>1455</v>
      </c>
      <c r="M753" s="9">
        <f t="shared" si="70"/>
        <v>58.8900000000001</v>
      </c>
      <c r="P753" s="24">
        <f t="shared" si="71"/>
        <v>4.0474226804123825E-2</v>
      </c>
    </row>
    <row r="754" spans="1:16">
      <c r="A754">
        <v>31</v>
      </c>
      <c r="B754" s="4" t="s">
        <v>1712</v>
      </c>
      <c r="E754">
        <v>1</v>
      </c>
      <c r="F754" t="s">
        <v>1047</v>
      </c>
      <c r="G754" s="6">
        <v>43434</v>
      </c>
      <c r="H754">
        <v>300</v>
      </c>
      <c r="I754" t="s">
        <v>1713</v>
      </c>
      <c r="K754" s="9">
        <v>6794.6</v>
      </c>
      <c r="L754" s="1">
        <v>6618</v>
      </c>
      <c r="M754" s="9">
        <f t="shared" si="70"/>
        <v>176.60000000000036</v>
      </c>
      <c r="P754" s="24">
        <f t="shared" si="71"/>
        <v>2.6684799032940409E-2</v>
      </c>
    </row>
    <row r="755" spans="1:16">
      <c r="A755">
        <v>32</v>
      </c>
      <c r="B755" t="s">
        <v>1714</v>
      </c>
      <c r="E755">
        <v>1</v>
      </c>
      <c r="F755" t="s">
        <v>606</v>
      </c>
      <c r="G755" s="6">
        <v>43434</v>
      </c>
      <c r="H755">
        <v>120</v>
      </c>
      <c r="I755" t="s">
        <v>1715</v>
      </c>
      <c r="K755" s="9">
        <v>441.39</v>
      </c>
      <c r="L755" s="1">
        <v>429.17</v>
      </c>
      <c r="M755" s="9">
        <f t="shared" si="70"/>
        <v>12.21999999999997</v>
      </c>
      <c r="P755" s="24">
        <f t="shared" si="71"/>
        <v>2.8473565253862132E-2</v>
      </c>
    </row>
    <row r="756" spans="1:16">
      <c r="K756" s="64">
        <f>SUM(K724:K755)</f>
        <v>244820.02</v>
      </c>
      <c r="L756" s="5">
        <f>SUM(L724:L755)</f>
        <v>236093.12000000002</v>
      </c>
      <c r="M756" s="64">
        <f t="shared" si="70"/>
        <v>8726.8999999999651</v>
      </c>
      <c r="P756" s="129">
        <f t="shared" si="71"/>
        <v>3.6963804790245414E-2</v>
      </c>
    </row>
    <row r="757" spans="1:16">
      <c r="N757" s="9"/>
    </row>
    <row r="758" spans="1:16">
      <c r="A758">
        <v>1</v>
      </c>
      <c r="B758" t="s">
        <v>1716</v>
      </c>
      <c r="E758">
        <v>12</v>
      </c>
      <c r="F758" t="s">
        <v>1506</v>
      </c>
      <c r="G758" s="6">
        <v>43437</v>
      </c>
      <c r="H758">
        <v>110</v>
      </c>
      <c r="I758" t="s">
        <v>1717</v>
      </c>
      <c r="K758" s="9">
        <v>9333.48</v>
      </c>
      <c r="L758" s="1">
        <v>9108</v>
      </c>
      <c r="M758" s="9">
        <f t="shared" ref="M758:M799" si="72">K758-L758</f>
        <v>225.47999999999956</v>
      </c>
      <c r="N758">
        <f>51.78+51.78</f>
        <v>103.56</v>
      </c>
      <c r="O758" s="9">
        <f>M758-N758</f>
        <v>121.91999999999956</v>
      </c>
      <c r="P758" s="24">
        <f t="shared" ref="P758:P800" si="73">(K758/L758)-1</f>
        <v>2.4756258234519102E-2</v>
      </c>
    </row>
    <row r="759" spans="1:16">
      <c r="A759">
        <v>2</v>
      </c>
      <c r="B759" t="s">
        <v>1718</v>
      </c>
      <c r="E759">
        <v>6</v>
      </c>
      <c r="F759" t="s">
        <v>129</v>
      </c>
      <c r="G759" s="6">
        <v>43437</v>
      </c>
      <c r="H759">
        <v>140</v>
      </c>
      <c r="I759" t="s">
        <v>1719</v>
      </c>
      <c r="K759" s="9">
        <v>5519.82</v>
      </c>
      <c r="L759" s="1">
        <v>5370</v>
      </c>
      <c r="M759" s="9">
        <f t="shared" si="72"/>
        <v>149.81999999999971</v>
      </c>
      <c r="P759" s="24">
        <f t="shared" si="73"/>
        <v>2.7899441340782039E-2</v>
      </c>
    </row>
    <row r="760" spans="1:16">
      <c r="A760">
        <v>3</v>
      </c>
      <c r="B760" s="4" t="s">
        <v>1720</v>
      </c>
      <c r="E760">
        <v>2</v>
      </c>
      <c r="F760" s="90" t="s">
        <v>1721</v>
      </c>
      <c r="G760" s="6">
        <v>43437</v>
      </c>
      <c r="H760">
        <v>130</v>
      </c>
      <c r="I760" t="s">
        <v>1722</v>
      </c>
      <c r="K760" s="9">
        <v>469.38</v>
      </c>
      <c r="L760" s="1">
        <v>464.45</v>
      </c>
      <c r="M760" s="9">
        <f t="shared" si="72"/>
        <v>4.9300000000000068</v>
      </c>
      <c r="P760" s="24">
        <f t="shared" si="73"/>
        <v>1.061470556572286E-2</v>
      </c>
    </row>
    <row r="761" spans="1:16">
      <c r="A761">
        <v>4</v>
      </c>
      <c r="B761" s="4" t="s">
        <v>1723</v>
      </c>
      <c r="E761">
        <v>1</v>
      </c>
      <c r="F761" s="75" t="s">
        <v>1638</v>
      </c>
      <c r="G761" s="6">
        <v>43437</v>
      </c>
      <c r="H761">
        <v>130</v>
      </c>
      <c r="K761" s="9">
        <v>0</v>
      </c>
      <c r="L761" s="1">
        <v>0</v>
      </c>
      <c r="M761" s="9">
        <f t="shared" si="72"/>
        <v>0</v>
      </c>
      <c r="P761" s="24" t="e">
        <f t="shared" si="73"/>
        <v>#DIV/0!</v>
      </c>
    </row>
    <row r="762" spans="1:16">
      <c r="A762">
        <v>5</v>
      </c>
      <c r="B762" t="s">
        <v>1724</v>
      </c>
      <c r="E762">
        <v>38</v>
      </c>
      <c r="F762" s="90" t="s">
        <v>1725</v>
      </c>
      <c r="G762" s="6">
        <v>43437</v>
      </c>
      <c r="H762">
        <v>140</v>
      </c>
      <c r="I762" t="s">
        <v>1726</v>
      </c>
      <c r="K762" s="9">
        <v>11162.12</v>
      </c>
      <c r="L762" s="148">
        <f>240.72*50</f>
        <v>12036</v>
      </c>
      <c r="M762" s="9">
        <f t="shared" si="72"/>
        <v>-873.8799999999992</v>
      </c>
      <c r="P762" s="24">
        <f t="shared" si="73"/>
        <v>-7.2605516782984325E-2</v>
      </c>
    </row>
    <row r="763" spans="1:16">
      <c r="A763">
        <v>6</v>
      </c>
      <c r="B763" t="s">
        <v>1727</v>
      </c>
      <c r="E763">
        <v>13</v>
      </c>
      <c r="F763" t="s">
        <v>880</v>
      </c>
      <c r="G763" s="6">
        <v>43438</v>
      </c>
      <c r="H763">
        <v>120</v>
      </c>
      <c r="I763" t="s">
        <v>1728</v>
      </c>
      <c r="K763" s="9">
        <v>1904.11</v>
      </c>
      <c r="L763" s="1">
        <v>1857.31</v>
      </c>
      <c r="M763" s="9">
        <f t="shared" si="72"/>
        <v>46.799999999999955</v>
      </c>
      <c r="P763" s="24">
        <f t="shared" si="73"/>
        <v>2.5197732204101708E-2</v>
      </c>
    </row>
    <row r="764" spans="1:16">
      <c r="A764">
        <v>7</v>
      </c>
      <c r="B764" t="s">
        <v>1729</v>
      </c>
      <c r="E764">
        <v>83</v>
      </c>
      <c r="F764" t="s">
        <v>1730</v>
      </c>
      <c r="G764" s="6">
        <v>43438</v>
      </c>
      <c r="I764" t="s">
        <v>1731</v>
      </c>
      <c r="K764" s="9">
        <v>167.66</v>
      </c>
      <c r="L764" s="1">
        <v>113</v>
      </c>
      <c r="M764" s="9">
        <f t="shared" si="72"/>
        <v>54.66</v>
      </c>
      <c r="P764" s="24">
        <f t="shared" si="73"/>
        <v>0.48371681415929202</v>
      </c>
    </row>
    <row r="765" spans="1:16">
      <c r="A765">
        <v>8</v>
      </c>
      <c r="B765" t="s">
        <v>1732</v>
      </c>
      <c r="E765">
        <v>173</v>
      </c>
      <c r="F765" t="s">
        <v>1733</v>
      </c>
      <c r="G765" s="6">
        <v>43438</v>
      </c>
      <c r="I765" t="s">
        <v>1734</v>
      </c>
      <c r="K765" s="9">
        <v>212.79</v>
      </c>
      <c r="L765" s="1">
        <v>184.2</v>
      </c>
      <c r="M765" s="9">
        <f t="shared" si="72"/>
        <v>28.590000000000003</v>
      </c>
      <c r="P765" s="24">
        <f t="shared" si="73"/>
        <v>0.15521172638436487</v>
      </c>
    </row>
    <row r="766" spans="1:16">
      <c r="A766">
        <v>9</v>
      </c>
      <c r="B766" t="s">
        <v>1735</v>
      </c>
      <c r="E766">
        <v>1</v>
      </c>
      <c r="F766" s="75" t="s">
        <v>1736</v>
      </c>
      <c r="G766" s="6">
        <v>43440</v>
      </c>
      <c r="H766">
        <v>140</v>
      </c>
      <c r="K766" s="9">
        <v>811.43</v>
      </c>
      <c r="L766" s="1">
        <v>811.43</v>
      </c>
      <c r="M766" s="9">
        <f t="shared" si="72"/>
        <v>0</v>
      </c>
      <c r="P766" s="24">
        <f t="shared" si="73"/>
        <v>0</v>
      </c>
    </row>
    <row r="767" spans="1:16">
      <c r="A767">
        <v>10</v>
      </c>
      <c r="B767" s="4" t="s">
        <v>1737</v>
      </c>
      <c r="E767">
        <v>23</v>
      </c>
      <c r="F767" t="s">
        <v>1243</v>
      </c>
      <c r="G767" s="6">
        <v>43441</v>
      </c>
      <c r="H767">
        <v>140</v>
      </c>
      <c r="I767" t="s">
        <v>1738</v>
      </c>
      <c r="K767" s="9">
        <v>13558.27</v>
      </c>
      <c r="L767" s="1">
        <v>13179</v>
      </c>
      <c r="M767" s="9">
        <f t="shared" si="72"/>
        <v>379.27000000000044</v>
      </c>
      <c r="P767" s="24">
        <f t="shared" si="73"/>
        <v>2.8778359511343776E-2</v>
      </c>
    </row>
    <row r="768" spans="1:16">
      <c r="A768">
        <v>11</v>
      </c>
      <c r="B768" s="4" t="s">
        <v>1739</v>
      </c>
      <c r="E768">
        <v>40</v>
      </c>
      <c r="F768" t="s">
        <v>1600</v>
      </c>
      <c r="G768" s="6">
        <v>43444</v>
      </c>
      <c r="H768">
        <v>165</v>
      </c>
      <c r="I768" t="s">
        <v>1740</v>
      </c>
      <c r="K768" s="9">
        <v>5724.4</v>
      </c>
      <c r="L768" s="1">
        <v>5557.2</v>
      </c>
      <c r="M768" s="9">
        <f t="shared" si="72"/>
        <v>167.19999999999982</v>
      </c>
      <c r="P768" s="24">
        <f t="shared" si="73"/>
        <v>3.0087094220110799E-2</v>
      </c>
    </row>
    <row r="769" spans="1:16">
      <c r="A769">
        <v>12</v>
      </c>
      <c r="B769" t="s">
        <v>1741</v>
      </c>
      <c r="E769">
        <v>30</v>
      </c>
      <c r="F769" t="s">
        <v>356</v>
      </c>
      <c r="G769" s="6">
        <v>43444</v>
      </c>
      <c r="I769" t="s">
        <v>1742</v>
      </c>
      <c r="K769" s="9">
        <v>3062.7</v>
      </c>
      <c r="L769" s="1">
        <v>3030</v>
      </c>
      <c r="M769" s="9">
        <f t="shared" si="72"/>
        <v>32.699999999999818</v>
      </c>
      <c r="P769" s="24">
        <f t="shared" si="73"/>
        <v>1.0792079207920802E-2</v>
      </c>
    </row>
    <row r="770" spans="1:16">
      <c r="A770">
        <v>13</v>
      </c>
      <c r="B770" s="4" t="s">
        <v>1743</v>
      </c>
      <c r="E770">
        <v>5</v>
      </c>
      <c r="F770" t="s">
        <v>1112</v>
      </c>
      <c r="G770" s="6">
        <v>43444</v>
      </c>
      <c r="H770">
        <v>150</v>
      </c>
      <c r="I770" t="s">
        <v>1744</v>
      </c>
      <c r="K770" s="9">
        <v>11545.65</v>
      </c>
      <c r="L770" s="1">
        <v>11340</v>
      </c>
      <c r="M770" s="9">
        <f t="shared" si="72"/>
        <v>205.64999999999964</v>
      </c>
      <c r="N770">
        <v>43.93</v>
      </c>
      <c r="P770" s="24">
        <f t="shared" si="73"/>
        <v>1.8134920634920615E-2</v>
      </c>
    </row>
    <row r="771" spans="1:16">
      <c r="A771">
        <v>14</v>
      </c>
      <c r="B771" s="4" t="s">
        <v>1745</v>
      </c>
      <c r="E771">
        <v>11</v>
      </c>
      <c r="F771" t="s">
        <v>1679</v>
      </c>
      <c r="G771" s="6">
        <v>43445</v>
      </c>
      <c r="I771" t="s">
        <v>1746</v>
      </c>
      <c r="K771" s="9">
        <v>3127.96</v>
      </c>
      <c r="L771" s="1">
        <v>2981</v>
      </c>
      <c r="M771" s="9">
        <f t="shared" si="72"/>
        <v>146.96000000000004</v>
      </c>
      <c r="N771">
        <v>100</v>
      </c>
      <c r="P771" s="24">
        <f t="shared" si="73"/>
        <v>4.9298892988929977E-2</v>
      </c>
    </row>
    <row r="772" spans="1:16">
      <c r="A772">
        <v>15</v>
      </c>
      <c r="B772" s="4" t="s">
        <v>1747</v>
      </c>
      <c r="E772">
        <v>1</v>
      </c>
      <c r="F772" t="s">
        <v>315</v>
      </c>
      <c r="G772" s="6">
        <v>43445</v>
      </c>
      <c r="I772" t="s">
        <v>1748</v>
      </c>
      <c r="K772" s="9">
        <v>826</v>
      </c>
      <c r="L772" s="1">
        <v>798</v>
      </c>
      <c r="M772" s="9">
        <f t="shared" si="72"/>
        <v>28</v>
      </c>
      <c r="P772" s="24">
        <f t="shared" si="73"/>
        <v>3.5087719298245723E-2</v>
      </c>
    </row>
    <row r="773" spans="1:16">
      <c r="A773">
        <v>16</v>
      </c>
      <c r="B773" t="s">
        <v>1749</v>
      </c>
      <c r="E773">
        <v>6</v>
      </c>
      <c r="F773" t="s">
        <v>129</v>
      </c>
      <c r="G773" s="6">
        <v>43446</v>
      </c>
      <c r="I773" t="s">
        <v>1750</v>
      </c>
      <c r="K773" s="9">
        <v>4598.88</v>
      </c>
      <c r="L773" s="1">
        <f>4470+11.89</f>
        <v>4481.8900000000003</v>
      </c>
      <c r="M773" s="9">
        <f t="shared" si="72"/>
        <v>116.98999999999978</v>
      </c>
      <c r="P773" s="24">
        <f t="shared" si="73"/>
        <v>2.6102827155507935E-2</v>
      </c>
    </row>
    <row r="774" spans="1:16">
      <c r="A774">
        <v>17</v>
      </c>
      <c r="B774" s="4" t="s">
        <v>1751</v>
      </c>
      <c r="E774">
        <v>1</v>
      </c>
      <c r="F774" t="s">
        <v>129</v>
      </c>
      <c r="G774" s="6">
        <v>43447</v>
      </c>
      <c r="I774" t="s">
        <v>1752</v>
      </c>
      <c r="K774" s="9">
        <v>2546</v>
      </c>
      <c r="L774" s="1">
        <f>2453+11.54</f>
        <v>2464.54</v>
      </c>
      <c r="M774" s="9">
        <f t="shared" si="72"/>
        <v>81.460000000000036</v>
      </c>
      <c r="P774" s="24">
        <f t="shared" si="73"/>
        <v>3.3052821216129624E-2</v>
      </c>
    </row>
    <row r="775" spans="1:16">
      <c r="A775">
        <v>18</v>
      </c>
      <c r="B775" s="4" t="s">
        <v>1753</v>
      </c>
      <c r="D775" s="221"/>
      <c r="E775">
        <v>2</v>
      </c>
      <c r="F775" s="75" t="s">
        <v>1754</v>
      </c>
      <c r="G775" s="6">
        <v>43448</v>
      </c>
      <c r="H775">
        <v>140</v>
      </c>
      <c r="I775" s="75" t="s">
        <v>1755</v>
      </c>
      <c r="K775" s="9">
        <v>4058</v>
      </c>
      <c r="L775" s="1">
        <v>3934</v>
      </c>
      <c r="M775" s="9">
        <f t="shared" si="72"/>
        <v>124</v>
      </c>
      <c r="P775" s="24">
        <f t="shared" si="73"/>
        <v>3.1520081342145456E-2</v>
      </c>
    </row>
    <row r="776" spans="1:16">
      <c r="A776">
        <v>19</v>
      </c>
      <c r="B776" s="4" t="s">
        <v>1756</v>
      </c>
      <c r="E776">
        <v>4</v>
      </c>
      <c r="F776" t="s">
        <v>129</v>
      </c>
      <c r="G776" s="6">
        <v>43448</v>
      </c>
      <c r="I776" t="s">
        <v>1757</v>
      </c>
      <c r="K776" s="9">
        <v>2989.56</v>
      </c>
      <c r="L776" s="1">
        <f>2880+14.14</f>
        <v>2894.14</v>
      </c>
      <c r="M776" s="9">
        <f t="shared" si="72"/>
        <v>95.420000000000073</v>
      </c>
      <c r="N776">
        <v>16.399999999999999</v>
      </c>
      <c r="P776" s="24">
        <f t="shared" si="73"/>
        <v>3.2970070556365583E-2</v>
      </c>
    </row>
    <row r="777" spans="1:16">
      <c r="A777">
        <v>20</v>
      </c>
      <c r="B777" s="4" t="s">
        <v>1758</v>
      </c>
      <c r="E777">
        <v>1</v>
      </c>
      <c r="F777" t="s">
        <v>1047</v>
      </c>
      <c r="G777" s="6">
        <v>43448</v>
      </c>
      <c r="I777" t="s">
        <v>1759</v>
      </c>
      <c r="K777" s="9">
        <v>6794.44</v>
      </c>
      <c r="L777" s="1">
        <v>6618</v>
      </c>
      <c r="M777" s="9">
        <f t="shared" si="72"/>
        <v>176.4399999999996</v>
      </c>
      <c r="P777" s="24">
        <f t="shared" si="73"/>
        <v>2.6660622544575352E-2</v>
      </c>
    </row>
    <row r="778" spans="1:16">
      <c r="A778">
        <v>21</v>
      </c>
      <c r="B778" s="4" t="s">
        <v>1760</v>
      </c>
      <c r="E778">
        <v>4</v>
      </c>
      <c r="F778" t="s">
        <v>1243</v>
      </c>
      <c r="G778" s="6">
        <v>43448</v>
      </c>
      <c r="H778">
        <v>140</v>
      </c>
      <c r="I778" t="s">
        <v>1761</v>
      </c>
      <c r="K778" s="9">
        <v>2826.92</v>
      </c>
      <c r="L778" s="1">
        <v>2756</v>
      </c>
      <c r="M778" s="9">
        <f t="shared" si="72"/>
        <v>70.920000000000073</v>
      </c>
      <c r="P778" s="24">
        <f t="shared" si="73"/>
        <v>2.573294629898415E-2</v>
      </c>
    </row>
    <row r="779" spans="1:16">
      <c r="A779">
        <v>22</v>
      </c>
      <c r="B779" s="4" t="s">
        <v>1762</v>
      </c>
      <c r="E779">
        <v>52</v>
      </c>
      <c r="F779" t="s">
        <v>315</v>
      </c>
      <c r="G779" s="6">
        <v>43451</v>
      </c>
      <c r="H779">
        <v>200</v>
      </c>
      <c r="I779" t="s">
        <v>1763</v>
      </c>
      <c r="K779" s="9">
        <v>26057.72</v>
      </c>
      <c r="L779" s="1">
        <v>26000</v>
      </c>
      <c r="M779" s="9">
        <f t="shared" si="72"/>
        <v>57.720000000001164</v>
      </c>
      <c r="P779" s="24">
        <f t="shared" si="73"/>
        <v>2.2200000000001108E-3</v>
      </c>
    </row>
    <row r="780" spans="1:16">
      <c r="A780">
        <v>23</v>
      </c>
      <c r="B780" t="s">
        <v>1764</v>
      </c>
      <c r="E780">
        <v>60</v>
      </c>
      <c r="F780" s="75" t="s">
        <v>1765</v>
      </c>
      <c r="G780" s="6">
        <v>43451</v>
      </c>
      <c r="H780">
        <v>90</v>
      </c>
      <c r="K780" s="9">
        <v>0</v>
      </c>
      <c r="L780" s="1">
        <v>0</v>
      </c>
      <c r="M780" s="9">
        <f t="shared" si="72"/>
        <v>0</v>
      </c>
      <c r="P780" s="24" t="e">
        <f t="shared" si="73"/>
        <v>#DIV/0!</v>
      </c>
    </row>
    <row r="781" spans="1:16">
      <c r="A781">
        <v>24</v>
      </c>
      <c r="B781" t="s">
        <v>1766</v>
      </c>
      <c r="E781">
        <v>1</v>
      </c>
      <c r="F781" t="s">
        <v>135</v>
      </c>
      <c r="G781" s="6">
        <v>43453</v>
      </c>
      <c r="H781">
        <v>120</v>
      </c>
      <c r="I781" s="75" t="s">
        <v>1593</v>
      </c>
      <c r="K781" s="9">
        <v>376</v>
      </c>
      <c r="L781" s="1">
        <v>149.22999999999999</v>
      </c>
      <c r="M781" s="9">
        <f t="shared" si="72"/>
        <v>226.77</v>
      </c>
      <c r="P781" s="24">
        <f t="shared" si="73"/>
        <v>1.5196006164980234</v>
      </c>
    </row>
    <row r="782" spans="1:16">
      <c r="A782">
        <v>25</v>
      </c>
      <c r="B782" t="s">
        <v>1767</v>
      </c>
      <c r="E782">
        <v>13</v>
      </c>
      <c r="F782" s="90" t="s">
        <v>1484</v>
      </c>
      <c r="G782" s="6">
        <v>43453</v>
      </c>
      <c r="H782">
        <v>160</v>
      </c>
      <c r="I782" t="s">
        <v>1768</v>
      </c>
      <c r="K782" s="9">
        <v>2598.96</v>
      </c>
      <c r="L782" s="148">
        <v>2749.2</v>
      </c>
      <c r="M782" s="9">
        <f t="shared" si="72"/>
        <v>-150.23999999999978</v>
      </c>
      <c r="P782" s="24">
        <f t="shared" si="73"/>
        <v>-5.4648625054561251E-2</v>
      </c>
    </row>
    <row r="783" spans="1:16">
      <c r="A783">
        <v>26</v>
      </c>
      <c r="B783" s="4" t="s">
        <v>1769</v>
      </c>
      <c r="E783">
        <v>6</v>
      </c>
      <c r="F783" t="s">
        <v>129</v>
      </c>
      <c r="G783" s="6">
        <v>43453</v>
      </c>
      <c r="H783">
        <v>160</v>
      </c>
      <c r="I783" t="s">
        <v>1770</v>
      </c>
      <c r="K783" s="9">
        <v>17991.72</v>
      </c>
      <c r="L783" s="1">
        <v>17424</v>
      </c>
      <c r="M783" s="9">
        <f t="shared" si="72"/>
        <v>567.72000000000116</v>
      </c>
      <c r="P783" s="24">
        <f t="shared" si="73"/>
        <v>3.2582644628099233E-2</v>
      </c>
    </row>
    <row r="784" spans="1:16">
      <c r="A784">
        <v>27</v>
      </c>
      <c r="B784" s="4" t="s">
        <v>1771</v>
      </c>
      <c r="E784">
        <v>6</v>
      </c>
      <c r="F784" t="s">
        <v>1772</v>
      </c>
      <c r="G784" s="6">
        <v>43453</v>
      </c>
      <c r="H784">
        <v>160</v>
      </c>
      <c r="I784" t="s">
        <v>1773</v>
      </c>
      <c r="K784" s="9">
        <v>8629.56</v>
      </c>
      <c r="L784" s="1">
        <v>8496</v>
      </c>
      <c r="M784" s="9">
        <f t="shared" si="72"/>
        <v>133.55999999999949</v>
      </c>
      <c r="P784" s="24">
        <f t="shared" si="73"/>
        <v>1.5720338983050697E-2</v>
      </c>
    </row>
    <row r="785" spans="1:17">
      <c r="A785">
        <v>28</v>
      </c>
      <c r="B785" s="4" t="s">
        <v>1774</v>
      </c>
      <c r="D785" s="219">
        <v>5935016157811</v>
      </c>
      <c r="E785">
        <v>110</v>
      </c>
      <c r="F785" s="90" t="s">
        <v>1775</v>
      </c>
      <c r="G785" s="6">
        <v>43453</v>
      </c>
      <c r="H785">
        <v>160</v>
      </c>
      <c r="I785" t="s">
        <v>1776</v>
      </c>
      <c r="K785" s="9">
        <v>5464.8</v>
      </c>
      <c r="L785" s="148">
        <v>5400</v>
      </c>
      <c r="M785" s="9">
        <f t="shared" si="72"/>
        <v>64.800000000000182</v>
      </c>
      <c r="P785" s="24">
        <f t="shared" si="73"/>
        <v>1.2000000000000011E-2</v>
      </c>
    </row>
    <row r="786" spans="1:17">
      <c r="A786">
        <v>29</v>
      </c>
      <c r="B786" s="4" t="s">
        <v>1777</v>
      </c>
      <c r="E786">
        <v>28</v>
      </c>
      <c r="F786" t="s">
        <v>135</v>
      </c>
      <c r="G786" s="6">
        <v>43453</v>
      </c>
      <c r="H786">
        <v>160</v>
      </c>
      <c r="I786" t="s">
        <v>1778</v>
      </c>
      <c r="K786" s="9">
        <v>1449.56</v>
      </c>
      <c r="L786" s="148">
        <v>1455.3</v>
      </c>
      <c r="M786" s="9">
        <f t="shared" si="72"/>
        <v>-5.7400000000000091</v>
      </c>
      <c r="P786" s="24">
        <f t="shared" si="73"/>
        <v>-3.9442039442039167E-3</v>
      </c>
    </row>
    <row r="787" spans="1:17">
      <c r="A787">
        <v>30</v>
      </c>
      <c r="B787" s="4" t="s">
        <v>1779</v>
      </c>
      <c r="E787">
        <v>11</v>
      </c>
      <c r="F787" s="75" t="s">
        <v>1403</v>
      </c>
      <c r="G787" s="6">
        <v>43453</v>
      </c>
      <c r="H787">
        <v>160</v>
      </c>
      <c r="I787" t="s">
        <v>1780</v>
      </c>
      <c r="K787" s="9">
        <v>0</v>
      </c>
      <c r="L787" s="148">
        <v>0</v>
      </c>
      <c r="M787" s="9">
        <f t="shared" si="72"/>
        <v>0</v>
      </c>
      <c r="P787" s="24" t="e">
        <f t="shared" si="73"/>
        <v>#DIV/0!</v>
      </c>
    </row>
    <row r="788" spans="1:17">
      <c r="A788">
        <v>31</v>
      </c>
      <c r="B788" t="s">
        <v>1781</v>
      </c>
      <c r="E788">
        <v>11</v>
      </c>
      <c r="F788" t="s">
        <v>1782</v>
      </c>
      <c r="G788" s="6">
        <v>43454</v>
      </c>
      <c r="H788">
        <v>160</v>
      </c>
      <c r="I788" t="s">
        <v>1783</v>
      </c>
      <c r="K788" s="9">
        <v>6853</v>
      </c>
      <c r="L788" s="1">
        <v>6804.51</v>
      </c>
      <c r="M788" s="9">
        <f t="shared" si="72"/>
        <v>48.489999999999782</v>
      </c>
      <c r="P788" s="24">
        <f t="shared" si="73"/>
        <v>7.1261560347475328E-3</v>
      </c>
    </row>
    <row r="789" spans="1:17">
      <c r="A789">
        <v>32</v>
      </c>
      <c r="B789" t="s">
        <v>1784</v>
      </c>
      <c r="E789">
        <v>10</v>
      </c>
      <c r="F789" s="75" t="s">
        <v>1785</v>
      </c>
      <c r="G789" s="6">
        <v>43454</v>
      </c>
      <c r="H789">
        <v>160</v>
      </c>
      <c r="K789" s="9">
        <v>0</v>
      </c>
      <c r="L789" s="1">
        <v>0</v>
      </c>
      <c r="M789" s="9">
        <f t="shared" si="72"/>
        <v>0</v>
      </c>
      <c r="P789" s="24" t="e">
        <f t="shared" si="73"/>
        <v>#DIV/0!</v>
      </c>
    </row>
    <row r="790" spans="1:17">
      <c r="A790">
        <v>33</v>
      </c>
      <c r="B790" t="s">
        <v>1786</v>
      </c>
      <c r="E790">
        <v>1</v>
      </c>
      <c r="F790" s="75" t="s">
        <v>1736</v>
      </c>
      <c r="G790" s="6">
        <v>43455</v>
      </c>
      <c r="K790" s="9">
        <v>0</v>
      </c>
      <c r="L790" s="1">
        <v>0</v>
      </c>
      <c r="M790" s="9">
        <f t="shared" si="72"/>
        <v>0</v>
      </c>
      <c r="P790" s="24" t="e">
        <f t="shared" si="73"/>
        <v>#DIV/0!</v>
      </c>
    </row>
    <row r="791" spans="1:17">
      <c r="A791">
        <v>34</v>
      </c>
      <c r="B791" s="4" t="s">
        <v>1787</v>
      </c>
      <c r="E791">
        <v>66</v>
      </c>
      <c r="F791" t="s">
        <v>898</v>
      </c>
      <c r="G791" s="6">
        <v>43455</v>
      </c>
      <c r="H791">
        <v>160</v>
      </c>
      <c r="I791" t="s">
        <v>1568</v>
      </c>
      <c r="K791" s="9">
        <v>36675.54</v>
      </c>
      <c r="L791" s="1">
        <f>528.28*66</f>
        <v>34866.479999999996</v>
      </c>
      <c r="M791" s="9">
        <f t="shared" si="72"/>
        <v>1809.0600000000049</v>
      </c>
      <c r="P791" s="24">
        <f t="shared" si="73"/>
        <v>5.1885363822215647E-2</v>
      </c>
    </row>
    <row r="792" spans="1:17">
      <c r="A792">
        <v>35</v>
      </c>
      <c r="B792" t="s">
        <v>1788</v>
      </c>
      <c r="E792">
        <v>1</v>
      </c>
      <c r="F792" t="s">
        <v>606</v>
      </c>
      <c r="G792" s="6">
        <v>43460</v>
      </c>
      <c r="H792">
        <v>140</v>
      </c>
      <c r="I792" t="s">
        <v>1789</v>
      </c>
      <c r="K792" s="9">
        <v>2457</v>
      </c>
      <c r="L792" s="1">
        <v>2412.4699999999998</v>
      </c>
      <c r="M792" s="9">
        <f t="shared" si="72"/>
        <v>44.5300000000002</v>
      </c>
      <c r="P792" s="24">
        <f t="shared" si="73"/>
        <v>1.8458260620857647E-2</v>
      </c>
    </row>
    <row r="793" spans="1:17">
      <c r="A793">
        <v>36</v>
      </c>
      <c r="B793" s="4" t="s">
        <v>1790</v>
      </c>
      <c r="E793">
        <v>1</v>
      </c>
      <c r="F793" s="75" t="s">
        <v>1791</v>
      </c>
      <c r="G793" s="6">
        <v>43461</v>
      </c>
      <c r="H793">
        <v>160</v>
      </c>
      <c r="I793" t="s">
        <v>1792</v>
      </c>
      <c r="K793" s="9">
        <v>0</v>
      </c>
      <c r="L793" s="1">
        <v>0</v>
      </c>
      <c r="M793" s="9">
        <f t="shared" si="72"/>
        <v>0</v>
      </c>
      <c r="P793" s="24" t="e">
        <f t="shared" si="73"/>
        <v>#DIV/0!</v>
      </c>
    </row>
    <row r="794" spans="1:17">
      <c r="A794">
        <v>37</v>
      </c>
      <c r="B794" s="4" t="s">
        <v>1793</v>
      </c>
      <c r="E794">
        <v>9</v>
      </c>
      <c r="F794" t="s">
        <v>129</v>
      </c>
      <c r="G794" s="6">
        <v>43462</v>
      </c>
      <c r="H794">
        <v>200</v>
      </c>
      <c r="I794" t="s">
        <v>1794</v>
      </c>
      <c r="K794" s="9">
        <v>23620.68</v>
      </c>
      <c r="L794" s="1">
        <v>22896</v>
      </c>
      <c r="M794" s="9">
        <f t="shared" si="72"/>
        <v>724.68000000000029</v>
      </c>
      <c r="P794" s="24">
        <f t="shared" si="73"/>
        <v>3.1650943396226427E-2</v>
      </c>
    </row>
    <row r="795" spans="1:17">
      <c r="A795">
        <v>38</v>
      </c>
      <c r="B795" t="s">
        <v>1795</v>
      </c>
      <c r="E795">
        <v>3</v>
      </c>
      <c r="F795" t="s">
        <v>814</v>
      </c>
      <c r="G795" s="6">
        <v>43465</v>
      </c>
      <c r="H795">
        <v>140</v>
      </c>
      <c r="I795" s="73" t="s">
        <v>1796</v>
      </c>
      <c r="K795" s="9">
        <v>294</v>
      </c>
      <c r="L795" s="11">
        <v>156</v>
      </c>
      <c r="M795" s="9">
        <f t="shared" si="72"/>
        <v>138</v>
      </c>
      <c r="P795" s="24">
        <f t="shared" si="73"/>
        <v>0.88461538461538458</v>
      </c>
    </row>
    <row r="796" spans="1:17">
      <c r="A796">
        <v>39</v>
      </c>
      <c r="B796" s="4" t="s">
        <v>1797</v>
      </c>
      <c r="E796">
        <v>20</v>
      </c>
      <c r="F796" t="s">
        <v>135</v>
      </c>
      <c r="G796" s="6">
        <v>43465</v>
      </c>
      <c r="H796">
        <v>140</v>
      </c>
      <c r="I796" t="s">
        <v>1667</v>
      </c>
      <c r="K796" s="9">
        <v>10760</v>
      </c>
      <c r="L796" s="1">
        <v>9863</v>
      </c>
      <c r="M796" s="9">
        <f t="shared" si="72"/>
        <v>897</v>
      </c>
      <c r="P796" s="24">
        <f t="shared" si="73"/>
        <v>9.094595964716623E-2</v>
      </c>
    </row>
    <row r="797" spans="1:17">
      <c r="A797">
        <v>40</v>
      </c>
      <c r="B797" t="s">
        <v>1798</v>
      </c>
      <c r="E797">
        <v>14</v>
      </c>
      <c r="F797" t="s">
        <v>606</v>
      </c>
      <c r="G797" s="6">
        <v>43465</v>
      </c>
      <c r="H797">
        <v>140</v>
      </c>
      <c r="I797" s="73" t="s">
        <v>1799</v>
      </c>
      <c r="K797" s="9">
        <v>1809.22</v>
      </c>
      <c r="L797" s="11">
        <v>1753.78</v>
      </c>
      <c r="M797" s="9">
        <f t="shared" si="72"/>
        <v>55.440000000000055</v>
      </c>
      <c r="P797" s="24">
        <f t="shared" si="73"/>
        <v>3.1611718687634793E-2</v>
      </c>
    </row>
    <row r="798" spans="1:17">
      <c r="A798">
        <v>41</v>
      </c>
      <c r="B798" t="s">
        <v>1800</v>
      </c>
      <c r="E798">
        <v>10</v>
      </c>
      <c r="F798" t="s">
        <v>880</v>
      </c>
      <c r="G798" s="6">
        <v>43465</v>
      </c>
      <c r="H798">
        <v>140</v>
      </c>
      <c r="I798" s="73" t="s">
        <v>1801</v>
      </c>
      <c r="K798" s="9">
        <v>1579.4</v>
      </c>
      <c r="L798" s="1">
        <f>153.4*10</f>
        <v>1534</v>
      </c>
      <c r="M798" s="9">
        <f t="shared" si="72"/>
        <v>45.400000000000091</v>
      </c>
      <c r="P798" s="24">
        <f t="shared" si="73"/>
        <v>2.9595827900912752E-2</v>
      </c>
    </row>
    <row r="799" spans="1:17">
      <c r="K799" s="64">
        <f>SUM(K758:K798)</f>
        <v>237856.73</v>
      </c>
      <c r="L799" s="26">
        <f>SUM(L758:L798)</f>
        <v>231938.12999999995</v>
      </c>
      <c r="M799" s="64">
        <f t="shared" si="72"/>
        <v>5918.600000000064</v>
      </c>
      <c r="P799" s="129">
        <f t="shared" si="73"/>
        <v>2.5518012066407803E-2</v>
      </c>
    </row>
    <row r="800" spans="1:17">
      <c r="B800" s="7" t="s">
        <v>105</v>
      </c>
      <c r="C800" s="7"/>
      <c r="D800" s="220" t="s">
        <v>1802</v>
      </c>
      <c r="E800" s="7" t="s">
        <v>1803</v>
      </c>
      <c r="F800" s="7" t="s">
        <v>107</v>
      </c>
      <c r="G800" s="7" t="s">
        <v>1804</v>
      </c>
      <c r="K800" s="11">
        <f>K286+K321+K380+K435+K479+K536+K582+K629+K680+K722+K756+K799</f>
        <v>3470417.56</v>
      </c>
      <c r="L800" s="11">
        <f>L286+L321+L380+L435+L479+L536+L582+L629+L680+L722+L756+L799</f>
        <v>3329372.1600000001</v>
      </c>
      <c r="M800" s="11">
        <f>M286+M321+M380+M435+M479+M536+M582+M629+M680+M722+M756+M799</f>
        <v>141045.40000000034</v>
      </c>
      <c r="P800" s="24">
        <f t="shared" si="73"/>
        <v>4.2363963300516172E-2</v>
      </c>
      <c r="Q800" s="213">
        <f>K800*0.004</f>
        <v>13881.670240000001</v>
      </c>
    </row>
    <row r="801" spans="1:16" ht="18.75" customHeight="1">
      <c r="B801" s="210">
        <v>43466</v>
      </c>
      <c r="N801" s="9">
        <f>M694+M700+M706+M710+M726+M728+M748+M750+M759+M773+M776+M783+M794</f>
        <v>4218.03</v>
      </c>
    </row>
    <row r="802" spans="1:16">
      <c r="A802">
        <v>1</v>
      </c>
      <c r="B802" s="4" t="s">
        <v>1805</v>
      </c>
      <c r="E802">
        <v>9</v>
      </c>
      <c r="F802" t="s">
        <v>266</v>
      </c>
      <c r="G802" s="6">
        <v>43467</v>
      </c>
      <c r="H802">
        <v>190</v>
      </c>
      <c r="I802" t="s">
        <v>1806</v>
      </c>
      <c r="K802" s="9">
        <v>19114.830000000002</v>
      </c>
      <c r="L802" s="1">
        <v>19071</v>
      </c>
      <c r="M802" s="9">
        <f t="shared" ref="M802:M833" si="74">K802-L802</f>
        <v>43.830000000001746</v>
      </c>
      <c r="N802">
        <v>200</v>
      </c>
      <c r="P802" s="24">
        <f t="shared" ref="P802:P833" si="75">(K802/L802)-1</f>
        <v>2.2982538933460361E-3</v>
      </c>
    </row>
    <row r="803" spans="1:16">
      <c r="A803">
        <v>2</v>
      </c>
      <c r="B803" t="s">
        <v>1807</v>
      </c>
      <c r="E803">
        <v>6</v>
      </c>
      <c r="F803" t="s">
        <v>1808</v>
      </c>
      <c r="G803" s="6">
        <v>43468</v>
      </c>
      <c r="H803">
        <v>140</v>
      </c>
      <c r="I803" t="s">
        <v>1809</v>
      </c>
      <c r="K803" s="9">
        <v>5920.32</v>
      </c>
      <c r="L803" s="1">
        <v>5790</v>
      </c>
      <c r="M803" s="9">
        <f t="shared" si="74"/>
        <v>130.31999999999971</v>
      </c>
      <c r="N803">
        <v>60</v>
      </c>
      <c r="P803" s="24">
        <f t="shared" si="75"/>
        <v>2.2507772020725403E-2</v>
      </c>
    </row>
    <row r="804" spans="1:16">
      <c r="A804">
        <v>3</v>
      </c>
      <c r="B804" t="s">
        <v>1810</v>
      </c>
      <c r="E804">
        <v>1</v>
      </c>
      <c r="F804" t="s">
        <v>606</v>
      </c>
      <c r="G804" s="6">
        <v>43468</v>
      </c>
      <c r="I804" t="s">
        <v>1811</v>
      </c>
      <c r="K804" s="9">
        <v>3251</v>
      </c>
      <c r="L804" s="1">
        <f>3135.98+21.6</f>
        <v>3157.58</v>
      </c>
      <c r="M804" s="9">
        <f t="shared" si="74"/>
        <v>93.420000000000073</v>
      </c>
      <c r="N804">
        <v>40</v>
      </c>
      <c r="P804" s="24">
        <f t="shared" si="75"/>
        <v>2.9585948732890444E-2</v>
      </c>
    </row>
    <row r="805" spans="1:16">
      <c r="A805">
        <v>4</v>
      </c>
      <c r="B805" s="4" t="s">
        <v>1812</v>
      </c>
      <c r="E805">
        <v>3</v>
      </c>
      <c r="F805" t="s">
        <v>1813</v>
      </c>
      <c r="G805" s="6">
        <v>43468</v>
      </c>
      <c r="H805">
        <v>140</v>
      </c>
      <c r="I805" t="s">
        <v>1814</v>
      </c>
      <c r="K805" s="9">
        <v>3963</v>
      </c>
      <c r="L805" s="1">
        <v>3807</v>
      </c>
      <c r="M805" s="9">
        <f t="shared" si="74"/>
        <v>156</v>
      </c>
      <c r="P805" s="24">
        <f t="shared" si="75"/>
        <v>4.0977147360126143E-2</v>
      </c>
    </row>
    <row r="806" spans="1:16">
      <c r="A806">
        <v>5</v>
      </c>
      <c r="B806" t="s">
        <v>1815</v>
      </c>
      <c r="E806">
        <v>4</v>
      </c>
      <c r="F806" t="s">
        <v>139</v>
      </c>
      <c r="G806" s="6">
        <v>43468</v>
      </c>
      <c r="I806" t="s">
        <v>1816</v>
      </c>
      <c r="K806" s="9">
        <v>669.44</v>
      </c>
      <c r="L806" s="1">
        <v>616</v>
      </c>
      <c r="M806" s="9">
        <f t="shared" si="74"/>
        <v>53.440000000000055</v>
      </c>
      <c r="N806">
        <v>10</v>
      </c>
      <c r="P806" s="24">
        <f t="shared" si="75"/>
        <v>8.6753246753246804E-2</v>
      </c>
    </row>
    <row r="807" spans="1:16">
      <c r="A807">
        <v>6</v>
      </c>
      <c r="B807" t="s">
        <v>1817</v>
      </c>
      <c r="E807">
        <v>3</v>
      </c>
      <c r="F807" t="s">
        <v>266</v>
      </c>
      <c r="G807" s="6">
        <v>43468</v>
      </c>
      <c r="I807" t="s">
        <v>1818</v>
      </c>
      <c r="K807" s="9">
        <v>291</v>
      </c>
      <c r="L807" s="1">
        <v>222</v>
      </c>
      <c r="M807" s="9">
        <f t="shared" si="74"/>
        <v>69</v>
      </c>
      <c r="P807" s="24">
        <f t="shared" si="75"/>
        <v>0.31081081081081074</v>
      </c>
    </row>
    <row r="808" spans="1:16">
      <c r="A808">
        <v>7</v>
      </c>
      <c r="B808" t="s">
        <v>1819</v>
      </c>
      <c r="E808">
        <v>1</v>
      </c>
      <c r="F808" t="s">
        <v>1112</v>
      </c>
      <c r="G808" s="6">
        <v>43469</v>
      </c>
      <c r="I808" t="s">
        <v>673</v>
      </c>
      <c r="K808" s="9">
        <v>98.72</v>
      </c>
      <c r="L808" s="9">
        <v>0</v>
      </c>
      <c r="M808" s="9">
        <f t="shared" si="74"/>
        <v>98.72</v>
      </c>
      <c r="P808" s="24" t="e">
        <f t="shared" si="75"/>
        <v>#DIV/0!</v>
      </c>
    </row>
    <row r="809" spans="1:16">
      <c r="A809">
        <v>8</v>
      </c>
      <c r="B809" s="4" t="s">
        <v>1820</v>
      </c>
      <c r="E809">
        <v>2</v>
      </c>
      <c r="F809" t="s">
        <v>1821</v>
      </c>
      <c r="G809" s="6">
        <v>43472</v>
      </c>
      <c r="H809">
        <v>160</v>
      </c>
      <c r="I809" t="s">
        <v>1822</v>
      </c>
      <c r="K809" s="9">
        <v>2098</v>
      </c>
      <c r="L809" s="1">
        <v>2020</v>
      </c>
      <c r="M809" s="9">
        <f t="shared" si="74"/>
        <v>78</v>
      </c>
      <c r="P809" s="24">
        <f t="shared" si="75"/>
        <v>3.8613861386138648E-2</v>
      </c>
    </row>
    <row r="810" spans="1:16">
      <c r="A810">
        <v>9</v>
      </c>
      <c r="B810" s="4" t="s">
        <v>1823</v>
      </c>
      <c r="E810">
        <v>6</v>
      </c>
      <c r="F810" t="s">
        <v>1824</v>
      </c>
      <c r="G810" s="6">
        <v>43472</v>
      </c>
      <c r="H810">
        <v>160</v>
      </c>
      <c r="I810" t="s">
        <v>1825</v>
      </c>
      <c r="K810" s="9">
        <v>12017.22</v>
      </c>
      <c r="L810" s="1">
        <v>11814</v>
      </c>
      <c r="M810" s="9">
        <f t="shared" si="74"/>
        <v>203.21999999999935</v>
      </c>
      <c r="P810" s="24">
        <f t="shared" si="75"/>
        <v>1.7201625190451875E-2</v>
      </c>
    </row>
    <row r="811" spans="1:16">
      <c r="A811">
        <v>10</v>
      </c>
      <c r="B811" s="4" t="s">
        <v>1826</v>
      </c>
      <c r="E811">
        <v>18</v>
      </c>
      <c r="F811" t="s">
        <v>880</v>
      </c>
      <c r="G811" s="6">
        <v>43472</v>
      </c>
      <c r="H811">
        <v>140</v>
      </c>
      <c r="I811" t="s">
        <v>1827</v>
      </c>
      <c r="K811" s="9">
        <v>10378.98</v>
      </c>
      <c r="L811" s="1">
        <v>10170</v>
      </c>
      <c r="M811" s="9">
        <f t="shared" si="74"/>
        <v>208.97999999999956</v>
      </c>
      <c r="P811" s="24">
        <f t="shared" si="75"/>
        <v>2.0548672566371717E-2</v>
      </c>
    </row>
    <row r="812" spans="1:16">
      <c r="A812">
        <v>11</v>
      </c>
      <c r="B812" t="s">
        <v>1828</v>
      </c>
      <c r="E812">
        <v>14</v>
      </c>
      <c r="F812" t="s">
        <v>1297</v>
      </c>
      <c r="G812" s="6">
        <v>43474</v>
      </c>
      <c r="K812" s="9">
        <v>0</v>
      </c>
      <c r="L812" s="1">
        <v>0</v>
      </c>
      <c r="M812" s="9">
        <f t="shared" si="74"/>
        <v>0</v>
      </c>
      <c r="P812" s="24" t="e">
        <f t="shared" si="75"/>
        <v>#DIV/0!</v>
      </c>
    </row>
    <row r="813" spans="1:16">
      <c r="A813">
        <v>12</v>
      </c>
      <c r="B813" t="s">
        <v>1829</v>
      </c>
      <c r="E813">
        <v>2</v>
      </c>
      <c r="F813" t="s">
        <v>139</v>
      </c>
      <c r="G813" s="6">
        <v>43474</v>
      </c>
      <c r="H813">
        <v>120</v>
      </c>
      <c r="I813" t="s">
        <v>1830</v>
      </c>
      <c r="K813" s="9">
        <v>997.38</v>
      </c>
      <c r="L813" s="1">
        <v>934</v>
      </c>
      <c r="M813" s="9">
        <f t="shared" si="74"/>
        <v>63.379999999999995</v>
      </c>
      <c r="P813" s="24">
        <f t="shared" si="75"/>
        <v>6.7858672376873708E-2</v>
      </c>
    </row>
    <row r="814" spans="1:16">
      <c r="A814">
        <v>13</v>
      </c>
      <c r="B814" s="4" t="s">
        <v>1831</v>
      </c>
      <c r="E814">
        <v>223</v>
      </c>
      <c r="F814" t="s">
        <v>135</v>
      </c>
      <c r="G814" s="6">
        <v>43474</v>
      </c>
      <c r="I814" t="s">
        <v>1832</v>
      </c>
      <c r="K814" s="9">
        <v>9350.39</v>
      </c>
      <c r="L814" s="1">
        <f>39.15*223</f>
        <v>8730.4499999999989</v>
      </c>
      <c r="M814" s="9">
        <f t="shared" si="74"/>
        <v>619.94000000000051</v>
      </c>
      <c r="P814" s="24">
        <f t="shared" si="75"/>
        <v>7.1008939974457341E-2</v>
      </c>
    </row>
    <row r="815" spans="1:16">
      <c r="A815">
        <v>14</v>
      </c>
      <c r="B815" t="s">
        <v>1833</v>
      </c>
      <c r="E815">
        <v>5</v>
      </c>
      <c r="F815" t="s">
        <v>1037</v>
      </c>
      <c r="G815" s="6">
        <v>43474</v>
      </c>
      <c r="H815">
        <v>160</v>
      </c>
      <c r="I815" t="s">
        <v>1834</v>
      </c>
      <c r="K815" s="9">
        <v>4407.6499999999996</v>
      </c>
      <c r="L815" s="1">
        <v>4390</v>
      </c>
      <c r="M815" s="9">
        <f t="shared" si="74"/>
        <v>17.649999999999636</v>
      </c>
      <c r="P815" s="24">
        <f t="shared" si="75"/>
        <v>4.0205011389520262E-3</v>
      </c>
    </row>
    <row r="816" spans="1:16">
      <c r="A816">
        <v>15</v>
      </c>
      <c r="B816" s="4" t="s">
        <v>1835</v>
      </c>
      <c r="E816">
        <v>63</v>
      </c>
      <c r="F816" t="s">
        <v>135</v>
      </c>
      <c r="G816" s="6">
        <v>43474</v>
      </c>
      <c r="I816" t="s">
        <v>1836</v>
      </c>
      <c r="K816" s="9">
        <v>5911.29</v>
      </c>
      <c r="L816" s="1">
        <f>92.32*63</f>
        <v>5816.16</v>
      </c>
      <c r="M816" s="9">
        <f t="shared" si="74"/>
        <v>95.130000000000109</v>
      </c>
      <c r="P816" s="24">
        <f t="shared" si="75"/>
        <v>1.6356152512998268E-2</v>
      </c>
    </row>
    <row r="817" spans="1:16">
      <c r="A817">
        <v>16</v>
      </c>
      <c r="B817" s="4" t="s">
        <v>1837</v>
      </c>
      <c r="E817">
        <v>1</v>
      </c>
      <c r="F817" t="s">
        <v>1733</v>
      </c>
      <c r="G817" s="6">
        <v>43475</v>
      </c>
      <c r="H817">
        <v>90</v>
      </c>
      <c r="I817" t="s">
        <v>1838</v>
      </c>
      <c r="K817" s="9">
        <v>527</v>
      </c>
      <c r="L817" s="1">
        <v>489.47</v>
      </c>
      <c r="M817" s="9">
        <f t="shared" si="74"/>
        <v>37.529999999999973</v>
      </c>
      <c r="P817" s="24">
        <f t="shared" si="75"/>
        <v>7.6674770670316805E-2</v>
      </c>
    </row>
    <row r="818" spans="1:16">
      <c r="A818">
        <v>17</v>
      </c>
      <c r="B818" s="4" t="s">
        <v>1839</v>
      </c>
      <c r="E818">
        <v>1</v>
      </c>
      <c r="F818" t="s">
        <v>129</v>
      </c>
      <c r="G818" s="6">
        <v>43476</v>
      </c>
      <c r="H818">
        <v>140</v>
      </c>
      <c r="I818" t="s">
        <v>1840</v>
      </c>
      <c r="K818" s="9">
        <v>2446.62</v>
      </c>
      <c r="L818" s="1">
        <v>2375</v>
      </c>
      <c r="M818" s="9">
        <f t="shared" si="74"/>
        <v>71.619999999999891</v>
      </c>
      <c r="P818" s="24">
        <f t="shared" si="75"/>
        <v>3.0155789473684136E-2</v>
      </c>
    </row>
    <row r="819" spans="1:16">
      <c r="A819">
        <v>18</v>
      </c>
      <c r="B819" s="4" t="s">
        <v>1841</v>
      </c>
      <c r="E819">
        <v>16</v>
      </c>
      <c r="F819" t="s">
        <v>694</v>
      </c>
      <c r="G819" s="6">
        <v>43480</v>
      </c>
      <c r="H819">
        <v>160</v>
      </c>
      <c r="I819" t="s">
        <v>1842</v>
      </c>
      <c r="K819" s="9">
        <v>5241.92</v>
      </c>
      <c r="L819" s="1">
        <v>5103.3599999999997</v>
      </c>
      <c r="M819" s="9">
        <f t="shared" si="74"/>
        <v>138.5600000000004</v>
      </c>
      <c r="N819">
        <v>80</v>
      </c>
      <c r="P819" s="24">
        <f t="shared" si="75"/>
        <v>2.7150739904690413E-2</v>
      </c>
    </row>
    <row r="820" spans="1:16">
      <c r="A820">
        <v>19</v>
      </c>
      <c r="B820" s="4" t="s">
        <v>1843</v>
      </c>
      <c r="E820">
        <v>31</v>
      </c>
      <c r="F820" t="s">
        <v>1211</v>
      </c>
      <c r="G820" s="6">
        <v>43481</v>
      </c>
      <c r="H820">
        <v>140</v>
      </c>
      <c r="I820" t="s">
        <v>1844</v>
      </c>
      <c r="K820" s="9">
        <v>21974.66</v>
      </c>
      <c r="L820" s="1">
        <v>21700</v>
      </c>
      <c r="M820" s="9">
        <f t="shared" si="74"/>
        <v>274.65999999999985</v>
      </c>
      <c r="N820">
        <v>300</v>
      </c>
      <c r="P820" s="24">
        <f t="shared" si="75"/>
        <v>1.2657142857142922E-2</v>
      </c>
    </row>
    <row r="821" spans="1:16">
      <c r="A821">
        <v>20</v>
      </c>
      <c r="B821" s="4" t="s">
        <v>1845</v>
      </c>
      <c r="E821">
        <v>7</v>
      </c>
      <c r="F821" t="s">
        <v>1243</v>
      </c>
      <c r="G821" s="6">
        <v>43481</v>
      </c>
      <c r="H821">
        <v>160</v>
      </c>
      <c r="K821" s="9">
        <v>1582</v>
      </c>
      <c r="L821" s="148">
        <v>1520</v>
      </c>
      <c r="M821" s="9">
        <f t="shared" si="74"/>
        <v>62</v>
      </c>
      <c r="P821" s="24">
        <f t="shared" si="75"/>
        <v>4.0789473684210487E-2</v>
      </c>
    </row>
    <row r="822" spans="1:16">
      <c r="A822">
        <v>21</v>
      </c>
      <c r="B822" s="4" t="s">
        <v>1846</v>
      </c>
      <c r="E822">
        <v>72</v>
      </c>
      <c r="F822" t="s">
        <v>954</v>
      </c>
      <c r="G822" s="6">
        <v>43482</v>
      </c>
      <c r="I822" t="s">
        <v>1847</v>
      </c>
      <c r="K822" s="9">
        <v>990.72</v>
      </c>
      <c r="L822">
        <v>833.76</v>
      </c>
      <c r="M822" s="9">
        <f t="shared" si="74"/>
        <v>156.96000000000004</v>
      </c>
      <c r="P822" s="24">
        <f t="shared" si="75"/>
        <v>0.18825561312607952</v>
      </c>
    </row>
    <row r="823" spans="1:16">
      <c r="A823">
        <v>22</v>
      </c>
      <c r="B823" s="25" t="s">
        <v>1848</v>
      </c>
      <c r="E823">
        <v>2</v>
      </c>
      <c r="F823" t="s">
        <v>809</v>
      </c>
      <c r="G823" s="6">
        <v>43482</v>
      </c>
      <c r="I823" t="s">
        <v>1849</v>
      </c>
      <c r="K823" s="9">
        <v>1707.74</v>
      </c>
      <c r="L823" s="1">
        <v>1685.16</v>
      </c>
      <c r="M823" s="9">
        <f t="shared" si="74"/>
        <v>22.579999999999927</v>
      </c>
      <c r="P823" s="24">
        <f t="shared" si="75"/>
        <v>1.3399321132711473E-2</v>
      </c>
    </row>
    <row r="824" spans="1:16">
      <c r="A824">
        <v>23</v>
      </c>
      <c r="B824" s="4" t="s">
        <v>1850</v>
      </c>
      <c r="E824">
        <v>8</v>
      </c>
      <c r="F824" t="s">
        <v>1211</v>
      </c>
      <c r="G824" s="6">
        <v>43482</v>
      </c>
      <c r="H824">
        <v>160</v>
      </c>
      <c r="I824" t="s">
        <v>1851</v>
      </c>
      <c r="K824" s="9">
        <v>5182.6400000000003</v>
      </c>
      <c r="L824" s="1">
        <v>5080</v>
      </c>
      <c r="M824" s="9">
        <f t="shared" si="74"/>
        <v>102.64000000000033</v>
      </c>
      <c r="N824">
        <v>35.82</v>
      </c>
      <c r="P824" s="24">
        <f t="shared" si="75"/>
        <v>2.0204724409448982E-2</v>
      </c>
    </row>
    <row r="825" spans="1:16">
      <c r="A825">
        <v>24</v>
      </c>
      <c r="B825" s="4" t="s">
        <v>1852</v>
      </c>
      <c r="E825">
        <v>4</v>
      </c>
      <c r="F825" t="s">
        <v>129</v>
      </c>
      <c r="G825" s="6">
        <v>43482</v>
      </c>
      <c r="H825">
        <v>160</v>
      </c>
      <c r="I825" t="s">
        <v>1853</v>
      </c>
      <c r="K825" s="9">
        <v>10068</v>
      </c>
      <c r="L825" s="1">
        <v>9872</v>
      </c>
      <c r="M825" s="9">
        <f t="shared" si="74"/>
        <v>196</v>
      </c>
      <c r="P825" s="24">
        <f t="shared" si="75"/>
        <v>1.985413290113458E-2</v>
      </c>
    </row>
    <row r="826" spans="1:16">
      <c r="A826">
        <v>25</v>
      </c>
      <c r="B826" s="4" t="s">
        <v>1854</v>
      </c>
      <c r="E826">
        <v>4</v>
      </c>
      <c r="F826" s="90" t="s">
        <v>1855</v>
      </c>
      <c r="G826" s="6">
        <v>43483</v>
      </c>
      <c r="H826">
        <v>160</v>
      </c>
      <c r="K826" s="9">
        <v>2454.6799999999998</v>
      </c>
      <c r="L826" s="148">
        <v>474.74</v>
      </c>
      <c r="M826" s="9">
        <f t="shared" si="74"/>
        <v>1979.9399999999998</v>
      </c>
      <c r="P826" s="24">
        <f t="shared" si="75"/>
        <v>4.1705775793065669</v>
      </c>
    </row>
    <row r="827" spans="1:16">
      <c r="A827">
        <v>26</v>
      </c>
      <c r="B827" s="4" t="s">
        <v>1856</v>
      </c>
      <c r="E827">
        <v>1</v>
      </c>
      <c r="F827" t="s">
        <v>1857</v>
      </c>
      <c r="G827" s="6">
        <v>43484</v>
      </c>
      <c r="I827" t="s">
        <v>1858</v>
      </c>
      <c r="K827" s="9">
        <v>4573.57</v>
      </c>
      <c r="L827" s="9">
        <v>4470</v>
      </c>
      <c r="M827" s="9">
        <f t="shared" si="74"/>
        <v>103.56999999999971</v>
      </c>
      <c r="P827" s="24">
        <f t="shared" si="75"/>
        <v>2.3170022371364674E-2</v>
      </c>
    </row>
    <row r="828" spans="1:16">
      <c r="A828">
        <v>27</v>
      </c>
      <c r="B828" s="4" t="s">
        <v>1859</v>
      </c>
      <c r="E828">
        <v>27</v>
      </c>
      <c r="F828" t="s">
        <v>1857</v>
      </c>
      <c r="G828" s="6">
        <v>43487</v>
      </c>
      <c r="I828" t="s">
        <v>1860</v>
      </c>
      <c r="K828" s="9">
        <v>3667.14</v>
      </c>
      <c r="L828" s="9">
        <v>3559.95</v>
      </c>
      <c r="M828" s="9">
        <f t="shared" si="74"/>
        <v>107.19000000000005</v>
      </c>
      <c r="P828" s="24">
        <f t="shared" si="75"/>
        <v>3.010997345468347E-2</v>
      </c>
    </row>
    <row r="829" spans="1:16">
      <c r="A829">
        <v>28</v>
      </c>
      <c r="B829" s="4" t="s">
        <v>1861</v>
      </c>
      <c r="E829">
        <v>1</v>
      </c>
      <c r="F829" s="75" t="s">
        <v>1862</v>
      </c>
      <c r="G829" s="6">
        <v>43487</v>
      </c>
      <c r="K829" s="9">
        <v>0</v>
      </c>
      <c r="L829" s="148">
        <v>0</v>
      </c>
      <c r="M829" s="9">
        <f t="shared" si="74"/>
        <v>0</v>
      </c>
      <c r="P829" s="24" t="e">
        <f t="shared" si="75"/>
        <v>#DIV/0!</v>
      </c>
    </row>
    <row r="830" spans="1:16">
      <c r="A830">
        <v>29</v>
      </c>
      <c r="B830" s="4" t="s">
        <v>1863</v>
      </c>
      <c r="E830">
        <v>1</v>
      </c>
      <c r="F830" t="s">
        <v>1037</v>
      </c>
      <c r="G830" s="6">
        <v>43487</v>
      </c>
      <c r="I830" t="s">
        <v>1864</v>
      </c>
      <c r="K830" s="9">
        <v>1478</v>
      </c>
      <c r="L830" s="1">
        <v>1464.66</v>
      </c>
      <c r="M830" s="9">
        <f t="shared" si="74"/>
        <v>13.339999999999918</v>
      </c>
      <c r="P830" s="24">
        <f t="shared" si="75"/>
        <v>9.1079158302951324E-3</v>
      </c>
    </row>
    <row r="831" spans="1:16">
      <c r="A831">
        <v>30</v>
      </c>
      <c r="B831" s="4" t="s">
        <v>1865</v>
      </c>
      <c r="E831">
        <v>279</v>
      </c>
      <c r="F831" s="75" t="s">
        <v>1866</v>
      </c>
      <c r="G831" s="6">
        <v>43487</v>
      </c>
      <c r="H831">
        <v>125</v>
      </c>
      <c r="K831" s="9">
        <v>0</v>
      </c>
      <c r="L831" s="148">
        <v>0</v>
      </c>
      <c r="M831" s="9">
        <f t="shared" si="74"/>
        <v>0</v>
      </c>
      <c r="P831" s="24" t="e">
        <f t="shared" si="75"/>
        <v>#DIV/0!</v>
      </c>
    </row>
    <row r="832" spans="1:16">
      <c r="A832">
        <v>31</v>
      </c>
      <c r="B832" s="4" t="s">
        <v>1867</v>
      </c>
      <c r="E832">
        <v>5</v>
      </c>
      <c r="F832" t="s">
        <v>135</v>
      </c>
      <c r="G832" s="6">
        <v>43487</v>
      </c>
      <c r="I832" t="s">
        <v>1868</v>
      </c>
      <c r="K832" s="9">
        <v>549.29999999999995</v>
      </c>
      <c r="L832" s="1">
        <v>518.4</v>
      </c>
      <c r="M832" s="9">
        <f t="shared" si="74"/>
        <v>30.899999999999977</v>
      </c>
      <c r="P832" s="24">
        <f t="shared" si="75"/>
        <v>5.9606481481481399E-2</v>
      </c>
    </row>
    <row r="833" spans="1:16">
      <c r="A833">
        <v>32</v>
      </c>
      <c r="B833" s="4" t="s">
        <v>1869</v>
      </c>
      <c r="E833">
        <v>2</v>
      </c>
      <c r="F833" t="s">
        <v>606</v>
      </c>
      <c r="G833" s="6">
        <v>43487</v>
      </c>
      <c r="I833" t="s">
        <v>1870</v>
      </c>
      <c r="K833" s="9">
        <v>902</v>
      </c>
      <c r="L833" s="1">
        <v>866.26</v>
      </c>
      <c r="M833" s="9">
        <f t="shared" si="74"/>
        <v>35.740000000000009</v>
      </c>
      <c r="P833" s="24">
        <f t="shared" si="75"/>
        <v>4.1257820977535609E-2</v>
      </c>
    </row>
    <row r="834" spans="1:16">
      <c r="A834">
        <v>33</v>
      </c>
      <c r="B834" s="4" t="s">
        <v>1871</v>
      </c>
      <c r="E834">
        <v>19</v>
      </c>
      <c r="F834" s="90" t="s">
        <v>1872</v>
      </c>
      <c r="G834" s="6">
        <v>43489</v>
      </c>
      <c r="H834">
        <v>160</v>
      </c>
      <c r="I834" t="s">
        <v>1873</v>
      </c>
      <c r="K834" s="9">
        <v>6336.12</v>
      </c>
      <c r="L834" s="1">
        <v>6321</v>
      </c>
      <c r="M834" s="9">
        <f t="shared" ref="M834:M854" si="76">K834-L834</f>
        <v>15.119999999999891</v>
      </c>
      <c r="P834" s="24">
        <f t="shared" ref="P834:P854" si="77">(K834/L834)-1</f>
        <v>2.3920265780730254E-3</v>
      </c>
    </row>
    <row r="835" spans="1:16">
      <c r="A835">
        <v>34</v>
      </c>
      <c r="B835" s="4" t="s">
        <v>1874</v>
      </c>
      <c r="E835">
        <v>14</v>
      </c>
      <c r="F835" t="s">
        <v>1872</v>
      </c>
      <c r="G835" s="6">
        <v>43489</v>
      </c>
      <c r="H835">
        <v>160</v>
      </c>
      <c r="I835" t="s">
        <v>1875</v>
      </c>
      <c r="K835" s="9">
        <v>1116.92</v>
      </c>
      <c r="L835" s="1">
        <v>1439</v>
      </c>
      <c r="M835" s="9">
        <f t="shared" si="76"/>
        <v>-322.07999999999993</v>
      </c>
      <c r="P835" s="24">
        <f t="shared" si="77"/>
        <v>-0.22382209867963854</v>
      </c>
    </row>
    <row r="836" spans="1:16">
      <c r="A836">
        <v>35</v>
      </c>
      <c r="B836" s="4" t="s">
        <v>1876</v>
      </c>
      <c r="E836">
        <v>100</v>
      </c>
      <c r="F836" t="s">
        <v>135</v>
      </c>
      <c r="G836" s="6">
        <v>43489</v>
      </c>
      <c r="H836">
        <v>160</v>
      </c>
      <c r="I836" t="s">
        <v>1832</v>
      </c>
      <c r="K836" s="9">
        <v>4164</v>
      </c>
      <c r="L836" s="1">
        <f>39.15*100</f>
        <v>3915</v>
      </c>
      <c r="M836" s="9">
        <f t="shared" si="76"/>
        <v>249</v>
      </c>
      <c r="P836" s="24">
        <f t="shared" si="77"/>
        <v>6.3601532567049812E-2</v>
      </c>
    </row>
    <row r="837" spans="1:16">
      <c r="A837">
        <v>36</v>
      </c>
      <c r="B837" t="s">
        <v>1877</v>
      </c>
      <c r="E837">
        <v>999</v>
      </c>
      <c r="F837" t="s">
        <v>135</v>
      </c>
      <c r="G837" s="6">
        <v>43489</v>
      </c>
      <c r="H837">
        <v>160</v>
      </c>
      <c r="I837" t="s">
        <v>1878</v>
      </c>
      <c r="K837" s="9">
        <v>3866.13</v>
      </c>
      <c r="L837" s="1">
        <v>2290</v>
      </c>
      <c r="M837" s="9">
        <f t="shared" si="76"/>
        <v>1576.13</v>
      </c>
      <c r="P837" s="24">
        <f t="shared" si="77"/>
        <v>0.68826637554585157</v>
      </c>
    </row>
    <row r="838" spans="1:16">
      <c r="A838">
        <v>37</v>
      </c>
      <c r="B838" t="s">
        <v>1879</v>
      </c>
      <c r="E838">
        <v>3</v>
      </c>
      <c r="F838" t="s">
        <v>135</v>
      </c>
      <c r="G838" s="6">
        <v>43490</v>
      </c>
      <c r="H838">
        <v>160</v>
      </c>
      <c r="K838" s="9">
        <v>3549</v>
      </c>
      <c r="L838" s="1">
        <f>523*3</f>
        <v>1569</v>
      </c>
      <c r="M838" s="9">
        <f t="shared" si="76"/>
        <v>1980</v>
      </c>
      <c r="P838" s="24">
        <f t="shared" si="77"/>
        <v>1.2619502868068833</v>
      </c>
    </row>
    <row r="839" spans="1:16">
      <c r="A839">
        <v>38</v>
      </c>
      <c r="B839" t="s">
        <v>1880</v>
      </c>
      <c r="E839">
        <v>3</v>
      </c>
      <c r="F839" t="s">
        <v>1821</v>
      </c>
      <c r="G839" s="6">
        <v>43490</v>
      </c>
      <c r="H839">
        <v>160</v>
      </c>
      <c r="I839" t="s">
        <v>1881</v>
      </c>
      <c r="K839" s="9">
        <v>4779</v>
      </c>
      <c r="L839" s="1">
        <v>4665</v>
      </c>
      <c r="M839" s="9">
        <f t="shared" si="76"/>
        <v>114</v>
      </c>
      <c r="P839" s="24">
        <f t="shared" si="77"/>
        <v>2.4437299035369842E-2</v>
      </c>
    </row>
    <row r="840" spans="1:16">
      <c r="A840">
        <v>39</v>
      </c>
      <c r="B840" t="s">
        <v>1882</v>
      </c>
      <c r="E840">
        <v>1</v>
      </c>
      <c r="F840" t="s">
        <v>135</v>
      </c>
      <c r="G840" s="6">
        <v>43490</v>
      </c>
      <c r="H840">
        <v>160</v>
      </c>
      <c r="K840" s="9">
        <v>1598</v>
      </c>
      <c r="L840" s="1">
        <v>1563.53</v>
      </c>
      <c r="M840" s="9">
        <f t="shared" si="76"/>
        <v>34.470000000000027</v>
      </c>
      <c r="P840" s="24">
        <f t="shared" si="77"/>
        <v>2.2046267100727324E-2</v>
      </c>
    </row>
    <row r="841" spans="1:16">
      <c r="A841">
        <v>40</v>
      </c>
      <c r="B841" t="s">
        <v>1883</v>
      </c>
      <c r="E841">
        <v>4</v>
      </c>
      <c r="F841" t="s">
        <v>135</v>
      </c>
      <c r="G841" s="6">
        <v>43493</v>
      </c>
      <c r="H841">
        <v>160</v>
      </c>
      <c r="K841" s="9">
        <v>3124</v>
      </c>
      <c r="L841" s="1">
        <f>774.12*4</f>
        <v>3096.48</v>
      </c>
      <c r="M841" s="9">
        <f t="shared" si="76"/>
        <v>27.519999999999982</v>
      </c>
      <c r="P841" s="24">
        <f t="shared" si="77"/>
        <v>8.8875109802097896E-3</v>
      </c>
    </row>
    <row r="842" spans="1:16">
      <c r="A842">
        <v>41</v>
      </c>
      <c r="B842" t="s">
        <v>1884</v>
      </c>
      <c r="E842">
        <v>19</v>
      </c>
      <c r="F842" t="s">
        <v>135</v>
      </c>
      <c r="G842" s="6">
        <v>43493</v>
      </c>
      <c r="H842">
        <v>160</v>
      </c>
      <c r="K842" s="9">
        <v>4208.12</v>
      </c>
      <c r="L842" s="1">
        <f>207.5*19</f>
        <v>3942.5</v>
      </c>
      <c r="M842" s="9">
        <f t="shared" si="76"/>
        <v>265.61999999999989</v>
      </c>
      <c r="P842" s="24">
        <f t="shared" si="77"/>
        <v>6.7373493975903642E-2</v>
      </c>
    </row>
    <row r="843" spans="1:16">
      <c r="A843">
        <v>42</v>
      </c>
      <c r="B843" t="s">
        <v>1885</v>
      </c>
      <c r="E843">
        <v>7</v>
      </c>
      <c r="F843" t="s">
        <v>135</v>
      </c>
      <c r="G843" s="6">
        <v>43494</v>
      </c>
      <c r="H843">
        <v>160</v>
      </c>
      <c r="K843" s="9">
        <v>1692.74</v>
      </c>
      <c r="L843" s="1">
        <f>243.18*7</f>
        <v>1702.26</v>
      </c>
      <c r="M843" s="9">
        <f t="shared" si="76"/>
        <v>-9.5199999999999818</v>
      </c>
      <c r="P843" s="24">
        <f t="shared" si="77"/>
        <v>-5.5925651780573959E-3</v>
      </c>
    </row>
    <row r="844" spans="1:16">
      <c r="A844">
        <v>43</v>
      </c>
      <c r="B844" t="s">
        <v>1886</v>
      </c>
      <c r="E844">
        <v>1</v>
      </c>
      <c r="F844" s="75" t="s">
        <v>1887</v>
      </c>
      <c r="G844" s="6">
        <v>43494</v>
      </c>
      <c r="H844">
        <v>160</v>
      </c>
      <c r="K844" s="9">
        <v>0</v>
      </c>
      <c r="L844" s="1">
        <v>0</v>
      </c>
      <c r="M844" s="9">
        <f t="shared" si="76"/>
        <v>0</v>
      </c>
      <c r="P844" s="24" t="e">
        <f t="shared" si="77"/>
        <v>#DIV/0!</v>
      </c>
    </row>
    <row r="845" spans="1:16">
      <c r="A845">
        <v>44</v>
      </c>
      <c r="B845" t="s">
        <v>1888</v>
      </c>
      <c r="E845">
        <v>7</v>
      </c>
      <c r="F845" t="s">
        <v>1211</v>
      </c>
      <c r="G845" s="6">
        <v>43494</v>
      </c>
      <c r="H845">
        <v>160</v>
      </c>
      <c r="I845" t="s">
        <v>1889</v>
      </c>
      <c r="K845" s="9">
        <v>2088.8000000000002</v>
      </c>
      <c r="L845" s="1">
        <v>2002</v>
      </c>
      <c r="M845" s="9">
        <f t="shared" si="76"/>
        <v>86.800000000000182</v>
      </c>
      <c r="P845" s="24">
        <f t="shared" si="77"/>
        <v>4.3356643356643465E-2</v>
      </c>
    </row>
    <row r="846" spans="1:16">
      <c r="A846">
        <v>45</v>
      </c>
      <c r="B846" t="s">
        <v>1890</v>
      </c>
      <c r="E846">
        <v>9</v>
      </c>
      <c r="F846" t="s">
        <v>1891</v>
      </c>
      <c r="G846" s="6">
        <v>43494</v>
      </c>
      <c r="H846">
        <v>160</v>
      </c>
      <c r="I846" t="s">
        <v>1892</v>
      </c>
      <c r="K846" s="9">
        <v>2546.1</v>
      </c>
      <c r="L846" s="1">
        <v>2481.12</v>
      </c>
      <c r="M846" s="9">
        <f t="shared" si="76"/>
        <v>64.980000000000018</v>
      </c>
      <c r="P846" s="24">
        <f t="shared" si="77"/>
        <v>2.6189785258270426E-2</v>
      </c>
    </row>
    <row r="847" spans="1:16">
      <c r="A847">
        <v>46</v>
      </c>
      <c r="B847" t="s">
        <v>1893</v>
      </c>
      <c r="E847">
        <v>28</v>
      </c>
      <c r="F847" s="75" t="s">
        <v>1894</v>
      </c>
      <c r="G847" s="6">
        <v>43494</v>
      </c>
      <c r="H847">
        <v>240</v>
      </c>
      <c r="K847" s="9">
        <v>0</v>
      </c>
      <c r="L847">
        <v>0</v>
      </c>
      <c r="M847" s="9">
        <f t="shared" si="76"/>
        <v>0</v>
      </c>
      <c r="P847" s="24" t="e">
        <f t="shared" si="77"/>
        <v>#DIV/0!</v>
      </c>
    </row>
    <row r="848" spans="1:16">
      <c r="A848">
        <v>47</v>
      </c>
      <c r="B848" t="s">
        <v>1895</v>
      </c>
      <c r="E848">
        <v>8</v>
      </c>
      <c r="F848" t="s">
        <v>1211</v>
      </c>
      <c r="G848" s="6">
        <v>43495</v>
      </c>
      <c r="I848" t="s">
        <v>1896</v>
      </c>
      <c r="K848" s="9">
        <v>538.4</v>
      </c>
      <c r="L848" s="1">
        <v>499.92</v>
      </c>
      <c r="M848" s="9">
        <f t="shared" si="76"/>
        <v>38.479999999999961</v>
      </c>
      <c r="P848" s="24">
        <f t="shared" si="77"/>
        <v>7.6972315570491112E-2</v>
      </c>
    </row>
    <row r="849" spans="1:19">
      <c r="A849">
        <v>48</v>
      </c>
      <c r="B849" t="s">
        <v>1897</v>
      </c>
      <c r="E849">
        <v>12</v>
      </c>
      <c r="F849" t="s">
        <v>135</v>
      </c>
      <c r="G849" s="6">
        <v>43495</v>
      </c>
      <c r="H849">
        <v>160</v>
      </c>
      <c r="I849" t="s">
        <v>1898</v>
      </c>
      <c r="K849" s="9">
        <v>8778.48</v>
      </c>
      <c r="L849" s="1">
        <f>523*12</f>
        <v>6276</v>
      </c>
      <c r="M849" s="9">
        <f t="shared" si="76"/>
        <v>2502.4799999999996</v>
      </c>
      <c r="P849" s="24">
        <f t="shared" si="77"/>
        <v>0.39873804971319315</v>
      </c>
    </row>
    <row r="850" spans="1:19">
      <c r="A850">
        <v>49</v>
      </c>
      <c r="B850" t="s">
        <v>1899</v>
      </c>
      <c r="E850">
        <v>1</v>
      </c>
      <c r="F850" s="75" t="s">
        <v>1900</v>
      </c>
      <c r="G850" s="6">
        <v>43495</v>
      </c>
      <c r="H850">
        <v>140</v>
      </c>
      <c r="K850" s="9">
        <v>0</v>
      </c>
      <c r="L850" s="1">
        <v>0</v>
      </c>
      <c r="M850" s="9">
        <f t="shared" si="76"/>
        <v>0</v>
      </c>
      <c r="P850" s="24" t="e">
        <f t="shared" si="77"/>
        <v>#DIV/0!</v>
      </c>
    </row>
    <row r="851" spans="1:19">
      <c r="A851">
        <v>50</v>
      </c>
      <c r="B851" t="s">
        <v>1901</v>
      </c>
      <c r="E851">
        <v>1</v>
      </c>
      <c r="F851" t="s">
        <v>135</v>
      </c>
      <c r="G851" s="6">
        <v>43495</v>
      </c>
      <c r="K851" s="9">
        <v>773</v>
      </c>
      <c r="L851" s="1">
        <v>737.54</v>
      </c>
      <c r="M851" s="9">
        <f t="shared" si="76"/>
        <v>35.460000000000036</v>
      </c>
      <c r="P851" s="24">
        <f t="shared" si="77"/>
        <v>4.8078748271280336E-2</v>
      </c>
    </row>
    <row r="852" spans="1:19">
      <c r="A852">
        <v>51</v>
      </c>
      <c r="B852" t="s">
        <v>1902</v>
      </c>
      <c r="E852">
        <v>1</v>
      </c>
      <c r="F852" s="75" t="s">
        <v>1900</v>
      </c>
      <c r="G852" s="6">
        <v>43496</v>
      </c>
      <c r="K852" s="9">
        <v>2042</v>
      </c>
      <c r="L852" s="1">
        <v>2042</v>
      </c>
      <c r="M852" s="9">
        <f t="shared" si="76"/>
        <v>0</v>
      </c>
      <c r="P852" s="24">
        <f t="shared" si="77"/>
        <v>0</v>
      </c>
    </row>
    <row r="853" spans="1:19">
      <c r="A853">
        <v>52</v>
      </c>
      <c r="B853" t="s">
        <v>1903</v>
      </c>
      <c r="E853">
        <v>50</v>
      </c>
      <c r="F853" t="s">
        <v>315</v>
      </c>
      <c r="G853" s="6">
        <v>43496</v>
      </c>
      <c r="I853" t="s">
        <v>1904</v>
      </c>
      <c r="K853" s="9">
        <v>13498</v>
      </c>
      <c r="L853" s="1">
        <v>13100</v>
      </c>
      <c r="M853" s="9">
        <f t="shared" si="76"/>
        <v>398</v>
      </c>
      <c r="P853" s="24">
        <f t="shared" si="77"/>
        <v>3.0381679389313021E-2</v>
      </c>
    </row>
    <row r="854" spans="1:19">
      <c r="K854" s="64">
        <f>SUM(K802:K853)</f>
        <v>206514.02</v>
      </c>
      <c r="L854" s="26">
        <f>SUM(L802:L853)</f>
        <v>194193.30000000005</v>
      </c>
      <c r="M854" s="64">
        <f t="shared" si="76"/>
        <v>12320.719999999943</v>
      </c>
      <c r="P854" s="129">
        <f t="shared" si="77"/>
        <v>6.344564925772378E-2</v>
      </c>
    </row>
    <row r="855" spans="1:19" ht="18.75" customHeight="1">
      <c r="B855" s="210">
        <v>43497</v>
      </c>
    </row>
    <row r="856" spans="1:19">
      <c r="A856">
        <v>1</v>
      </c>
      <c r="B856" t="s">
        <v>1905</v>
      </c>
      <c r="E856">
        <v>20</v>
      </c>
      <c r="F856" t="s">
        <v>315</v>
      </c>
      <c r="G856" s="6">
        <v>43501</v>
      </c>
      <c r="H856">
        <v>140</v>
      </c>
      <c r="I856" t="s">
        <v>1906</v>
      </c>
      <c r="K856" s="1">
        <v>16715.400000000001</v>
      </c>
      <c r="L856" s="1">
        <v>16600</v>
      </c>
      <c r="M856" s="9">
        <f t="shared" ref="M856:M887" si="78">K856-L856</f>
        <v>115.40000000000146</v>
      </c>
      <c r="P856" s="24">
        <f t="shared" ref="P856:P887" si="79">(K856/L856)-1</f>
        <v>6.9518072289156407E-3</v>
      </c>
    </row>
    <row r="857" spans="1:19">
      <c r="A857">
        <v>2</v>
      </c>
      <c r="B857" t="s">
        <v>1907</v>
      </c>
      <c r="E857">
        <v>1</v>
      </c>
      <c r="F857" t="s">
        <v>606</v>
      </c>
      <c r="G857" s="6">
        <v>43501</v>
      </c>
      <c r="I857" t="s">
        <v>1908</v>
      </c>
      <c r="K857" s="1">
        <v>4224.55</v>
      </c>
      <c r="L857" s="1">
        <v>4136.41</v>
      </c>
      <c r="M857" s="9">
        <f t="shared" si="78"/>
        <v>88.140000000000327</v>
      </c>
      <c r="P857" s="24">
        <f t="shared" si="79"/>
        <v>2.130833258792042E-2</v>
      </c>
      <c r="S857" s="11">
        <f>L856+L857+L862+L864+L865+L866+L867+L868+L869+L870+L871+L872+L873+L874+L875+L879+L881+L882+L883+L885+L886+L887+L888+L889+L890+L891+L892+L893+L894+L896+L897+L900+L901</f>
        <v>160575.54999999996</v>
      </c>
    </row>
    <row r="858" spans="1:19">
      <c r="A858">
        <v>3</v>
      </c>
      <c r="B858" t="s">
        <v>1909</v>
      </c>
      <c r="E858">
        <v>2434</v>
      </c>
      <c r="F858" t="s">
        <v>1910</v>
      </c>
      <c r="G858" s="6">
        <v>43501</v>
      </c>
      <c r="H858">
        <v>120</v>
      </c>
      <c r="I858" t="s">
        <v>1911</v>
      </c>
      <c r="K858" s="1">
        <v>1849.84</v>
      </c>
      <c r="L858" s="1">
        <v>1425</v>
      </c>
      <c r="M858" s="9">
        <f t="shared" si="78"/>
        <v>424.83999999999992</v>
      </c>
      <c r="N858">
        <f>16.52*3</f>
        <v>49.56</v>
      </c>
      <c r="P858" s="24">
        <f t="shared" si="79"/>
        <v>0.29813333333333336</v>
      </c>
    </row>
    <row r="859" spans="1:19">
      <c r="A859">
        <v>4</v>
      </c>
      <c r="B859" t="s">
        <v>1912</v>
      </c>
      <c r="E859">
        <v>26</v>
      </c>
      <c r="F859" s="90" t="s">
        <v>1913</v>
      </c>
      <c r="G859" s="6">
        <v>43501</v>
      </c>
      <c r="I859" t="s">
        <v>1914</v>
      </c>
      <c r="K859" s="1">
        <v>275.08</v>
      </c>
      <c r="L859" s="1">
        <v>285.5</v>
      </c>
      <c r="M859" s="9">
        <f t="shared" si="78"/>
        <v>-10.420000000000016</v>
      </c>
      <c r="P859" s="24">
        <f t="shared" si="79"/>
        <v>-3.6497373029772406E-2</v>
      </c>
    </row>
    <row r="860" spans="1:19">
      <c r="A860">
        <v>5</v>
      </c>
      <c r="B860" t="s">
        <v>1915</v>
      </c>
      <c r="E860">
        <v>4</v>
      </c>
      <c r="F860" s="90" t="s">
        <v>1916</v>
      </c>
      <c r="G860" s="6">
        <v>43501</v>
      </c>
      <c r="H860">
        <v>120</v>
      </c>
      <c r="I860" t="s">
        <v>1917</v>
      </c>
      <c r="K860" s="1">
        <v>39.520000000000003</v>
      </c>
      <c r="L860" s="1">
        <v>18.38</v>
      </c>
      <c r="M860" s="9">
        <f t="shared" si="78"/>
        <v>21.140000000000004</v>
      </c>
      <c r="P860" s="24">
        <f t="shared" si="79"/>
        <v>1.1501632208922743</v>
      </c>
    </row>
    <row r="861" spans="1:19">
      <c r="A861">
        <v>6</v>
      </c>
      <c r="B861" t="s">
        <v>1918</v>
      </c>
      <c r="E861">
        <v>6</v>
      </c>
      <c r="F861" t="s">
        <v>1449</v>
      </c>
      <c r="G861" s="6">
        <v>43501</v>
      </c>
      <c r="H861">
        <v>160</v>
      </c>
      <c r="I861" t="s">
        <v>1919</v>
      </c>
      <c r="K861" s="1">
        <v>2849.16</v>
      </c>
      <c r="L861" s="1">
        <v>2774.4</v>
      </c>
      <c r="M861" s="9">
        <f t="shared" si="78"/>
        <v>74.759999999999764</v>
      </c>
      <c r="P861" s="24">
        <f t="shared" si="79"/>
        <v>2.6946366782006903E-2</v>
      </c>
    </row>
    <row r="862" spans="1:19">
      <c r="A862">
        <v>7</v>
      </c>
      <c r="B862" t="s">
        <v>1920</v>
      </c>
      <c r="D862" s="219" t="s">
        <v>1921</v>
      </c>
      <c r="E862">
        <v>10</v>
      </c>
      <c r="F862" t="s">
        <v>633</v>
      </c>
      <c r="G862" s="6">
        <v>43502</v>
      </c>
      <c r="I862" t="s">
        <v>1922</v>
      </c>
      <c r="K862" s="1">
        <v>5486.9</v>
      </c>
      <c r="L862" s="1">
        <v>5302.1</v>
      </c>
      <c r="M862" s="9">
        <f t="shared" si="78"/>
        <v>184.79999999999927</v>
      </c>
      <c r="P862" s="24">
        <f t="shared" si="79"/>
        <v>3.4854114407498749E-2</v>
      </c>
    </row>
    <row r="863" spans="1:19">
      <c r="A863">
        <v>8</v>
      </c>
      <c r="B863" t="s">
        <v>1923</v>
      </c>
      <c r="E863">
        <v>14</v>
      </c>
      <c r="F863" t="s">
        <v>606</v>
      </c>
      <c r="G863" s="6">
        <v>43502</v>
      </c>
      <c r="I863" t="s">
        <v>1924</v>
      </c>
      <c r="K863" s="1">
        <v>2012.64</v>
      </c>
      <c r="L863" s="1">
        <v>1974.98</v>
      </c>
      <c r="M863" s="9">
        <f t="shared" si="78"/>
        <v>37.660000000000082</v>
      </c>
      <c r="P863" s="24">
        <f t="shared" si="79"/>
        <v>1.9068547529595303E-2</v>
      </c>
    </row>
    <row r="864" spans="1:19">
      <c r="A864">
        <v>9</v>
      </c>
      <c r="B864" t="s">
        <v>1925</v>
      </c>
      <c r="E864">
        <v>49</v>
      </c>
      <c r="F864" t="s">
        <v>223</v>
      </c>
      <c r="G864" s="6">
        <v>43502</v>
      </c>
      <c r="I864" t="s">
        <v>1926</v>
      </c>
      <c r="K864" s="1">
        <v>1978.13</v>
      </c>
      <c r="L864" s="1">
        <v>1862</v>
      </c>
      <c r="M864" s="9">
        <f t="shared" si="78"/>
        <v>116.13000000000011</v>
      </c>
      <c r="P864" s="24">
        <f t="shared" si="79"/>
        <v>6.2368421052631628E-2</v>
      </c>
    </row>
    <row r="865" spans="1:16">
      <c r="A865">
        <v>10</v>
      </c>
      <c r="B865" t="s">
        <v>1927</v>
      </c>
      <c r="E865">
        <v>27</v>
      </c>
      <c r="F865" t="s">
        <v>135</v>
      </c>
      <c r="G865" s="6">
        <v>43502</v>
      </c>
      <c r="K865" s="1">
        <v>1071.6300000000001</v>
      </c>
      <c r="L865" s="1">
        <v>1197</v>
      </c>
      <c r="M865" s="9">
        <f t="shared" si="78"/>
        <v>-125.36999999999989</v>
      </c>
      <c r="P865" s="24">
        <f t="shared" si="79"/>
        <v>-0.10473684210526302</v>
      </c>
    </row>
    <row r="866" spans="1:16">
      <c r="A866">
        <v>11</v>
      </c>
      <c r="B866" t="s">
        <v>1928</v>
      </c>
      <c r="E866">
        <v>19</v>
      </c>
      <c r="F866" s="9" t="s">
        <v>1506</v>
      </c>
      <c r="G866" s="6">
        <v>43502</v>
      </c>
      <c r="I866" t="s">
        <v>1929</v>
      </c>
      <c r="K866" s="1">
        <v>9545.6</v>
      </c>
      <c r="L866" s="1">
        <v>9348</v>
      </c>
      <c r="M866" s="9">
        <f t="shared" si="78"/>
        <v>197.60000000000036</v>
      </c>
      <c r="N866">
        <v>30.14</v>
      </c>
      <c r="P866" s="24">
        <f t="shared" si="79"/>
        <v>2.1138211382113914E-2</v>
      </c>
    </row>
    <row r="867" spans="1:16">
      <c r="A867">
        <v>12</v>
      </c>
      <c r="B867" t="s">
        <v>1930</v>
      </c>
      <c r="E867">
        <v>14</v>
      </c>
      <c r="F867" t="s">
        <v>135</v>
      </c>
      <c r="G867" s="6">
        <v>43502</v>
      </c>
      <c r="K867" s="1">
        <v>2712.36</v>
      </c>
      <c r="L867" s="1">
        <v>2749</v>
      </c>
      <c r="M867" s="9">
        <f t="shared" si="78"/>
        <v>-36.639999999999873</v>
      </c>
      <c r="P867" s="24">
        <f t="shared" si="79"/>
        <v>-1.3328483084758092E-2</v>
      </c>
    </row>
    <row r="868" spans="1:16">
      <c r="A868">
        <v>13</v>
      </c>
      <c r="B868" t="s">
        <v>1931</v>
      </c>
      <c r="E868">
        <v>2</v>
      </c>
      <c r="F868" t="s">
        <v>135</v>
      </c>
      <c r="G868" s="6">
        <v>43502</v>
      </c>
      <c r="K868" s="1">
        <v>1778.92</v>
      </c>
      <c r="L868" s="1">
        <f>774.12*2</f>
        <v>1548.24</v>
      </c>
      <c r="M868" s="9">
        <f t="shared" si="78"/>
        <v>230.68000000000006</v>
      </c>
      <c r="P868" s="24">
        <f t="shared" si="79"/>
        <v>0.14899498785717991</v>
      </c>
    </row>
    <row r="869" spans="1:16">
      <c r="A869">
        <v>14</v>
      </c>
      <c r="B869" t="s">
        <v>1932</v>
      </c>
      <c r="E869">
        <v>8</v>
      </c>
      <c r="F869" t="s">
        <v>606</v>
      </c>
      <c r="G869" s="6">
        <v>43502</v>
      </c>
      <c r="I869" t="s">
        <v>1933</v>
      </c>
      <c r="K869" s="1">
        <v>796.96</v>
      </c>
      <c r="L869" s="1">
        <v>757.52</v>
      </c>
      <c r="M869" s="9">
        <f t="shared" si="78"/>
        <v>39.440000000000055</v>
      </c>
      <c r="P869" s="24">
        <f t="shared" si="79"/>
        <v>5.2064631956912022E-2</v>
      </c>
    </row>
    <row r="870" spans="1:16">
      <c r="A870">
        <v>15</v>
      </c>
      <c r="B870" t="s">
        <v>1934</v>
      </c>
      <c r="E870">
        <v>3</v>
      </c>
      <c r="F870" t="s">
        <v>135</v>
      </c>
      <c r="G870" s="6">
        <v>43502</v>
      </c>
      <c r="K870" s="1">
        <v>1274.49</v>
      </c>
      <c r="L870" s="148">
        <f>365.88*3</f>
        <v>1097.6399999999999</v>
      </c>
      <c r="M870" s="9">
        <f t="shared" si="78"/>
        <v>176.85000000000014</v>
      </c>
      <c r="P870" s="24">
        <f t="shared" si="79"/>
        <v>0.16111839947523787</v>
      </c>
    </row>
    <row r="871" spans="1:16">
      <c r="A871">
        <v>16</v>
      </c>
      <c r="B871" t="s">
        <v>1935</v>
      </c>
      <c r="D871" s="219">
        <v>5935015740494</v>
      </c>
      <c r="E871">
        <v>14</v>
      </c>
      <c r="F871" t="s">
        <v>1936</v>
      </c>
      <c r="G871" s="6">
        <v>43502</v>
      </c>
      <c r="I871" t="s">
        <v>1937</v>
      </c>
      <c r="K871" s="1">
        <v>1604.82</v>
      </c>
      <c r="L871" s="1">
        <v>1540</v>
      </c>
      <c r="M871" s="9">
        <f t="shared" si="78"/>
        <v>64.819999999999936</v>
      </c>
      <c r="P871" s="24">
        <f t="shared" si="79"/>
        <v>4.2090909090908957E-2</v>
      </c>
    </row>
    <row r="872" spans="1:16">
      <c r="A872">
        <v>17</v>
      </c>
      <c r="B872" t="s">
        <v>1938</v>
      </c>
      <c r="D872" s="219">
        <v>5935016157811</v>
      </c>
      <c r="E872">
        <v>65</v>
      </c>
      <c r="F872" s="90" t="s">
        <v>1939</v>
      </c>
      <c r="G872" s="6">
        <v>43502</v>
      </c>
      <c r="I872" t="s">
        <v>1776</v>
      </c>
      <c r="K872" s="1">
        <v>3290.3</v>
      </c>
      <c r="L872" s="1">
        <f>42.28*65</f>
        <v>2748.2000000000003</v>
      </c>
      <c r="M872" s="9">
        <f t="shared" si="78"/>
        <v>542.09999999999991</v>
      </c>
      <c r="P872" s="24">
        <f t="shared" si="79"/>
        <v>0.1972563859981078</v>
      </c>
    </row>
    <row r="873" spans="1:16">
      <c r="A873">
        <v>18</v>
      </c>
      <c r="B873" t="s">
        <v>1940</v>
      </c>
      <c r="E873">
        <v>17</v>
      </c>
      <c r="F873" t="s">
        <v>135</v>
      </c>
      <c r="G873" s="6">
        <v>43502</v>
      </c>
      <c r="K873" s="1">
        <v>2106.4699999999998</v>
      </c>
      <c r="L873" s="1">
        <f>128*17</f>
        <v>2176</v>
      </c>
      <c r="M873" s="9">
        <f t="shared" si="78"/>
        <v>-69.5300000000002</v>
      </c>
      <c r="P873" s="24">
        <f t="shared" si="79"/>
        <v>-3.1953125000000138E-2</v>
      </c>
    </row>
    <row r="874" spans="1:16">
      <c r="A874">
        <v>19</v>
      </c>
      <c r="B874" t="s">
        <v>1941</v>
      </c>
      <c r="E874">
        <v>9</v>
      </c>
      <c r="F874" t="s">
        <v>135</v>
      </c>
      <c r="G874" s="6">
        <v>43503</v>
      </c>
      <c r="K874" s="1">
        <v>2451.6</v>
      </c>
      <c r="L874" s="148">
        <f>243.87*10</f>
        <v>2438.6999999999998</v>
      </c>
      <c r="M874" s="9">
        <f t="shared" si="78"/>
        <v>12.900000000000091</v>
      </c>
      <c r="P874" s="24">
        <f t="shared" si="79"/>
        <v>5.2897035305696782E-3</v>
      </c>
    </row>
    <row r="875" spans="1:16">
      <c r="A875">
        <v>20</v>
      </c>
      <c r="B875" t="s">
        <v>1942</v>
      </c>
      <c r="E875">
        <v>10</v>
      </c>
      <c r="F875" t="s">
        <v>135</v>
      </c>
      <c r="G875" s="6">
        <v>43503</v>
      </c>
      <c r="K875" s="1">
        <v>693.9</v>
      </c>
      <c r="L875" s="1">
        <f>72.24*10</f>
        <v>722.4</v>
      </c>
      <c r="M875" s="9">
        <f t="shared" si="78"/>
        <v>-28.5</v>
      </c>
      <c r="P875" s="24">
        <f t="shared" si="79"/>
        <v>-3.9451827242524939E-2</v>
      </c>
    </row>
    <row r="876" spans="1:16">
      <c r="A876">
        <v>21</v>
      </c>
      <c r="B876" t="s">
        <v>1943</v>
      </c>
      <c r="E876">
        <v>8</v>
      </c>
      <c r="F876" t="s">
        <v>606</v>
      </c>
      <c r="G876" s="6">
        <v>43503</v>
      </c>
      <c r="I876" t="s">
        <v>1944</v>
      </c>
      <c r="K876" s="1">
        <v>1491.04</v>
      </c>
      <c r="L876" s="1">
        <v>1442.74</v>
      </c>
      <c r="M876" s="9">
        <f t="shared" si="78"/>
        <v>48.299999999999955</v>
      </c>
      <c r="P876" s="24">
        <f t="shared" si="79"/>
        <v>3.3477965537796139E-2</v>
      </c>
    </row>
    <row r="877" spans="1:16">
      <c r="A877">
        <v>22</v>
      </c>
      <c r="B877" t="s">
        <v>1945</v>
      </c>
      <c r="E877">
        <v>49</v>
      </c>
      <c r="F877" t="s">
        <v>1946</v>
      </c>
      <c r="G877" s="6">
        <v>43503</v>
      </c>
      <c r="I877" t="s">
        <v>1947</v>
      </c>
      <c r="K877" s="1">
        <v>7565.11</v>
      </c>
      <c r="L877" s="1">
        <v>6795.77</v>
      </c>
      <c r="M877" s="9">
        <f t="shared" si="78"/>
        <v>769.33999999999924</v>
      </c>
      <c r="P877" s="24">
        <f t="shared" si="79"/>
        <v>0.11320865773856381</v>
      </c>
    </row>
    <row r="878" spans="1:16">
      <c r="A878">
        <v>23</v>
      </c>
      <c r="B878" t="s">
        <v>1948</v>
      </c>
      <c r="E878">
        <v>4</v>
      </c>
      <c r="F878" t="s">
        <v>129</v>
      </c>
      <c r="G878" s="6">
        <v>43503</v>
      </c>
      <c r="I878" t="s">
        <v>1949</v>
      </c>
      <c r="K878" s="1">
        <v>2987.92</v>
      </c>
      <c r="L878" s="1">
        <f>720*4</f>
        <v>2880</v>
      </c>
      <c r="M878" s="9">
        <f t="shared" si="78"/>
        <v>107.92000000000007</v>
      </c>
      <c r="O878" s="1"/>
      <c r="P878" s="24">
        <f t="shared" si="79"/>
        <v>3.7472222222222351E-2</v>
      </c>
    </row>
    <row r="879" spans="1:16">
      <c r="A879">
        <v>24</v>
      </c>
      <c r="B879" t="s">
        <v>1950</v>
      </c>
      <c r="D879" s="219">
        <v>5930011262867</v>
      </c>
      <c r="E879">
        <v>21</v>
      </c>
      <c r="F879" s="90" t="s">
        <v>1951</v>
      </c>
      <c r="G879" s="6">
        <v>43504</v>
      </c>
      <c r="H879" s="6">
        <v>43664</v>
      </c>
      <c r="I879" t="s">
        <v>1952</v>
      </c>
      <c r="K879" s="1">
        <v>8106</v>
      </c>
      <c r="L879" s="1">
        <v>8209</v>
      </c>
      <c r="M879" s="9">
        <f t="shared" si="78"/>
        <v>-103</v>
      </c>
      <c r="P879" s="24">
        <f t="shared" si="79"/>
        <v>-1.2547204287976621E-2</v>
      </c>
    </row>
    <row r="880" spans="1:16">
      <c r="A880">
        <v>25</v>
      </c>
      <c r="B880" t="s">
        <v>1953</v>
      </c>
      <c r="D880" s="219">
        <v>5975015966883</v>
      </c>
      <c r="E880">
        <v>102</v>
      </c>
      <c r="F880" t="s">
        <v>135</v>
      </c>
      <c r="G880" s="6">
        <v>43507</v>
      </c>
      <c r="H880" t="s">
        <v>1954</v>
      </c>
      <c r="K880" s="164">
        <v>5289.72</v>
      </c>
      <c r="L880" s="148">
        <f>50.71*102</f>
        <v>5172.42</v>
      </c>
      <c r="M880" s="9">
        <f t="shared" si="78"/>
        <v>117.30000000000018</v>
      </c>
      <c r="P880" s="24">
        <f t="shared" si="79"/>
        <v>2.2677972786432798E-2</v>
      </c>
    </row>
    <row r="881" spans="1:16">
      <c r="A881">
        <v>26</v>
      </c>
      <c r="B881" t="s">
        <v>1955</v>
      </c>
      <c r="D881" s="219">
        <v>6150014934376</v>
      </c>
      <c r="E881">
        <v>1</v>
      </c>
      <c r="F881" t="s">
        <v>129</v>
      </c>
      <c r="G881" s="6">
        <v>43507</v>
      </c>
      <c r="H881" t="s">
        <v>1956</v>
      </c>
      <c r="I881" t="s">
        <v>1957</v>
      </c>
      <c r="K881" s="164">
        <v>1283</v>
      </c>
      <c r="L881" s="1">
        <v>1224</v>
      </c>
      <c r="M881" s="9">
        <f t="shared" si="78"/>
        <v>59</v>
      </c>
      <c r="P881" s="24">
        <f t="shared" si="79"/>
        <v>4.8202614379085018E-2</v>
      </c>
    </row>
    <row r="882" spans="1:16">
      <c r="A882">
        <v>27</v>
      </c>
      <c r="B882" t="s">
        <v>1958</v>
      </c>
      <c r="D882" s="219">
        <v>6150992596415</v>
      </c>
      <c r="E882">
        <v>16</v>
      </c>
      <c r="F882" t="s">
        <v>606</v>
      </c>
      <c r="G882" s="6">
        <v>43507</v>
      </c>
      <c r="H882" t="s">
        <v>1954</v>
      </c>
      <c r="I882" t="s">
        <v>1959</v>
      </c>
      <c r="K882" s="164">
        <v>5017.6000000000004</v>
      </c>
      <c r="L882" s="1">
        <f>4930.24+12.88</f>
        <v>4943.12</v>
      </c>
      <c r="M882" s="9">
        <f t="shared" si="78"/>
        <v>74.480000000000473</v>
      </c>
      <c r="P882" s="24">
        <f t="shared" si="79"/>
        <v>1.5067406819984308E-2</v>
      </c>
    </row>
    <row r="883" spans="1:16">
      <c r="A883">
        <v>28</v>
      </c>
      <c r="B883" t="s">
        <v>1960</v>
      </c>
      <c r="D883" s="219">
        <v>5996014740545</v>
      </c>
      <c r="E883">
        <v>14</v>
      </c>
      <c r="F883" t="s">
        <v>1961</v>
      </c>
      <c r="G883" s="6">
        <v>43507</v>
      </c>
      <c r="H883" t="s">
        <v>1956</v>
      </c>
      <c r="K883" s="164">
        <v>1707.44</v>
      </c>
      <c r="L883" s="148">
        <v>1640</v>
      </c>
      <c r="M883" s="9">
        <f t="shared" si="78"/>
        <v>67.440000000000055</v>
      </c>
      <c r="P883" s="24">
        <f t="shared" si="79"/>
        <v>4.1121951219512232E-2</v>
      </c>
    </row>
    <row r="884" spans="1:16">
      <c r="A884">
        <v>29</v>
      </c>
      <c r="B884" t="s">
        <v>1962</v>
      </c>
      <c r="D884" s="219">
        <v>5930011265326</v>
      </c>
      <c r="E884">
        <v>23</v>
      </c>
      <c r="F884" t="s">
        <v>1141</v>
      </c>
      <c r="G884" s="6">
        <v>43507</v>
      </c>
      <c r="H884" t="s">
        <v>1954</v>
      </c>
      <c r="I884" t="s">
        <v>1963</v>
      </c>
      <c r="K884" s="164">
        <v>9790.8700000000008</v>
      </c>
      <c r="L884" s="1">
        <v>9382</v>
      </c>
      <c r="M884" s="9">
        <f t="shared" si="78"/>
        <v>408.8700000000008</v>
      </c>
      <c r="P884" s="24">
        <f t="shared" si="79"/>
        <v>4.3580260072479282E-2</v>
      </c>
    </row>
    <row r="885" spans="1:16">
      <c r="A885">
        <v>30</v>
      </c>
      <c r="B885" t="s">
        <v>1964</v>
      </c>
      <c r="D885" s="219">
        <v>5935013670500</v>
      </c>
      <c r="E885">
        <v>8</v>
      </c>
      <c r="F885" t="s">
        <v>508</v>
      </c>
      <c r="G885" s="6">
        <v>43507</v>
      </c>
      <c r="H885" t="s">
        <v>1965</v>
      </c>
      <c r="I885" t="s">
        <v>1966</v>
      </c>
      <c r="K885" s="164">
        <v>3421.52</v>
      </c>
      <c r="L885" s="1">
        <v>3341.7</v>
      </c>
      <c r="M885" s="9">
        <f t="shared" si="78"/>
        <v>79.820000000000164</v>
      </c>
      <c r="P885" s="24">
        <f t="shared" si="79"/>
        <v>2.3886046024478524E-2</v>
      </c>
    </row>
    <row r="886" spans="1:16">
      <c r="A886">
        <v>31</v>
      </c>
      <c r="B886" t="s">
        <v>1967</v>
      </c>
      <c r="D886" s="219">
        <v>5315016292965</v>
      </c>
      <c r="E886">
        <v>67</v>
      </c>
      <c r="F886" t="s">
        <v>954</v>
      </c>
      <c r="G886" s="6">
        <v>43507</v>
      </c>
      <c r="H886" t="s">
        <v>1965</v>
      </c>
      <c r="I886" t="s">
        <v>1968</v>
      </c>
      <c r="K886" s="164">
        <v>2369.79</v>
      </c>
      <c r="L886" s="1">
        <v>2452</v>
      </c>
      <c r="M886" s="9">
        <f t="shared" si="78"/>
        <v>-82.210000000000036</v>
      </c>
      <c r="P886" s="24">
        <f t="shared" si="79"/>
        <v>-3.3527732463295323E-2</v>
      </c>
    </row>
    <row r="887" spans="1:16">
      <c r="A887">
        <v>32</v>
      </c>
      <c r="B887" t="s">
        <v>1969</v>
      </c>
      <c r="D887" s="219">
        <v>6625014372464</v>
      </c>
      <c r="E887">
        <v>1</v>
      </c>
      <c r="F887" t="s">
        <v>315</v>
      </c>
      <c r="G887" s="6">
        <v>43507</v>
      </c>
      <c r="H887" t="s">
        <v>1965</v>
      </c>
      <c r="I887" t="s">
        <v>1970</v>
      </c>
      <c r="K887" s="9">
        <v>845.47</v>
      </c>
      <c r="L887" s="1">
        <v>822</v>
      </c>
      <c r="M887" s="9">
        <f t="shared" si="78"/>
        <v>23.470000000000027</v>
      </c>
      <c r="P887" s="24">
        <f t="shared" si="79"/>
        <v>2.8552311435523059E-2</v>
      </c>
    </row>
    <row r="888" spans="1:16">
      <c r="A888">
        <v>33</v>
      </c>
      <c r="B888" t="s">
        <v>1971</v>
      </c>
      <c r="D888" s="219">
        <v>5935011013539</v>
      </c>
      <c r="E888">
        <v>16</v>
      </c>
      <c r="F888" t="s">
        <v>135</v>
      </c>
      <c r="G888" s="6">
        <v>43509</v>
      </c>
      <c r="H888" t="s">
        <v>1972</v>
      </c>
      <c r="K888" s="9">
        <v>4782.24</v>
      </c>
      <c r="L888" s="148">
        <f>308*16</f>
        <v>4928</v>
      </c>
      <c r="M888" s="9">
        <f t="shared" ref="M888:M911" si="80">K888-L888</f>
        <v>-145.76000000000022</v>
      </c>
      <c r="P888" s="24">
        <f t="shared" ref="P888:P911" si="81">(K888/L888)-1</f>
        <v>-2.9577922077922092E-2</v>
      </c>
    </row>
    <row r="889" spans="1:16">
      <c r="A889">
        <v>34</v>
      </c>
      <c r="B889" t="s">
        <v>1973</v>
      </c>
      <c r="D889" s="219">
        <v>5935016151707</v>
      </c>
      <c r="E889">
        <v>3</v>
      </c>
      <c r="F889" t="s">
        <v>135</v>
      </c>
      <c r="G889" s="6">
        <v>43509</v>
      </c>
      <c r="H889" t="s">
        <v>1972</v>
      </c>
      <c r="K889" s="9">
        <v>1259.3399999999999</v>
      </c>
      <c r="L889" s="148">
        <f>365.88*3</f>
        <v>1097.6399999999999</v>
      </c>
      <c r="M889" s="9">
        <f t="shared" si="80"/>
        <v>161.70000000000005</v>
      </c>
      <c r="P889" s="24">
        <f t="shared" si="81"/>
        <v>0.14731605991035313</v>
      </c>
    </row>
    <row r="890" spans="1:16">
      <c r="A890">
        <v>35</v>
      </c>
      <c r="B890" t="s">
        <v>1974</v>
      </c>
      <c r="D890" s="219">
        <v>6150015770553</v>
      </c>
      <c r="E890">
        <v>65</v>
      </c>
      <c r="F890" t="s">
        <v>1975</v>
      </c>
      <c r="G890" s="6">
        <v>43509</v>
      </c>
      <c r="H890" t="s">
        <v>1976</v>
      </c>
      <c r="I890" t="s">
        <v>1977</v>
      </c>
      <c r="K890" s="9">
        <v>6228.95</v>
      </c>
      <c r="L890" s="1">
        <v>6175</v>
      </c>
      <c r="M890" s="9">
        <f t="shared" si="80"/>
        <v>53.949999999999818</v>
      </c>
      <c r="P890" s="24">
        <f t="shared" si="81"/>
        <v>8.736842105263154E-3</v>
      </c>
    </row>
    <row r="891" spans="1:16">
      <c r="A891">
        <v>36</v>
      </c>
      <c r="B891" t="s">
        <v>1978</v>
      </c>
      <c r="D891" s="219">
        <v>6625014372465</v>
      </c>
      <c r="E891">
        <v>3</v>
      </c>
      <c r="F891" t="s">
        <v>1037</v>
      </c>
      <c r="G891" s="6">
        <v>43509</v>
      </c>
      <c r="H891" t="s">
        <v>1979</v>
      </c>
      <c r="I891" t="s">
        <v>1980</v>
      </c>
      <c r="K891" s="9">
        <v>22593.33</v>
      </c>
      <c r="L891" s="1">
        <v>22578.63</v>
      </c>
      <c r="M891" s="9">
        <f t="shared" si="80"/>
        <v>14.700000000000728</v>
      </c>
      <c r="P891" s="24">
        <f t="shared" si="81"/>
        <v>6.5105810228516248E-4</v>
      </c>
    </row>
    <row r="892" spans="1:16">
      <c r="A892">
        <v>37</v>
      </c>
      <c r="B892" t="s">
        <v>1981</v>
      </c>
      <c r="D892" s="219">
        <v>4810014355671</v>
      </c>
      <c r="E892">
        <v>5</v>
      </c>
      <c r="F892" t="s">
        <v>1037</v>
      </c>
      <c r="G892" s="6">
        <v>43509</v>
      </c>
      <c r="H892" t="s">
        <v>1972</v>
      </c>
      <c r="I892" t="s">
        <v>1982</v>
      </c>
      <c r="K892" s="9">
        <v>4557.3500000000004</v>
      </c>
      <c r="L892" s="1">
        <v>4525</v>
      </c>
      <c r="M892" s="9">
        <f t="shared" si="80"/>
        <v>32.350000000000364</v>
      </c>
      <c r="P892" s="24">
        <f t="shared" si="81"/>
        <v>7.1491712707183463E-3</v>
      </c>
    </row>
    <row r="893" spans="1:16">
      <c r="A893">
        <v>38</v>
      </c>
      <c r="B893" t="s">
        <v>1983</v>
      </c>
      <c r="D893" s="219">
        <v>5935012542181</v>
      </c>
      <c r="E893">
        <v>17</v>
      </c>
      <c r="F893" t="s">
        <v>135</v>
      </c>
      <c r="G893" s="6">
        <v>43509</v>
      </c>
      <c r="H893" t="s">
        <v>1972</v>
      </c>
      <c r="K893" s="9">
        <v>2752.98</v>
      </c>
      <c r="L893" s="148">
        <f>167.15*17</f>
        <v>2841.55</v>
      </c>
      <c r="M893" s="9">
        <f t="shared" si="80"/>
        <v>-88.570000000000164</v>
      </c>
      <c r="P893" s="24">
        <f t="shared" si="81"/>
        <v>-3.1169608136404459E-2</v>
      </c>
    </row>
    <row r="894" spans="1:16">
      <c r="A894">
        <v>39</v>
      </c>
      <c r="B894" t="s">
        <v>1984</v>
      </c>
      <c r="D894" s="219">
        <v>5935007397495</v>
      </c>
      <c r="E894">
        <v>45</v>
      </c>
      <c r="F894" s="90" t="s">
        <v>1985</v>
      </c>
      <c r="G894" s="6">
        <v>43510</v>
      </c>
      <c r="H894" t="s">
        <v>1986</v>
      </c>
      <c r="I894" t="s">
        <v>1987</v>
      </c>
      <c r="K894" s="9">
        <v>15746.85</v>
      </c>
      <c r="L894" s="1">
        <v>15689</v>
      </c>
      <c r="M894" s="9">
        <f t="shared" si="80"/>
        <v>57.850000000000364</v>
      </c>
      <c r="P894" s="24">
        <f t="shared" si="81"/>
        <v>3.6872968321755017E-3</v>
      </c>
    </row>
    <row r="895" spans="1:16">
      <c r="A895">
        <v>40</v>
      </c>
      <c r="B895" t="s">
        <v>1988</v>
      </c>
      <c r="D895" s="219">
        <v>6150013389520</v>
      </c>
      <c r="E895">
        <v>21</v>
      </c>
      <c r="F895" t="s">
        <v>129</v>
      </c>
      <c r="G895" s="6">
        <v>43515</v>
      </c>
      <c r="H895" t="s">
        <v>1989</v>
      </c>
      <c r="I895" t="s">
        <v>1990</v>
      </c>
      <c r="K895" s="9">
        <v>9639</v>
      </c>
      <c r="L895" s="1">
        <v>9345</v>
      </c>
      <c r="M895" s="9">
        <f t="shared" si="80"/>
        <v>294</v>
      </c>
      <c r="P895" s="24">
        <f t="shared" si="81"/>
        <v>3.1460674157303359E-2</v>
      </c>
    </row>
    <row r="896" spans="1:16">
      <c r="A896">
        <v>41</v>
      </c>
      <c r="B896" t="s">
        <v>1991</v>
      </c>
      <c r="D896" s="219">
        <v>5998015867425</v>
      </c>
      <c r="E896">
        <v>7</v>
      </c>
      <c r="F896" t="s">
        <v>1019</v>
      </c>
      <c r="G896" s="6">
        <v>43515</v>
      </c>
      <c r="H896" t="s">
        <v>1989</v>
      </c>
      <c r="I896" t="s">
        <v>1992</v>
      </c>
      <c r="K896" s="9">
        <v>5418.77</v>
      </c>
      <c r="L896" s="148">
        <v>5334</v>
      </c>
      <c r="M896" s="9">
        <f t="shared" si="80"/>
        <v>84.770000000000437</v>
      </c>
      <c r="P896" s="24">
        <f t="shared" si="81"/>
        <v>1.5892388451443695E-2</v>
      </c>
    </row>
    <row r="897" spans="1:16">
      <c r="A897">
        <v>42</v>
      </c>
      <c r="B897" t="s">
        <v>1993</v>
      </c>
      <c r="D897" s="219">
        <v>5935009021149</v>
      </c>
      <c r="E897">
        <v>22</v>
      </c>
      <c r="F897" t="s">
        <v>508</v>
      </c>
      <c r="G897" s="6">
        <v>43515</v>
      </c>
      <c r="H897" t="s">
        <v>1994</v>
      </c>
      <c r="I897" t="s">
        <v>1990</v>
      </c>
      <c r="K897" s="9">
        <v>19404</v>
      </c>
      <c r="L897" s="1">
        <v>19230.5</v>
      </c>
      <c r="M897" s="9">
        <f t="shared" si="80"/>
        <v>173.5</v>
      </c>
      <c r="P897" s="24">
        <f t="shared" si="81"/>
        <v>9.0221263097682858E-3</v>
      </c>
    </row>
    <row r="898" spans="1:16">
      <c r="A898">
        <v>54</v>
      </c>
      <c r="B898" t="s">
        <v>1995</v>
      </c>
      <c r="D898" s="219">
        <v>4720015203957</v>
      </c>
      <c r="E898">
        <v>14</v>
      </c>
      <c r="F898" t="s">
        <v>606</v>
      </c>
      <c r="G898" s="6">
        <v>43515</v>
      </c>
      <c r="H898" t="s">
        <v>1989</v>
      </c>
      <c r="I898" t="s">
        <v>1996</v>
      </c>
      <c r="K898" s="9">
        <v>1678.32</v>
      </c>
      <c r="L898" s="1">
        <f>1638.7+27.16</f>
        <v>1665.8600000000001</v>
      </c>
      <c r="M898" s="9">
        <f t="shared" si="80"/>
        <v>12.459999999999809</v>
      </c>
      <c r="P898" s="24">
        <f t="shared" si="81"/>
        <v>7.4796201361457815E-3</v>
      </c>
    </row>
    <row r="899" spans="1:16">
      <c r="A899">
        <v>55</v>
      </c>
      <c r="B899" t="s">
        <v>1997</v>
      </c>
      <c r="D899" s="219">
        <v>4730016712628</v>
      </c>
      <c r="E899">
        <v>4</v>
      </c>
      <c r="F899" t="s">
        <v>1679</v>
      </c>
      <c r="G899" s="6">
        <v>43515</v>
      </c>
      <c r="H899" t="s">
        <v>1998</v>
      </c>
      <c r="I899" s="75"/>
      <c r="K899" s="9">
        <v>1051.1199999999999</v>
      </c>
      <c r="L899" s="1">
        <f>144*4</f>
        <v>576</v>
      </c>
      <c r="M899" s="9">
        <f t="shared" si="80"/>
        <v>475.11999999999989</v>
      </c>
      <c r="P899" s="24">
        <f t="shared" si="81"/>
        <v>0.82486111111111082</v>
      </c>
    </row>
    <row r="900" spans="1:16">
      <c r="A900">
        <v>43</v>
      </c>
      <c r="B900" t="s">
        <v>1999</v>
      </c>
      <c r="D900" s="219">
        <v>5315015283667</v>
      </c>
      <c r="E900">
        <v>12</v>
      </c>
      <c r="F900" t="s">
        <v>532</v>
      </c>
      <c r="G900" s="6">
        <v>43516</v>
      </c>
      <c r="H900" t="s">
        <v>2000</v>
      </c>
      <c r="I900" t="s">
        <v>1992</v>
      </c>
      <c r="K900" s="1">
        <v>816</v>
      </c>
      <c r="L900" s="1">
        <v>739.08</v>
      </c>
      <c r="M900" s="9">
        <f t="shared" si="80"/>
        <v>76.919999999999959</v>
      </c>
      <c r="P900" s="24">
        <f t="shared" si="81"/>
        <v>0.10407533690534176</v>
      </c>
    </row>
    <row r="901" spans="1:16">
      <c r="A901">
        <v>44</v>
      </c>
      <c r="B901" t="s">
        <v>2001</v>
      </c>
      <c r="D901" s="219">
        <v>5340013434333</v>
      </c>
      <c r="E901">
        <v>28</v>
      </c>
      <c r="F901" t="s">
        <v>508</v>
      </c>
      <c r="G901" s="6">
        <v>43517</v>
      </c>
      <c r="I901" t="s">
        <v>2002</v>
      </c>
      <c r="K901" s="1">
        <v>812</v>
      </c>
      <c r="L901" s="1">
        <v>582.12</v>
      </c>
      <c r="M901" s="9">
        <f t="shared" si="80"/>
        <v>229.88</v>
      </c>
      <c r="P901" s="24">
        <f t="shared" si="81"/>
        <v>0.39490139490139486</v>
      </c>
    </row>
    <row r="902" spans="1:16">
      <c r="A902">
        <v>45</v>
      </c>
      <c r="B902" t="s">
        <v>2003</v>
      </c>
      <c r="D902" s="219">
        <v>5935010409312</v>
      </c>
      <c r="E902">
        <v>179</v>
      </c>
      <c r="F902" t="s">
        <v>135</v>
      </c>
      <c r="G902" s="6">
        <v>43517</v>
      </c>
      <c r="H902" t="s">
        <v>1965</v>
      </c>
      <c r="K902" s="1">
        <v>3420.69</v>
      </c>
      <c r="L902" s="1">
        <f>19.12*179</f>
        <v>3422.48</v>
      </c>
      <c r="M902" s="9">
        <f t="shared" si="80"/>
        <v>-1.7899999999999636</v>
      </c>
      <c r="P902" s="24">
        <f t="shared" si="81"/>
        <v>-5.2301255230124966E-4</v>
      </c>
    </row>
    <row r="903" spans="1:16">
      <c r="A903">
        <v>46</v>
      </c>
      <c r="B903" t="s">
        <v>2004</v>
      </c>
      <c r="D903" s="219">
        <v>5935013887039</v>
      </c>
      <c r="E903">
        <v>80</v>
      </c>
      <c r="F903" s="90" t="s">
        <v>2005</v>
      </c>
      <c r="G903" s="6">
        <v>43517</v>
      </c>
      <c r="H903" t="s">
        <v>1965</v>
      </c>
      <c r="I903" t="s">
        <v>2006</v>
      </c>
      <c r="K903" s="1">
        <v>1166.4000000000001</v>
      </c>
      <c r="L903" s="1">
        <v>1100</v>
      </c>
      <c r="M903" s="9">
        <f t="shared" si="80"/>
        <v>66.400000000000091</v>
      </c>
      <c r="P903" s="24">
        <f t="shared" si="81"/>
        <v>6.0363636363636397E-2</v>
      </c>
    </row>
    <row r="904" spans="1:16">
      <c r="A904">
        <v>47</v>
      </c>
      <c r="B904" t="s">
        <v>2007</v>
      </c>
      <c r="D904" s="219">
        <v>6150016462925</v>
      </c>
      <c r="E904">
        <v>26</v>
      </c>
      <c r="F904" t="s">
        <v>606</v>
      </c>
      <c r="G904" s="6">
        <v>43517</v>
      </c>
      <c r="H904" t="s">
        <v>1965</v>
      </c>
      <c r="I904" t="s">
        <v>2008</v>
      </c>
      <c r="K904" s="1">
        <v>4676.3599999999997</v>
      </c>
      <c r="L904" s="1">
        <v>4514.12</v>
      </c>
      <c r="M904" s="9">
        <f t="shared" si="80"/>
        <v>162.23999999999978</v>
      </c>
      <c r="P904" s="24">
        <f t="shared" si="81"/>
        <v>3.5940559843335995E-2</v>
      </c>
    </row>
    <row r="905" spans="1:16">
      <c r="A905">
        <v>48</v>
      </c>
      <c r="B905" t="s">
        <v>2009</v>
      </c>
      <c r="D905" s="219">
        <v>5365012662598</v>
      </c>
      <c r="E905">
        <v>8</v>
      </c>
      <c r="F905" t="s">
        <v>399</v>
      </c>
      <c r="G905" s="6">
        <v>43518</v>
      </c>
      <c r="H905" t="s">
        <v>2010</v>
      </c>
      <c r="I905" t="s">
        <v>2011</v>
      </c>
      <c r="K905" s="1">
        <v>5788.88</v>
      </c>
      <c r="L905" s="1">
        <v>5632</v>
      </c>
      <c r="M905" s="9">
        <f t="shared" si="80"/>
        <v>156.88000000000011</v>
      </c>
      <c r="P905" s="24">
        <f t="shared" si="81"/>
        <v>2.7855113636363615E-2</v>
      </c>
    </row>
    <row r="906" spans="1:16">
      <c r="A906">
        <v>49</v>
      </c>
      <c r="B906" t="s">
        <v>2012</v>
      </c>
      <c r="D906" s="219">
        <v>6680013326771</v>
      </c>
      <c r="E906">
        <v>1</v>
      </c>
      <c r="F906" t="s">
        <v>129</v>
      </c>
      <c r="G906" s="6">
        <v>43522</v>
      </c>
      <c r="H906" t="s">
        <v>2013</v>
      </c>
      <c r="I906" t="s">
        <v>2014</v>
      </c>
      <c r="K906" s="1">
        <v>3359</v>
      </c>
      <c r="L906" s="1">
        <v>3264</v>
      </c>
      <c r="M906" s="9">
        <f t="shared" si="80"/>
        <v>95</v>
      </c>
      <c r="P906" s="24">
        <f t="shared" si="81"/>
        <v>2.9105392156862697E-2</v>
      </c>
    </row>
    <row r="907" spans="1:16">
      <c r="A907">
        <v>50</v>
      </c>
      <c r="B907" t="s">
        <v>2015</v>
      </c>
      <c r="D907" s="219">
        <v>2990015998433</v>
      </c>
      <c r="E907">
        <v>30</v>
      </c>
      <c r="F907" t="s">
        <v>236</v>
      </c>
      <c r="G907" s="6">
        <v>43522</v>
      </c>
      <c r="H907" t="s">
        <v>2016</v>
      </c>
      <c r="I907" t="s">
        <v>2017</v>
      </c>
      <c r="K907" s="1">
        <v>7908.6</v>
      </c>
      <c r="L907" s="1">
        <v>7735.5</v>
      </c>
      <c r="M907" s="9">
        <f t="shared" si="80"/>
        <v>173.10000000000036</v>
      </c>
      <c r="P907" s="24">
        <f t="shared" si="81"/>
        <v>2.2377351173162641E-2</v>
      </c>
    </row>
    <row r="908" spans="1:16">
      <c r="A908">
        <v>51</v>
      </c>
      <c r="B908" t="s">
        <v>2018</v>
      </c>
      <c r="D908" s="219">
        <v>6060013975012</v>
      </c>
      <c r="E908">
        <v>10</v>
      </c>
      <c r="F908" t="s">
        <v>508</v>
      </c>
      <c r="G908" s="6">
        <v>43522</v>
      </c>
      <c r="H908" t="s">
        <v>2019</v>
      </c>
      <c r="I908" t="s">
        <v>2020</v>
      </c>
      <c r="K908" s="1">
        <v>2380</v>
      </c>
      <c r="L908" s="1">
        <v>2112</v>
      </c>
      <c r="M908" s="9">
        <f t="shared" si="80"/>
        <v>268</v>
      </c>
      <c r="P908" s="24">
        <f t="shared" si="81"/>
        <v>0.12689393939393945</v>
      </c>
    </row>
    <row r="909" spans="1:16">
      <c r="A909">
        <v>52</v>
      </c>
      <c r="B909" s="222" t="s">
        <v>2021</v>
      </c>
      <c r="D909" s="219">
        <v>5330016570106</v>
      </c>
      <c r="E909">
        <v>8</v>
      </c>
      <c r="F909" t="s">
        <v>814</v>
      </c>
      <c r="G909" s="6">
        <v>43522</v>
      </c>
      <c r="H909" t="s">
        <v>2022</v>
      </c>
      <c r="I909" t="s">
        <v>2023</v>
      </c>
      <c r="K909" s="1">
        <v>3429.44</v>
      </c>
      <c r="L909" s="1">
        <v>3231.76</v>
      </c>
      <c r="M909" s="9">
        <f t="shared" si="80"/>
        <v>197.67999999999984</v>
      </c>
      <c r="P909" s="24">
        <f t="shared" si="81"/>
        <v>6.1167908508057423E-2</v>
      </c>
    </row>
    <row r="910" spans="1:16">
      <c r="A910">
        <v>53</v>
      </c>
      <c r="B910" t="s">
        <v>2024</v>
      </c>
      <c r="D910" s="219">
        <v>5915013371045</v>
      </c>
      <c r="E910">
        <v>39</v>
      </c>
      <c r="F910" t="s">
        <v>508</v>
      </c>
      <c r="G910" s="6">
        <v>43524</v>
      </c>
      <c r="H910" t="s">
        <v>2025</v>
      </c>
      <c r="K910" s="1">
        <v>35870.639999999999</v>
      </c>
      <c r="L910" s="9">
        <v>35870.639999999999</v>
      </c>
      <c r="M910" s="9">
        <f t="shared" si="80"/>
        <v>0</v>
      </c>
      <c r="P910" s="24">
        <f t="shared" si="81"/>
        <v>0</v>
      </c>
    </row>
    <row r="911" spans="1:16">
      <c r="K911" s="1">
        <f>SUM(K856:K910)</f>
        <v>277374.01</v>
      </c>
      <c r="L911" s="11">
        <f>SUM(L856:L910)</f>
        <v>271196.09999999998</v>
      </c>
      <c r="M911" s="9">
        <f t="shared" si="80"/>
        <v>6177.9100000000326</v>
      </c>
      <c r="P911" s="24">
        <f t="shared" si="81"/>
        <v>2.2780231721621469E-2</v>
      </c>
    </row>
    <row r="912" spans="1:16" ht="18.75" customHeight="1">
      <c r="B912" s="210">
        <v>43525</v>
      </c>
      <c r="M912" s="9"/>
    </row>
    <row r="913" spans="1:13">
      <c r="A913">
        <v>1</v>
      </c>
      <c r="B913" t="s">
        <v>2026</v>
      </c>
      <c r="D913" s="219">
        <v>2910016167460</v>
      </c>
      <c r="E913">
        <v>37</v>
      </c>
      <c r="F913" t="s">
        <v>236</v>
      </c>
      <c r="G913" s="6">
        <v>43528</v>
      </c>
      <c r="H913" t="s">
        <v>2027</v>
      </c>
      <c r="I913" t="s">
        <v>2028</v>
      </c>
      <c r="K913" s="9">
        <v>15034.58</v>
      </c>
      <c r="L913" s="11">
        <v>14717.86</v>
      </c>
      <c r="M913" s="9">
        <f t="shared" ref="M913:M948" si="82">K913-L913</f>
        <v>316.71999999999935</v>
      </c>
    </row>
    <row r="914" spans="1:13">
      <c r="A914">
        <v>2</v>
      </c>
      <c r="B914" t="s">
        <v>2029</v>
      </c>
      <c r="D914" s="219">
        <v>2590998645191</v>
      </c>
      <c r="E914">
        <v>1</v>
      </c>
      <c r="F914" t="s">
        <v>606</v>
      </c>
      <c r="G914" s="6">
        <v>43528</v>
      </c>
      <c r="H914" t="s">
        <v>2030</v>
      </c>
      <c r="I914" t="s">
        <v>2031</v>
      </c>
      <c r="K914" s="9">
        <v>4223</v>
      </c>
      <c r="L914" s="11">
        <v>4136.41</v>
      </c>
      <c r="M914" s="9">
        <f t="shared" si="82"/>
        <v>86.590000000000146</v>
      </c>
    </row>
    <row r="915" spans="1:13">
      <c r="A915">
        <v>3</v>
      </c>
      <c r="B915" t="s">
        <v>2032</v>
      </c>
      <c r="D915" s="219">
        <v>5930015713526</v>
      </c>
      <c r="E915">
        <v>3</v>
      </c>
      <c r="F915" t="s">
        <v>2033</v>
      </c>
      <c r="G915" s="6">
        <v>43529</v>
      </c>
      <c r="H915" t="s">
        <v>2027</v>
      </c>
      <c r="I915" t="s">
        <v>2034</v>
      </c>
      <c r="K915" s="9">
        <v>4775.3100000000004</v>
      </c>
      <c r="L915" s="11">
        <v>4665</v>
      </c>
      <c r="M915" s="9">
        <f t="shared" si="82"/>
        <v>110.3100000000004</v>
      </c>
    </row>
    <row r="916" spans="1:13">
      <c r="A916">
        <v>4</v>
      </c>
      <c r="B916" t="s">
        <v>2035</v>
      </c>
      <c r="D916" s="219">
        <v>5975016689905</v>
      </c>
      <c r="E916">
        <v>1</v>
      </c>
      <c r="F916" t="s">
        <v>135</v>
      </c>
      <c r="G916" s="6">
        <v>43529</v>
      </c>
      <c r="H916" t="s">
        <v>2027</v>
      </c>
      <c r="K916" s="9">
        <v>1496</v>
      </c>
      <c r="M916" s="9">
        <f t="shared" si="82"/>
        <v>1496</v>
      </c>
    </row>
    <row r="917" spans="1:13">
      <c r="A917">
        <v>5</v>
      </c>
      <c r="B917" t="s">
        <v>2036</v>
      </c>
      <c r="D917" s="219">
        <v>4310123620489</v>
      </c>
      <c r="E917">
        <v>1</v>
      </c>
      <c r="F917" t="s">
        <v>809</v>
      </c>
      <c r="G917" s="6">
        <v>43531</v>
      </c>
      <c r="H917" t="s">
        <v>2037</v>
      </c>
      <c r="I917" t="s">
        <v>2038</v>
      </c>
      <c r="K917" s="9">
        <v>968</v>
      </c>
      <c r="L917" s="11">
        <v>947.57</v>
      </c>
      <c r="M917" s="9">
        <f t="shared" si="82"/>
        <v>20.42999999999995</v>
      </c>
    </row>
    <row r="918" spans="1:13">
      <c r="A918">
        <v>6</v>
      </c>
      <c r="B918" t="s">
        <v>2039</v>
      </c>
      <c r="D918" s="219">
        <v>5330010966896</v>
      </c>
      <c r="E918">
        <v>3</v>
      </c>
      <c r="F918" t="s">
        <v>1352</v>
      </c>
      <c r="G918" s="6">
        <v>43531</v>
      </c>
      <c r="H918" t="s">
        <v>2040</v>
      </c>
      <c r="K918" s="9">
        <v>148.11000000000001</v>
      </c>
      <c r="M918" s="9">
        <f t="shared" si="82"/>
        <v>148.11000000000001</v>
      </c>
    </row>
    <row r="919" spans="1:13">
      <c r="A919">
        <v>7</v>
      </c>
      <c r="B919" t="s">
        <v>2041</v>
      </c>
      <c r="D919" s="219">
        <v>6110015294840</v>
      </c>
      <c r="E919">
        <v>7</v>
      </c>
      <c r="F919" t="s">
        <v>1112</v>
      </c>
      <c r="G919" s="6">
        <v>43531</v>
      </c>
      <c r="H919" t="s">
        <v>2037</v>
      </c>
      <c r="I919" t="s">
        <v>2042</v>
      </c>
      <c r="K919" s="9">
        <v>5023.34</v>
      </c>
      <c r="L919" s="1">
        <v>4949</v>
      </c>
      <c r="M919" s="9">
        <f t="shared" si="82"/>
        <v>74.340000000000146</v>
      </c>
    </row>
    <row r="920" spans="1:13">
      <c r="A920">
        <v>8</v>
      </c>
      <c r="B920" t="s">
        <v>2043</v>
      </c>
      <c r="D920" s="219">
        <v>5915014078867</v>
      </c>
      <c r="E920">
        <v>14</v>
      </c>
      <c r="F920" t="s">
        <v>2044</v>
      </c>
      <c r="G920" s="6">
        <v>43531</v>
      </c>
      <c r="H920" t="s">
        <v>2045</v>
      </c>
      <c r="I920" t="s">
        <v>2046</v>
      </c>
      <c r="K920" s="9">
        <v>22086.959999999999</v>
      </c>
      <c r="L920" s="1">
        <v>21700</v>
      </c>
      <c r="M920" s="9">
        <f t="shared" si="82"/>
        <v>386.95999999999913</v>
      </c>
    </row>
    <row r="921" spans="1:13">
      <c r="A921">
        <v>9</v>
      </c>
      <c r="B921" t="s">
        <v>2047</v>
      </c>
      <c r="D921" s="219">
        <v>5360016551461</v>
      </c>
      <c r="E921">
        <v>15</v>
      </c>
      <c r="F921" t="s">
        <v>2048</v>
      </c>
      <c r="G921" s="6">
        <v>43531</v>
      </c>
      <c r="H921" t="s">
        <v>2037</v>
      </c>
      <c r="K921" s="9">
        <v>7047</v>
      </c>
      <c r="M921" s="9">
        <f t="shared" si="82"/>
        <v>7047</v>
      </c>
    </row>
    <row r="922" spans="1:13">
      <c r="A922">
        <v>10</v>
      </c>
      <c r="B922" t="s">
        <v>2049</v>
      </c>
      <c r="D922" s="219">
        <v>5330010966896</v>
      </c>
      <c r="E922">
        <v>1</v>
      </c>
      <c r="F922" t="s">
        <v>1352</v>
      </c>
      <c r="G922" s="6">
        <v>43532</v>
      </c>
      <c r="H922" t="s">
        <v>2050</v>
      </c>
      <c r="K922" s="9">
        <v>59.72</v>
      </c>
      <c r="M922" s="9">
        <f t="shared" si="82"/>
        <v>59.72</v>
      </c>
    </row>
    <row r="923" spans="1:13">
      <c r="A923">
        <v>11</v>
      </c>
      <c r="B923" t="s">
        <v>2051</v>
      </c>
      <c r="D923" s="219">
        <v>5935015842504</v>
      </c>
      <c r="E923">
        <v>18</v>
      </c>
      <c r="F923" t="s">
        <v>135</v>
      </c>
      <c r="G923" s="6">
        <v>43532</v>
      </c>
      <c r="H923" t="s">
        <v>2019</v>
      </c>
      <c r="K923" s="9">
        <v>5623.92</v>
      </c>
      <c r="M923" s="9">
        <f t="shared" si="82"/>
        <v>5623.92</v>
      </c>
    </row>
    <row r="924" spans="1:13">
      <c r="A924">
        <v>12</v>
      </c>
      <c r="B924" t="s">
        <v>2052</v>
      </c>
      <c r="D924" s="219">
        <v>5930015713526</v>
      </c>
      <c r="E924">
        <v>4</v>
      </c>
      <c r="F924" t="s">
        <v>129</v>
      </c>
      <c r="G924" s="6">
        <v>43536</v>
      </c>
      <c r="H924" t="s">
        <v>1994</v>
      </c>
      <c r="I924" t="s">
        <v>2034</v>
      </c>
      <c r="K924" s="9">
        <v>6363.04</v>
      </c>
      <c r="L924" s="1">
        <v>6220</v>
      </c>
      <c r="M924" s="9">
        <f t="shared" si="82"/>
        <v>143.03999999999996</v>
      </c>
    </row>
    <row r="925" spans="1:13">
      <c r="A925">
        <v>13</v>
      </c>
      <c r="B925" t="s">
        <v>2053</v>
      </c>
      <c r="D925" s="219">
        <v>6685011492769</v>
      </c>
      <c r="E925">
        <v>18</v>
      </c>
      <c r="F925" t="s">
        <v>368</v>
      </c>
      <c r="G925" s="6">
        <v>43536</v>
      </c>
      <c r="H925" t="s">
        <v>2054</v>
      </c>
      <c r="I925" t="s">
        <v>2055</v>
      </c>
      <c r="K925" s="9">
        <v>416.16</v>
      </c>
      <c r="L925" s="1">
        <v>360</v>
      </c>
      <c r="M925" s="9">
        <f t="shared" si="82"/>
        <v>56.160000000000025</v>
      </c>
    </row>
    <row r="926" spans="1:13">
      <c r="A926">
        <v>14</v>
      </c>
      <c r="B926" t="s">
        <v>2056</v>
      </c>
      <c r="D926" s="219">
        <v>5935011283778</v>
      </c>
      <c r="E926">
        <v>8</v>
      </c>
      <c r="F926" t="s">
        <v>135</v>
      </c>
      <c r="G926" s="6">
        <v>43537</v>
      </c>
      <c r="H926" t="s">
        <v>2057</v>
      </c>
      <c r="K926" s="9">
        <v>578.72</v>
      </c>
      <c r="M926" s="9">
        <f t="shared" si="82"/>
        <v>578.72</v>
      </c>
    </row>
    <row r="927" spans="1:13">
      <c r="A927">
        <v>15</v>
      </c>
      <c r="B927" t="s">
        <v>2058</v>
      </c>
      <c r="D927" s="219">
        <v>2040171152907</v>
      </c>
      <c r="E927">
        <v>18</v>
      </c>
      <c r="F927" t="s">
        <v>946</v>
      </c>
      <c r="G927" s="6">
        <v>43537</v>
      </c>
      <c r="H927" t="s">
        <v>2057</v>
      </c>
      <c r="I927" t="s">
        <v>2059</v>
      </c>
      <c r="K927" s="9">
        <v>7168.86</v>
      </c>
      <c r="L927" s="1">
        <v>6694.48</v>
      </c>
      <c r="M927" s="9">
        <f t="shared" si="82"/>
        <v>474.38000000000011</v>
      </c>
    </row>
    <row r="928" spans="1:13">
      <c r="A928">
        <v>16</v>
      </c>
      <c r="B928" t="s">
        <v>2060</v>
      </c>
      <c r="D928" s="219">
        <v>2040171153423</v>
      </c>
      <c r="E928">
        <v>58</v>
      </c>
      <c r="F928" t="s">
        <v>946</v>
      </c>
      <c r="G928" s="6">
        <v>43537</v>
      </c>
      <c r="H928" t="s">
        <v>2057</v>
      </c>
      <c r="I928" t="s">
        <v>2061</v>
      </c>
      <c r="K928" s="9">
        <v>9995.7199999999993</v>
      </c>
      <c r="L928" s="1">
        <v>9493.58</v>
      </c>
      <c r="M928" s="9">
        <f t="shared" si="82"/>
        <v>502.13999999999942</v>
      </c>
    </row>
    <row r="929" spans="1:13">
      <c r="A929">
        <v>17</v>
      </c>
      <c r="B929" t="s">
        <v>2062</v>
      </c>
      <c r="D929" s="219">
        <v>5935016151707</v>
      </c>
      <c r="E929">
        <v>7</v>
      </c>
      <c r="F929" t="s">
        <v>135</v>
      </c>
      <c r="G929" s="6">
        <v>43537</v>
      </c>
      <c r="H929" t="s">
        <v>2057</v>
      </c>
      <c r="K929" s="9">
        <v>1876</v>
      </c>
      <c r="M929" s="9">
        <f t="shared" si="82"/>
        <v>1876</v>
      </c>
    </row>
    <row r="930" spans="1:13">
      <c r="A930">
        <v>18</v>
      </c>
      <c r="B930" t="s">
        <v>2063</v>
      </c>
      <c r="D930" s="219">
        <v>5930012661145</v>
      </c>
      <c r="E930">
        <v>5</v>
      </c>
      <c r="F930" t="s">
        <v>1112</v>
      </c>
      <c r="G930" s="6">
        <v>43537</v>
      </c>
      <c r="H930" t="s">
        <v>2057</v>
      </c>
      <c r="I930" t="s">
        <v>2064</v>
      </c>
      <c r="K930" s="9">
        <v>927.2</v>
      </c>
      <c r="L930">
        <v>893.2</v>
      </c>
      <c r="M930" s="9">
        <f t="shared" si="82"/>
        <v>34</v>
      </c>
    </row>
    <row r="931" spans="1:13">
      <c r="A931">
        <v>19</v>
      </c>
      <c r="B931" t="s">
        <v>2065</v>
      </c>
      <c r="D931" s="219">
        <v>5998996677221</v>
      </c>
      <c r="E931">
        <v>6</v>
      </c>
      <c r="F931" t="s">
        <v>606</v>
      </c>
      <c r="G931" s="6">
        <v>43537</v>
      </c>
      <c r="H931" t="s">
        <v>2057</v>
      </c>
      <c r="I931" t="s">
        <v>2066</v>
      </c>
      <c r="K931" s="9">
        <v>4131.4799999999996</v>
      </c>
      <c r="L931">
        <v>4045.2</v>
      </c>
      <c r="M931" s="9">
        <f t="shared" si="82"/>
        <v>86.279999999999745</v>
      </c>
    </row>
    <row r="932" spans="1:13">
      <c r="A932">
        <v>20</v>
      </c>
      <c r="B932" t="s">
        <v>2067</v>
      </c>
      <c r="D932" s="219">
        <v>5930015507482</v>
      </c>
      <c r="E932">
        <v>5</v>
      </c>
      <c r="F932" t="s">
        <v>1112</v>
      </c>
      <c r="G932" s="6">
        <v>43537</v>
      </c>
      <c r="H932" t="s">
        <v>2057</v>
      </c>
      <c r="I932" t="s">
        <v>2068</v>
      </c>
      <c r="K932" s="9">
        <v>350.45</v>
      </c>
      <c r="L932">
        <v>312.45</v>
      </c>
      <c r="M932" s="9">
        <f t="shared" si="82"/>
        <v>38</v>
      </c>
    </row>
    <row r="933" spans="1:13">
      <c r="A933">
        <v>21</v>
      </c>
      <c r="B933" t="s">
        <v>2069</v>
      </c>
      <c r="D933" s="219">
        <v>5935013683077</v>
      </c>
      <c r="E933">
        <v>11</v>
      </c>
      <c r="F933" t="s">
        <v>2070</v>
      </c>
      <c r="G933" s="6">
        <v>43537</v>
      </c>
      <c r="H933" t="s">
        <v>2071</v>
      </c>
      <c r="K933" s="9">
        <v>513.04</v>
      </c>
      <c r="L933">
        <v>363.74</v>
      </c>
      <c r="M933" s="9">
        <f t="shared" si="82"/>
        <v>149.29999999999995</v>
      </c>
    </row>
    <row r="934" spans="1:13">
      <c r="A934">
        <v>22</v>
      </c>
      <c r="B934" t="s">
        <v>2072</v>
      </c>
      <c r="D934" s="219">
        <v>5935013902653</v>
      </c>
      <c r="E934">
        <v>14</v>
      </c>
      <c r="F934" t="s">
        <v>135</v>
      </c>
      <c r="G934" s="6">
        <v>43537</v>
      </c>
      <c r="H934" t="s">
        <v>2057</v>
      </c>
      <c r="K934" s="9">
        <v>4729.4799999999996</v>
      </c>
      <c r="M934" s="9">
        <f t="shared" si="82"/>
        <v>4729.4799999999996</v>
      </c>
    </row>
    <row r="935" spans="1:13">
      <c r="A935">
        <v>23</v>
      </c>
      <c r="B935" t="s">
        <v>2073</v>
      </c>
      <c r="D935" s="219">
        <v>5935015998209</v>
      </c>
      <c r="E935">
        <v>48</v>
      </c>
      <c r="F935" t="s">
        <v>135</v>
      </c>
      <c r="G935" s="6">
        <v>43537</v>
      </c>
      <c r="H935" t="s">
        <v>2057</v>
      </c>
      <c r="K935" s="9">
        <v>4439.5200000000004</v>
      </c>
      <c r="M935" s="9">
        <f t="shared" si="82"/>
        <v>4439.5200000000004</v>
      </c>
    </row>
    <row r="936" spans="1:13">
      <c r="A936">
        <v>24</v>
      </c>
      <c r="B936" t="s">
        <v>2074</v>
      </c>
      <c r="D936" s="219">
        <v>6110015116558</v>
      </c>
      <c r="E936">
        <v>3</v>
      </c>
      <c r="F936" t="s">
        <v>1112</v>
      </c>
      <c r="G936" s="6">
        <v>43537</v>
      </c>
      <c r="H936" t="s">
        <v>2057</v>
      </c>
      <c r="I936" t="s">
        <v>2075</v>
      </c>
      <c r="K936" s="9">
        <v>6894</v>
      </c>
      <c r="L936" s="1">
        <v>6804</v>
      </c>
      <c r="M936" s="9">
        <f t="shared" si="82"/>
        <v>90</v>
      </c>
    </row>
    <row r="937" spans="1:13">
      <c r="A937">
        <v>25</v>
      </c>
      <c r="B937" t="s">
        <v>2076</v>
      </c>
      <c r="D937" s="219">
        <v>5975016689905</v>
      </c>
      <c r="E937">
        <v>10</v>
      </c>
      <c r="F937" t="s">
        <v>135</v>
      </c>
      <c r="G937" s="6">
        <v>43537</v>
      </c>
      <c r="H937" t="s">
        <v>2057</v>
      </c>
      <c r="K937" s="9">
        <v>7268.3</v>
      </c>
      <c r="M937" s="9">
        <f t="shared" si="82"/>
        <v>7268.3</v>
      </c>
    </row>
    <row r="938" spans="1:13">
      <c r="A938">
        <v>26</v>
      </c>
      <c r="B938" t="s">
        <v>2077</v>
      </c>
      <c r="D938" s="219">
        <v>5935015863100</v>
      </c>
      <c r="E938">
        <v>46</v>
      </c>
      <c r="F938" t="s">
        <v>135</v>
      </c>
      <c r="G938" s="6">
        <v>43537</v>
      </c>
      <c r="H938" t="s">
        <v>2057</v>
      </c>
      <c r="K938" s="9">
        <v>2110.94</v>
      </c>
      <c r="M938" s="9">
        <f t="shared" si="82"/>
        <v>2110.94</v>
      </c>
    </row>
    <row r="939" spans="1:13">
      <c r="A939">
        <v>27</v>
      </c>
      <c r="B939" t="s">
        <v>2078</v>
      </c>
      <c r="D939" s="219">
        <v>4730016712628</v>
      </c>
      <c r="E939">
        <v>6</v>
      </c>
      <c r="F939" t="s">
        <v>1679</v>
      </c>
      <c r="G939" s="6">
        <v>43537</v>
      </c>
      <c r="H939" t="s">
        <v>1965</v>
      </c>
      <c r="K939" s="9">
        <v>1192.68</v>
      </c>
      <c r="L939" s="1">
        <f>144*6</f>
        <v>864</v>
      </c>
      <c r="M939" s="9">
        <f t="shared" si="82"/>
        <v>328.68000000000006</v>
      </c>
    </row>
    <row r="940" spans="1:13">
      <c r="A940">
        <v>28</v>
      </c>
      <c r="B940" t="s">
        <v>2079</v>
      </c>
      <c r="D940" s="219">
        <v>5930013819335</v>
      </c>
      <c r="E940">
        <v>2</v>
      </c>
      <c r="F940" t="s">
        <v>129</v>
      </c>
      <c r="G940" s="6">
        <v>43538</v>
      </c>
      <c r="H940" t="s">
        <v>2080</v>
      </c>
      <c r="K940" s="9">
        <v>21572</v>
      </c>
      <c r="M940" s="9">
        <f t="shared" si="82"/>
        <v>21572</v>
      </c>
    </row>
    <row r="941" spans="1:13">
      <c r="A941">
        <v>29</v>
      </c>
      <c r="B941" t="s">
        <v>2081</v>
      </c>
      <c r="D941" s="219">
        <v>5998015026170</v>
      </c>
      <c r="E941">
        <v>6</v>
      </c>
      <c r="F941" t="s">
        <v>2082</v>
      </c>
      <c r="G941" s="6">
        <v>43538</v>
      </c>
      <c r="H941" t="s">
        <v>2083</v>
      </c>
      <c r="K941" s="9">
        <v>6447.6</v>
      </c>
      <c r="M941" s="9">
        <f t="shared" si="82"/>
        <v>6447.6</v>
      </c>
    </row>
    <row r="942" spans="1:13">
      <c r="A942">
        <v>30</v>
      </c>
      <c r="B942" t="s">
        <v>2084</v>
      </c>
      <c r="D942" s="219">
        <v>4520012989522</v>
      </c>
      <c r="E942">
        <v>7</v>
      </c>
      <c r="F942" t="s">
        <v>1112</v>
      </c>
      <c r="G942" s="6">
        <v>43538</v>
      </c>
      <c r="H942" t="s">
        <v>2085</v>
      </c>
      <c r="K942" s="9">
        <v>4573.7299999999996</v>
      </c>
      <c r="M942" s="9">
        <f t="shared" si="82"/>
        <v>4573.7299999999996</v>
      </c>
    </row>
    <row r="943" spans="1:13">
      <c r="A943">
        <v>31</v>
      </c>
      <c r="B943" t="s">
        <v>2086</v>
      </c>
      <c r="D943" s="219">
        <v>5930013674486</v>
      </c>
      <c r="E943">
        <v>8</v>
      </c>
      <c r="F943" t="s">
        <v>129</v>
      </c>
      <c r="G943" s="6">
        <v>43539</v>
      </c>
      <c r="H943" t="s">
        <v>2087</v>
      </c>
      <c r="K943" s="9">
        <v>16900.48</v>
      </c>
      <c r="M943" s="9">
        <f t="shared" si="82"/>
        <v>16900.48</v>
      </c>
    </row>
    <row r="944" spans="1:13">
      <c r="A944">
        <v>32</v>
      </c>
      <c r="B944" t="s">
        <v>2088</v>
      </c>
      <c r="D944" s="219">
        <v>5935016150029</v>
      </c>
      <c r="E944">
        <v>16</v>
      </c>
      <c r="F944" t="s">
        <v>135</v>
      </c>
      <c r="G944" s="6">
        <v>43539</v>
      </c>
      <c r="H944" t="s">
        <v>2087</v>
      </c>
      <c r="K944" s="9">
        <v>4219.5200000000004</v>
      </c>
      <c r="M944" s="9">
        <f t="shared" si="82"/>
        <v>4219.5200000000004</v>
      </c>
    </row>
    <row r="945" spans="1:13">
      <c r="A945">
        <v>33</v>
      </c>
      <c r="B945" t="s">
        <v>2089</v>
      </c>
      <c r="D945" s="219">
        <v>5935016786667</v>
      </c>
      <c r="E945">
        <v>50</v>
      </c>
      <c r="F945" t="s">
        <v>135</v>
      </c>
      <c r="G945" s="6">
        <v>43542</v>
      </c>
      <c r="H945" t="s">
        <v>2090</v>
      </c>
      <c r="K945" s="9">
        <v>6366</v>
      </c>
      <c r="M945" s="9">
        <f t="shared" si="82"/>
        <v>6366</v>
      </c>
    </row>
    <row r="946" spans="1:13">
      <c r="A946">
        <v>34</v>
      </c>
      <c r="B946" t="s">
        <v>2091</v>
      </c>
      <c r="D946" s="219">
        <v>4730010978812</v>
      </c>
      <c r="E946">
        <v>115</v>
      </c>
      <c r="F946" t="s">
        <v>2092</v>
      </c>
      <c r="G946" s="6">
        <v>43542</v>
      </c>
      <c r="H946" t="s">
        <v>2016</v>
      </c>
      <c r="K946" s="9">
        <v>30533.65</v>
      </c>
      <c r="M946" s="9">
        <f t="shared" si="82"/>
        <v>30533.65</v>
      </c>
    </row>
    <row r="947" spans="1:13">
      <c r="A947">
        <v>35</v>
      </c>
      <c r="B947" t="s">
        <v>2093</v>
      </c>
      <c r="D947" s="219">
        <v>5930015955056</v>
      </c>
      <c r="E947">
        <v>6</v>
      </c>
      <c r="F947" t="s">
        <v>129</v>
      </c>
      <c r="G947" s="6">
        <v>43542</v>
      </c>
      <c r="H947" t="s">
        <v>2094</v>
      </c>
      <c r="K947" s="9">
        <v>3447.72</v>
      </c>
      <c r="M947" s="9">
        <f t="shared" si="82"/>
        <v>3447.72</v>
      </c>
    </row>
    <row r="948" spans="1:13">
      <c r="A948">
        <v>36</v>
      </c>
      <c r="B948" t="s">
        <v>2095</v>
      </c>
      <c r="D948" t="s">
        <v>2096</v>
      </c>
      <c r="E948" t="s">
        <v>2097</v>
      </c>
      <c r="F948" t="s">
        <v>2098</v>
      </c>
      <c r="G948" t="s">
        <v>2099</v>
      </c>
      <c r="H948" t="s">
        <v>2100</v>
      </c>
      <c r="K948" t="s">
        <v>2100</v>
      </c>
      <c r="M948" s="9">
        <f t="shared" si="82"/>
        <v>654</v>
      </c>
    </row>
  </sheetData>
  <pageMargins left="0.7" right="0.7" top="0.75" bottom="0.75" header="0.3" footer="0.3"/>
  <pageSetup orientation="landscape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M840"/>
  <sheetViews>
    <sheetView topLeftCell="A722" workbookViewId="0">
      <selection activeCell="G817" sqref="G817"/>
    </sheetView>
  </sheetViews>
  <sheetFormatPr defaultRowHeight="15"/>
  <cols>
    <col min="1" max="1" width="6.85546875" customWidth="1"/>
    <col min="2" max="2" width="30.5703125" customWidth="1"/>
    <col min="3" max="3" width="19.42578125" bestFit="1" customWidth="1"/>
    <col min="4" max="4" width="6.28515625" hidden="1" customWidth="1"/>
    <col min="5" max="5" width="6.7109375" customWidth="1"/>
    <col min="6" max="6" width="7" customWidth="1"/>
    <col min="7" max="7" width="14" customWidth="1"/>
    <col min="8" max="8" width="12.85546875" customWidth="1"/>
    <col min="9" max="9" width="10.28515625" customWidth="1"/>
    <col min="10" max="10" width="13.5703125" customWidth="1"/>
    <col min="11" max="11" width="34.5703125" customWidth="1"/>
    <col min="12" max="12" width="10.5703125" bestFit="1" customWidth="1"/>
    <col min="13" max="13" width="11.5703125" bestFit="1" customWidth="1"/>
  </cols>
  <sheetData>
    <row r="3" spans="1:13" ht="30" customHeight="1">
      <c r="B3" s="7" t="s">
        <v>105</v>
      </c>
      <c r="C3" s="7" t="s">
        <v>2101</v>
      </c>
      <c r="D3" s="7" t="s">
        <v>2102</v>
      </c>
      <c r="E3" s="7" t="s">
        <v>1803</v>
      </c>
      <c r="F3" s="7" t="s">
        <v>2103</v>
      </c>
      <c r="G3" s="7"/>
      <c r="H3" s="7" t="s">
        <v>2104</v>
      </c>
      <c r="I3" s="7" t="s">
        <v>2103</v>
      </c>
      <c r="J3" s="7" t="s">
        <v>2105</v>
      </c>
      <c r="K3" s="7" t="s">
        <v>2106</v>
      </c>
      <c r="L3" s="27" t="s">
        <v>2107</v>
      </c>
      <c r="M3" s="27" t="s">
        <v>2108</v>
      </c>
    </row>
    <row r="4" spans="1:13">
      <c r="A4">
        <v>1</v>
      </c>
      <c r="B4" t="s">
        <v>2109</v>
      </c>
      <c r="C4" t="s">
        <v>2110</v>
      </c>
      <c r="H4" t="s">
        <v>2111</v>
      </c>
      <c r="I4" t="s">
        <v>2112</v>
      </c>
      <c r="J4" s="6">
        <v>42634</v>
      </c>
      <c r="K4" t="s">
        <v>2113</v>
      </c>
    </row>
    <row r="5" spans="1:13">
      <c r="A5">
        <v>2</v>
      </c>
      <c r="B5" t="s">
        <v>2114</v>
      </c>
      <c r="C5" t="s">
        <v>2115</v>
      </c>
      <c r="H5" t="s">
        <v>2116</v>
      </c>
      <c r="I5" t="s">
        <v>2117</v>
      </c>
      <c r="J5" s="6">
        <v>42657</v>
      </c>
      <c r="K5" t="s">
        <v>2118</v>
      </c>
    </row>
    <row r="6" spans="1:13">
      <c r="A6">
        <v>3</v>
      </c>
      <c r="B6" t="s">
        <v>2119</v>
      </c>
      <c r="C6" t="s">
        <v>2120</v>
      </c>
      <c r="H6" t="s">
        <v>2121</v>
      </c>
      <c r="I6" t="s">
        <v>2122</v>
      </c>
      <c r="J6" s="6">
        <v>42670</v>
      </c>
      <c r="K6" t="s">
        <v>2123</v>
      </c>
    </row>
    <row r="7" spans="1:13">
      <c r="A7">
        <v>4</v>
      </c>
      <c r="B7" t="s">
        <v>119</v>
      </c>
      <c r="C7" t="s">
        <v>2115</v>
      </c>
      <c r="H7" t="s">
        <v>2124</v>
      </c>
      <c r="I7" t="s">
        <v>2125</v>
      </c>
      <c r="J7" s="6">
        <v>42676</v>
      </c>
      <c r="K7" t="s">
        <v>2126</v>
      </c>
    </row>
    <row r="8" spans="1:13">
      <c r="A8">
        <v>5</v>
      </c>
      <c r="B8" t="s">
        <v>2127</v>
      </c>
      <c r="C8" t="s">
        <v>2128</v>
      </c>
      <c r="H8" t="s">
        <v>2129</v>
      </c>
      <c r="I8" t="s">
        <v>2130</v>
      </c>
      <c r="J8" s="6">
        <v>42702</v>
      </c>
      <c r="K8" t="s">
        <v>2131</v>
      </c>
    </row>
    <row r="9" spans="1:13">
      <c r="A9">
        <v>6</v>
      </c>
      <c r="B9" t="s">
        <v>2132</v>
      </c>
      <c r="C9" t="s">
        <v>2133</v>
      </c>
      <c r="H9" t="s">
        <v>2134</v>
      </c>
      <c r="I9" t="s">
        <v>2135</v>
      </c>
      <c r="J9" s="6">
        <v>42707</v>
      </c>
      <c r="K9" t="s">
        <v>2136</v>
      </c>
    </row>
    <row r="10" spans="1:13">
      <c r="A10">
        <v>7</v>
      </c>
      <c r="B10" t="s">
        <v>2137</v>
      </c>
      <c r="C10" t="s">
        <v>2138</v>
      </c>
      <c r="H10" t="s">
        <v>2139</v>
      </c>
      <c r="I10" t="s">
        <v>2140</v>
      </c>
      <c r="J10" s="6">
        <v>42709</v>
      </c>
      <c r="K10" t="s">
        <v>2141</v>
      </c>
    </row>
    <row r="11" spans="1:13">
      <c r="A11">
        <v>8</v>
      </c>
      <c r="B11" t="s">
        <v>2142</v>
      </c>
      <c r="C11" t="s">
        <v>120</v>
      </c>
      <c r="H11" t="s">
        <v>2143</v>
      </c>
      <c r="I11" t="s">
        <v>2144</v>
      </c>
      <c r="J11" s="6">
        <v>42717</v>
      </c>
      <c r="K11" t="s">
        <v>2145</v>
      </c>
    </row>
    <row r="12" spans="1:13">
      <c r="A12">
        <v>9</v>
      </c>
      <c r="B12" t="s">
        <v>2146</v>
      </c>
      <c r="C12" t="s">
        <v>2147</v>
      </c>
      <c r="H12" t="s">
        <v>2148</v>
      </c>
      <c r="I12" t="s">
        <v>2149</v>
      </c>
      <c r="J12" s="6">
        <v>42720</v>
      </c>
      <c r="K12" t="s">
        <v>2150</v>
      </c>
    </row>
    <row r="13" spans="1:13">
      <c r="A13">
        <v>10</v>
      </c>
      <c r="B13" t="s">
        <v>122</v>
      </c>
      <c r="C13" t="s">
        <v>123</v>
      </c>
      <c r="H13" t="s">
        <v>2151</v>
      </c>
      <c r="I13" t="s">
        <v>2152</v>
      </c>
      <c r="J13" s="6">
        <v>42727</v>
      </c>
      <c r="K13" t="s">
        <v>2153</v>
      </c>
    </row>
    <row r="14" spans="1:13">
      <c r="J14" s="6"/>
    </row>
    <row r="15" spans="1:13">
      <c r="A15">
        <v>11</v>
      </c>
      <c r="B15" t="s">
        <v>2154</v>
      </c>
      <c r="C15" t="s">
        <v>2155</v>
      </c>
      <c r="H15" t="s">
        <v>2156</v>
      </c>
      <c r="I15" t="s">
        <v>2157</v>
      </c>
      <c r="J15" s="6">
        <v>42753</v>
      </c>
      <c r="K15" t="s">
        <v>2158</v>
      </c>
    </row>
    <row r="16" spans="1:13">
      <c r="A16">
        <v>12</v>
      </c>
      <c r="B16" t="s">
        <v>2159</v>
      </c>
      <c r="C16" t="s">
        <v>2160</v>
      </c>
      <c r="H16" t="s">
        <v>2161</v>
      </c>
      <c r="I16" t="s">
        <v>2162</v>
      </c>
      <c r="J16" s="6">
        <v>42761</v>
      </c>
      <c r="K16" t="s">
        <v>2163</v>
      </c>
    </row>
    <row r="17" spans="1:13">
      <c r="A17">
        <v>13</v>
      </c>
      <c r="C17" t="s">
        <v>2164</v>
      </c>
      <c r="H17" t="s">
        <v>2165</v>
      </c>
      <c r="I17" t="s">
        <v>2166</v>
      </c>
      <c r="J17" s="6">
        <v>42789</v>
      </c>
      <c r="K17" t="s">
        <v>2167</v>
      </c>
    </row>
    <row r="18" spans="1:13">
      <c r="A18">
        <v>14</v>
      </c>
      <c r="B18" t="s">
        <v>2168</v>
      </c>
      <c r="C18" t="s">
        <v>2169</v>
      </c>
      <c r="H18" t="s">
        <v>2170</v>
      </c>
      <c r="I18" t="s">
        <v>2171</v>
      </c>
      <c r="J18" s="6">
        <v>42789</v>
      </c>
      <c r="K18" t="s">
        <v>2172</v>
      </c>
      <c r="M18" s="6">
        <v>42835</v>
      </c>
    </row>
    <row r="19" spans="1:13">
      <c r="A19">
        <v>15</v>
      </c>
      <c r="B19" t="s">
        <v>2173</v>
      </c>
      <c r="C19" t="s">
        <v>127</v>
      </c>
      <c r="H19" t="s">
        <v>2174</v>
      </c>
      <c r="I19" t="s">
        <v>2175</v>
      </c>
      <c r="J19" s="6">
        <v>42796</v>
      </c>
      <c r="K19" t="s">
        <v>2176</v>
      </c>
    </row>
    <row r="20" spans="1:13">
      <c r="A20">
        <v>16</v>
      </c>
      <c r="B20" t="s">
        <v>2177</v>
      </c>
      <c r="C20" t="s">
        <v>2178</v>
      </c>
      <c r="H20" t="s">
        <v>2179</v>
      </c>
      <c r="I20" t="s">
        <v>2180</v>
      </c>
      <c r="J20" s="6">
        <v>42797</v>
      </c>
      <c r="K20" t="s">
        <v>2181</v>
      </c>
    </row>
    <row r="21" spans="1:13">
      <c r="A21">
        <v>17</v>
      </c>
      <c r="B21" t="s">
        <v>2182</v>
      </c>
      <c r="C21" t="s">
        <v>129</v>
      </c>
      <c r="H21" t="s">
        <v>2183</v>
      </c>
      <c r="I21" t="s">
        <v>2184</v>
      </c>
      <c r="J21" s="6">
        <v>42814</v>
      </c>
      <c r="K21" t="s">
        <v>2185</v>
      </c>
      <c r="M21" s="6">
        <v>42843</v>
      </c>
    </row>
    <row r="22" spans="1:13">
      <c r="A22">
        <v>18</v>
      </c>
      <c r="C22" t="s">
        <v>2186</v>
      </c>
      <c r="H22" t="s">
        <v>2187</v>
      </c>
      <c r="I22" t="s">
        <v>2188</v>
      </c>
      <c r="J22" s="6">
        <v>42822</v>
      </c>
      <c r="K22" t="s">
        <v>2189</v>
      </c>
    </row>
    <row r="23" spans="1:13">
      <c r="A23">
        <v>19</v>
      </c>
      <c r="C23" t="s">
        <v>129</v>
      </c>
      <c r="H23" t="s">
        <v>2190</v>
      </c>
      <c r="I23" t="s">
        <v>2191</v>
      </c>
      <c r="J23" s="6">
        <v>42823</v>
      </c>
      <c r="K23" t="s">
        <v>2192</v>
      </c>
      <c r="M23" s="6">
        <v>42843</v>
      </c>
    </row>
    <row r="24" spans="1:13">
      <c r="A24">
        <v>20</v>
      </c>
      <c r="C24" t="s">
        <v>129</v>
      </c>
      <c r="H24" t="s">
        <v>2193</v>
      </c>
      <c r="I24" t="s">
        <v>2194</v>
      </c>
      <c r="J24" s="6">
        <v>42835</v>
      </c>
      <c r="K24" t="s">
        <v>2195</v>
      </c>
      <c r="L24" s="6">
        <v>42844</v>
      </c>
    </row>
    <row r="25" spans="1:13">
      <c r="A25">
        <v>21</v>
      </c>
      <c r="C25" t="s">
        <v>2178</v>
      </c>
      <c r="H25" t="s">
        <v>2196</v>
      </c>
      <c r="I25" t="s">
        <v>2197</v>
      </c>
      <c r="J25" s="6">
        <v>42853</v>
      </c>
      <c r="K25" t="s">
        <v>2198</v>
      </c>
    </row>
    <row r="26" spans="1:13">
      <c r="A26">
        <v>22</v>
      </c>
      <c r="C26" t="s">
        <v>2199</v>
      </c>
      <c r="H26" t="s">
        <v>2200</v>
      </c>
      <c r="I26" t="s">
        <v>2201</v>
      </c>
      <c r="J26" s="6">
        <v>42867</v>
      </c>
      <c r="K26" t="s">
        <v>2202</v>
      </c>
    </row>
    <row r="27" spans="1:13">
      <c r="A27">
        <v>23</v>
      </c>
      <c r="C27" s="25" t="s">
        <v>251</v>
      </c>
      <c r="D27" s="25"/>
      <c r="E27" s="25"/>
      <c r="F27" s="25"/>
      <c r="G27" s="25"/>
      <c r="H27" t="s">
        <v>2203</v>
      </c>
      <c r="I27" t="s">
        <v>2204</v>
      </c>
      <c r="J27" s="6">
        <v>42871</v>
      </c>
      <c r="K27" t="s">
        <v>2205</v>
      </c>
    </row>
    <row r="28" spans="1:13">
      <c r="A28">
        <v>24</v>
      </c>
      <c r="C28" s="25" t="s">
        <v>129</v>
      </c>
      <c r="D28" s="25"/>
      <c r="E28" s="25"/>
      <c r="F28" s="25"/>
      <c r="G28" s="25"/>
      <c r="H28" t="s">
        <v>2206</v>
      </c>
      <c r="I28" t="s">
        <v>2207</v>
      </c>
      <c r="J28" s="6">
        <v>42871</v>
      </c>
      <c r="K28" t="s">
        <v>2208</v>
      </c>
    </row>
    <row r="29" spans="1:13">
      <c r="A29">
        <v>25</v>
      </c>
      <c r="C29" s="25" t="s">
        <v>175</v>
      </c>
      <c r="D29" s="25"/>
      <c r="E29" s="25"/>
      <c r="F29" s="25"/>
      <c r="G29" s="25"/>
      <c r="H29" t="s">
        <v>2209</v>
      </c>
      <c r="I29" t="s">
        <v>2210</v>
      </c>
      <c r="J29" s="6"/>
      <c r="K29" t="s">
        <v>2211</v>
      </c>
    </row>
    <row r="30" spans="1:13">
      <c r="A30">
        <v>26</v>
      </c>
      <c r="C30" s="25" t="s">
        <v>2178</v>
      </c>
      <c r="D30" s="25"/>
      <c r="E30" s="25"/>
      <c r="F30" s="25"/>
      <c r="G30" s="25"/>
      <c r="H30" t="s">
        <v>2212</v>
      </c>
      <c r="I30" t="s">
        <v>2213</v>
      </c>
      <c r="J30" s="6">
        <v>42879</v>
      </c>
      <c r="K30" t="s">
        <v>2214</v>
      </c>
    </row>
    <row r="31" spans="1:13">
      <c r="A31">
        <v>27</v>
      </c>
      <c r="C31" s="25" t="s">
        <v>2215</v>
      </c>
      <c r="D31" s="25"/>
      <c r="E31" s="25"/>
      <c r="F31" s="25"/>
      <c r="G31" s="25"/>
      <c r="H31" t="s">
        <v>2216</v>
      </c>
      <c r="I31" t="s">
        <v>2217</v>
      </c>
      <c r="J31" s="6">
        <v>42880</v>
      </c>
      <c r="K31" t="s">
        <v>2218</v>
      </c>
    </row>
    <row r="32" spans="1:13">
      <c r="A32">
        <v>28</v>
      </c>
      <c r="C32" s="25" t="s">
        <v>139</v>
      </c>
      <c r="D32" s="25"/>
      <c r="E32" s="25"/>
      <c r="F32" s="25"/>
      <c r="G32" s="25"/>
      <c r="H32" t="s">
        <v>2219</v>
      </c>
      <c r="I32" t="s">
        <v>2220</v>
      </c>
      <c r="J32" s="6">
        <v>42891</v>
      </c>
      <c r="K32" t="s">
        <v>2221</v>
      </c>
    </row>
    <row r="33" spans="1:11">
      <c r="A33">
        <v>29</v>
      </c>
      <c r="C33" s="25" t="s">
        <v>139</v>
      </c>
      <c r="D33" s="25"/>
      <c r="E33" s="25"/>
      <c r="F33" s="25"/>
      <c r="G33" s="25"/>
      <c r="H33" t="s">
        <v>2222</v>
      </c>
      <c r="I33" t="s">
        <v>2223</v>
      </c>
      <c r="J33" s="6">
        <v>42921</v>
      </c>
      <c r="K33" t="s">
        <v>2224</v>
      </c>
    </row>
    <row r="34" spans="1:11">
      <c r="A34">
        <v>30</v>
      </c>
      <c r="C34" s="25" t="s">
        <v>139</v>
      </c>
      <c r="D34" s="25"/>
      <c r="E34" s="25"/>
      <c r="F34" s="25"/>
      <c r="G34" s="25"/>
      <c r="H34" t="s">
        <v>2225</v>
      </c>
      <c r="I34" t="s">
        <v>2226</v>
      </c>
      <c r="J34" s="6">
        <v>42922</v>
      </c>
      <c r="K34" t="s">
        <v>2227</v>
      </c>
    </row>
    <row r="35" spans="1:11">
      <c r="A35">
        <v>31</v>
      </c>
      <c r="C35" s="25" t="s">
        <v>121</v>
      </c>
      <c r="D35" s="25"/>
      <c r="E35" s="25"/>
      <c r="F35" s="25"/>
      <c r="G35" s="25"/>
      <c r="H35" t="s">
        <v>2228</v>
      </c>
      <c r="I35" t="s">
        <v>2229</v>
      </c>
      <c r="J35" s="6">
        <v>42930</v>
      </c>
      <c r="K35" t="s">
        <v>2230</v>
      </c>
    </row>
    <row r="36" spans="1:11">
      <c r="A36">
        <v>32</v>
      </c>
      <c r="C36" s="25" t="s">
        <v>2231</v>
      </c>
      <c r="D36" s="25"/>
      <c r="E36" s="25"/>
      <c r="F36" s="25"/>
      <c r="G36" s="25"/>
      <c r="H36" t="s">
        <v>2232</v>
      </c>
      <c r="I36" t="s">
        <v>2233</v>
      </c>
      <c r="J36" s="6">
        <v>42930</v>
      </c>
      <c r="K36" t="s">
        <v>2234</v>
      </c>
    </row>
    <row r="37" spans="1:11">
      <c r="A37">
        <v>33</v>
      </c>
      <c r="C37" s="25" t="s">
        <v>129</v>
      </c>
      <c r="D37" s="25"/>
      <c r="E37" s="25"/>
      <c r="F37" s="25"/>
      <c r="G37" s="92"/>
      <c r="H37" t="s">
        <v>2235</v>
      </c>
      <c r="I37" t="s">
        <v>2236</v>
      </c>
      <c r="J37" s="6">
        <v>42942</v>
      </c>
      <c r="K37" t="s">
        <v>2221</v>
      </c>
    </row>
    <row r="38" spans="1:11">
      <c r="A38">
        <v>34</v>
      </c>
      <c r="C38" s="25" t="s">
        <v>2199</v>
      </c>
      <c r="D38" s="25"/>
      <c r="E38" s="25"/>
      <c r="F38" s="25"/>
      <c r="G38" s="25"/>
      <c r="H38" t="s">
        <v>2237</v>
      </c>
      <c r="I38" t="s">
        <v>2238</v>
      </c>
      <c r="J38" s="6">
        <v>42933</v>
      </c>
      <c r="K38" t="s">
        <v>2239</v>
      </c>
    </row>
    <row r="39" spans="1:11">
      <c r="A39">
        <v>35</v>
      </c>
      <c r="C39" s="25" t="s">
        <v>2240</v>
      </c>
      <c r="D39" s="25"/>
      <c r="E39" s="25"/>
      <c r="F39" s="25"/>
      <c r="G39" s="92"/>
      <c r="H39" t="s">
        <v>2241</v>
      </c>
      <c r="I39" t="s">
        <v>2242</v>
      </c>
      <c r="J39" s="6">
        <v>42933</v>
      </c>
      <c r="K39" t="s">
        <v>2243</v>
      </c>
    </row>
    <row r="40" spans="1:11">
      <c r="A40">
        <v>36</v>
      </c>
      <c r="C40" s="25" t="s">
        <v>129</v>
      </c>
      <c r="D40" s="25"/>
      <c r="E40" s="25"/>
      <c r="F40" s="25"/>
      <c r="G40" s="25"/>
      <c r="H40" t="s">
        <v>2244</v>
      </c>
      <c r="I40" t="s">
        <v>2245</v>
      </c>
      <c r="J40" s="6">
        <v>42940</v>
      </c>
      <c r="K40" t="s">
        <v>2246</v>
      </c>
    </row>
    <row r="41" spans="1:11">
      <c r="A41">
        <v>37</v>
      </c>
      <c r="B41" t="s">
        <v>179</v>
      </c>
      <c r="C41" s="92" t="s">
        <v>129</v>
      </c>
      <c r="D41" s="92"/>
      <c r="E41" s="92"/>
      <c r="F41" s="92"/>
      <c r="G41" s="75" t="s">
        <v>2247</v>
      </c>
      <c r="H41" s="28" t="s">
        <v>2248</v>
      </c>
      <c r="I41" s="28" t="s">
        <v>2249</v>
      </c>
      <c r="J41" s="6">
        <v>42943</v>
      </c>
      <c r="K41" t="s">
        <v>2221</v>
      </c>
    </row>
    <row r="42" spans="1:11">
      <c r="A42">
        <v>38</v>
      </c>
      <c r="C42" s="25" t="s">
        <v>2169</v>
      </c>
      <c r="D42" s="25"/>
      <c r="E42" s="25"/>
      <c r="F42" s="25"/>
      <c r="G42" s="25"/>
      <c r="H42" t="s">
        <v>2250</v>
      </c>
      <c r="I42" t="s">
        <v>2251</v>
      </c>
      <c r="J42" s="6">
        <v>42943</v>
      </c>
      <c r="K42" t="s">
        <v>2252</v>
      </c>
    </row>
    <row r="43" spans="1:11">
      <c r="A43">
        <v>39</v>
      </c>
      <c r="C43" s="25" t="s">
        <v>121</v>
      </c>
      <c r="D43" s="25"/>
      <c r="E43" s="25"/>
      <c r="F43" s="25"/>
      <c r="G43" s="25"/>
      <c r="H43" t="s">
        <v>2253</v>
      </c>
      <c r="I43" t="s">
        <v>2254</v>
      </c>
      <c r="J43" s="6">
        <v>42947</v>
      </c>
      <c r="K43" t="s">
        <v>2255</v>
      </c>
    </row>
    <row r="44" spans="1:11">
      <c r="A44">
        <v>40</v>
      </c>
      <c r="C44" s="25" t="s">
        <v>139</v>
      </c>
      <c r="D44" s="25"/>
      <c r="E44" s="25"/>
      <c r="F44" s="25"/>
      <c r="H44" t="s">
        <v>2256</v>
      </c>
      <c r="I44" t="s">
        <v>2257</v>
      </c>
      <c r="J44" s="6">
        <v>42947</v>
      </c>
      <c r="K44" t="s">
        <v>2258</v>
      </c>
    </row>
    <row r="45" spans="1:11">
      <c r="A45">
        <v>41</v>
      </c>
      <c r="C45" s="25" t="s">
        <v>729</v>
      </c>
      <c r="D45" s="25"/>
      <c r="E45" s="25"/>
      <c r="F45" s="25"/>
      <c r="G45" s="72"/>
      <c r="H45" t="s">
        <v>2259</v>
      </c>
      <c r="I45" t="s">
        <v>2260</v>
      </c>
      <c r="J45" s="6">
        <v>42948</v>
      </c>
      <c r="K45" t="s">
        <v>2261</v>
      </c>
    </row>
    <row r="46" spans="1:11">
      <c r="A46">
        <v>42</v>
      </c>
      <c r="C46" s="25" t="s">
        <v>129</v>
      </c>
      <c r="D46" s="25"/>
      <c r="E46" s="25"/>
      <c r="F46" s="25"/>
      <c r="G46" s="25"/>
      <c r="H46" t="s">
        <v>2262</v>
      </c>
      <c r="I46" t="s">
        <v>2263</v>
      </c>
      <c r="J46" s="6">
        <v>42949</v>
      </c>
      <c r="K46" t="s">
        <v>2264</v>
      </c>
    </row>
    <row r="47" spans="1:11">
      <c r="A47">
        <v>43</v>
      </c>
      <c r="C47" s="25" t="s">
        <v>2265</v>
      </c>
      <c r="D47" s="25"/>
      <c r="E47" s="25"/>
      <c r="F47" s="25"/>
      <c r="H47" t="s">
        <v>2266</v>
      </c>
      <c r="I47" t="s">
        <v>2267</v>
      </c>
      <c r="J47" s="6">
        <v>42950</v>
      </c>
      <c r="K47" t="s">
        <v>2268</v>
      </c>
    </row>
    <row r="48" spans="1:11">
      <c r="A48">
        <v>44</v>
      </c>
      <c r="C48" s="25" t="s">
        <v>129</v>
      </c>
      <c r="D48" s="25"/>
      <c r="E48" s="25"/>
      <c r="F48" s="25"/>
      <c r="G48" s="25"/>
      <c r="H48" t="s">
        <v>2269</v>
      </c>
      <c r="I48" t="s">
        <v>2270</v>
      </c>
      <c r="J48" s="6">
        <v>42950</v>
      </c>
      <c r="K48" t="s">
        <v>2271</v>
      </c>
    </row>
    <row r="49" spans="1:11">
      <c r="A49">
        <v>45</v>
      </c>
      <c r="C49" s="25" t="s">
        <v>251</v>
      </c>
      <c r="D49" s="25"/>
      <c r="E49" s="25"/>
      <c r="F49" s="25"/>
      <c r="G49" t="s">
        <v>252</v>
      </c>
      <c r="H49" t="s">
        <v>2272</v>
      </c>
      <c r="I49" t="s">
        <v>2273</v>
      </c>
      <c r="J49" s="6">
        <v>42955</v>
      </c>
      <c r="K49" t="s">
        <v>2274</v>
      </c>
    </row>
    <row r="50" spans="1:11">
      <c r="A50">
        <v>46</v>
      </c>
      <c r="C50" s="25" t="s">
        <v>2215</v>
      </c>
      <c r="D50" s="25"/>
      <c r="E50" s="25"/>
      <c r="F50" s="25"/>
      <c r="H50" t="s">
        <v>2275</v>
      </c>
      <c r="I50" t="s">
        <v>2276</v>
      </c>
      <c r="J50" s="6">
        <v>42955</v>
      </c>
      <c r="K50" t="s">
        <v>2277</v>
      </c>
    </row>
    <row r="51" spans="1:11">
      <c r="A51">
        <v>47</v>
      </c>
      <c r="C51" s="25" t="s">
        <v>129</v>
      </c>
      <c r="D51" s="25"/>
      <c r="E51" s="25"/>
      <c r="F51" s="25"/>
      <c r="H51" t="s">
        <v>2278</v>
      </c>
      <c r="I51" t="s">
        <v>2279</v>
      </c>
      <c r="J51" s="6">
        <v>42955</v>
      </c>
      <c r="K51" t="s">
        <v>2280</v>
      </c>
    </row>
    <row r="52" spans="1:11">
      <c r="A52">
        <v>48</v>
      </c>
      <c r="C52" s="25" t="s">
        <v>129</v>
      </c>
      <c r="D52" s="25"/>
      <c r="E52" s="25"/>
      <c r="F52" s="25"/>
      <c r="G52" t="s">
        <v>181</v>
      </c>
      <c r="H52" t="s">
        <v>2281</v>
      </c>
      <c r="I52" s="83" t="s">
        <v>2282</v>
      </c>
      <c r="J52" s="6">
        <v>42956</v>
      </c>
      <c r="K52" t="s">
        <v>2283</v>
      </c>
    </row>
    <row r="53" spans="1:11">
      <c r="A53">
        <v>49</v>
      </c>
      <c r="C53" s="25" t="s">
        <v>120</v>
      </c>
      <c r="D53" s="25"/>
      <c r="E53" s="25"/>
      <c r="F53" s="25"/>
      <c r="G53" t="s">
        <v>224</v>
      </c>
      <c r="H53" t="s">
        <v>2284</v>
      </c>
      <c r="I53" s="83" t="s">
        <v>2285</v>
      </c>
      <c r="J53" s="6">
        <v>42956</v>
      </c>
      <c r="K53" t="s">
        <v>2286</v>
      </c>
    </row>
    <row r="54" spans="1:11">
      <c r="A54">
        <v>50</v>
      </c>
      <c r="C54" s="25" t="s">
        <v>2287</v>
      </c>
      <c r="D54" s="25"/>
      <c r="E54" s="25"/>
      <c r="F54" s="25"/>
      <c r="G54" t="s">
        <v>214</v>
      </c>
      <c r="H54" t="s">
        <v>2288</v>
      </c>
      <c r="I54" s="83" t="s">
        <v>2289</v>
      </c>
      <c r="J54" s="6">
        <v>42958</v>
      </c>
      <c r="K54" t="s">
        <v>2290</v>
      </c>
    </row>
    <row r="55" spans="1:11">
      <c r="A55">
        <v>51</v>
      </c>
      <c r="C55" s="25" t="s">
        <v>2291</v>
      </c>
      <c r="D55" s="25"/>
      <c r="E55" s="25"/>
      <c r="F55" s="25"/>
      <c r="G55" t="s">
        <v>199</v>
      </c>
      <c r="H55" t="s">
        <v>2292</v>
      </c>
      <c r="I55" s="83" t="s">
        <v>2293</v>
      </c>
      <c r="J55" s="6">
        <v>42958</v>
      </c>
      <c r="K55" t="s">
        <v>2294</v>
      </c>
    </row>
    <row r="56" spans="1:11">
      <c r="A56">
        <v>52</v>
      </c>
      <c r="C56" s="100" t="s">
        <v>2215</v>
      </c>
      <c r="D56" s="100"/>
      <c r="E56" s="100"/>
      <c r="F56" s="100"/>
      <c r="G56" t="s">
        <v>203</v>
      </c>
      <c r="H56" t="s">
        <v>2295</v>
      </c>
      <c r="I56" s="83" t="s">
        <v>2296</v>
      </c>
      <c r="J56" s="6">
        <v>42958</v>
      </c>
      <c r="K56" t="s">
        <v>2297</v>
      </c>
    </row>
    <row r="57" spans="1:11">
      <c r="A57">
        <v>53</v>
      </c>
      <c r="C57" s="100" t="s">
        <v>2215</v>
      </c>
      <c r="D57" s="100"/>
      <c r="E57" s="100"/>
      <c r="F57" s="100"/>
      <c r="H57" t="s">
        <v>2298</v>
      </c>
      <c r="I57" s="83" t="s">
        <v>2299</v>
      </c>
      <c r="J57" s="6">
        <v>42965</v>
      </c>
      <c r="K57" t="s">
        <v>2300</v>
      </c>
    </row>
    <row r="58" spans="1:11">
      <c r="A58">
        <v>54</v>
      </c>
      <c r="C58" s="100" t="s">
        <v>121</v>
      </c>
      <c r="D58" s="100"/>
      <c r="E58" s="100"/>
      <c r="F58" s="100"/>
      <c r="H58" t="s">
        <v>2301</v>
      </c>
      <c r="I58" s="83" t="s">
        <v>2302</v>
      </c>
      <c r="J58" s="6">
        <v>42965</v>
      </c>
      <c r="K58" t="s">
        <v>2303</v>
      </c>
    </row>
    <row r="59" spans="1:11">
      <c r="A59">
        <v>55</v>
      </c>
      <c r="C59" s="100" t="s">
        <v>2169</v>
      </c>
      <c r="D59" s="100"/>
      <c r="E59" s="100"/>
      <c r="F59" s="100"/>
      <c r="H59" t="s">
        <v>2304</v>
      </c>
      <c r="I59" s="83" t="s">
        <v>2305</v>
      </c>
      <c r="J59" s="6">
        <v>42965</v>
      </c>
      <c r="K59" t="s">
        <v>2306</v>
      </c>
    </row>
    <row r="60" spans="1:11">
      <c r="A60">
        <v>56</v>
      </c>
      <c r="C60" s="25" t="s">
        <v>2169</v>
      </c>
      <c r="D60" s="25"/>
      <c r="E60" s="25"/>
      <c r="F60" s="25"/>
      <c r="H60" t="s">
        <v>2307</v>
      </c>
      <c r="I60" s="83" t="s">
        <v>2308</v>
      </c>
      <c r="J60" s="6">
        <v>42965</v>
      </c>
      <c r="K60" t="s">
        <v>2309</v>
      </c>
    </row>
    <row r="61" spans="1:11">
      <c r="A61">
        <v>57</v>
      </c>
      <c r="C61" s="25" t="s">
        <v>729</v>
      </c>
      <c r="D61" s="25"/>
      <c r="E61" s="25"/>
      <c r="F61" s="25"/>
      <c r="G61" t="s">
        <v>290</v>
      </c>
      <c r="H61" t="s">
        <v>2310</v>
      </c>
      <c r="I61" s="83" t="s">
        <v>2311</v>
      </c>
      <c r="J61" s="6">
        <v>42965</v>
      </c>
      <c r="K61" t="s">
        <v>2312</v>
      </c>
    </row>
    <row r="62" spans="1:11">
      <c r="A62">
        <v>58</v>
      </c>
      <c r="C62" s="25" t="s">
        <v>2313</v>
      </c>
      <c r="D62" s="25"/>
      <c r="E62" s="25"/>
      <c r="F62" s="25"/>
      <c r="G62" t="s">
        <v>230</v>
      </c>
      <c r="H62" t="s">
        <v>2314</v>
      </c>
      <c r="I62" s="83" t="s">
        <v>2315</v>
      </c>
      <c r="J62" s="6">
        <v>42969</v>
      </c>
      <c r="K62" t="s">
        <v>2316</v>
      </c>
    </row>
    <row r="63" spans="1:11">
      <c r="A63">
        <v>59</v>
      </c>
      <c r="C63" s="25" t="s">
        <v>254</v>
      </c>
      <c r="D63" s="25"/>
      <c r="E63" s="25"/>
      <c r="F63" s="25"/>
      <c r="G63" t="s">
        <v>255</v>
      </c>
      <c r="H63" t="s">
        <v>2317</v>
      </c>
      <c r="I63" s="83" t="s">
        <v>2318</v>
      </c>
      <c r="J63" s="6">
        <v>42972</v>
      </c>
      <c r="K63" t="s">
        <v>2319</v>
      </c>
    </row>
    <row r="64" spans="1:11">
      <c r="A64">
        <v>60</v>
      </c>
      <c r="C64" s="25" t="s">
        <v>279</v>
      </c>
      <c r="D64" s="25"/>
      <c r="E64" s="25"/>
      <c r="F64" s="25"/>
      <c r="H64" t="s">
        <v>2320</v>
      </c>
      <c r="I64" s="83" t="s">
        <v>2321</v>
      </c>
      <c r="J64" s="6">
        <v>42975</v>
      </c>
      <c r="K64" t="s">
        <v>2322</v>
      </c>
    </row>
    <row r="65" spans="1:11">
      <c r="A65">
        <v>61</v>
      </c>
      <c r="C65" s="25" t="s">
        <v>236</v>
      </c>
      <c r="D65" s="25"/>
      <c r="E65" s="25"/>
      <c r="F65" s="25"/>
      <c r="H65" t="s">
        <v>2323</v>
      </c>
      <c r="I65" s="83" t="s">
        <v>2324</v>
      </c>
      <c r="J65" s="6">
        <v>42975</v>
      </c>
      <c r="K65" t="s">
        <v>2325</v>
      </c>
    </row>
    <row r="66" spans="1:11">
      <c r="A66">
        <v>62</v>
      </c>
      <c r="B66" s="178"/>
      <c r="C66" s="92" t="s">
        <v>2287</v>
      </c>
      <c r="H66" t="s">
        <v>2326</v>
      </c>
      <c r="I66" s="75" t="s">
        <v>2327</v>
      </c>
      <c r="J66" s="6">
        <v>42976</v>
      </c>
    </row>
    <row r="67" spans="1:11">
      <c r="A67">
        <v>63</v>
      </c>
      <c r="C67" s="25" t="s">
        <v>2287</v>
      </c>
      <c r="D67" s="25"/>
      <c r="E67" s="25"/>
      <c r="F67" s="25"/>
      <c r="H67" t="s">
        <v>2328</v>
      </c>
      <c r="I67" t="s">
        <v>2329</v>
      </c>
      <c r="J67" s="6">
        <v>42977</v>
      </c>
      <c r="K67" t="s">
        <v>2330</v>
      </c>
    </row>
    <row r="68" spans="1:11">
      <c r="A68">
        <v>64</v>
      </c>
      <c r="C68" s="25" t="s">
        <v>139</v>
      </c>
      <c r="D68" s="25"/>
      <c r="E68" s="25"/>
      <c r="F68" s="25"/>
      <c r="H68" t="s">
        <v>2331</v>
      </c>
      <c r="I68" t="s">
        <v>2332</v>
      </c>
      <c r="J68" s="6">
        <v>42977</v>
      </c>
      <c r="K68" t="s">
        <v>2333</v>
      </c>
    </row>
    <row r="70" spans="1:11">
      <c r="A70">
        <v>1</v>
      </c>
      <c r="C70" s="25" t="s">
        <v>2178</v>
      </c>
      <c r="D70" s="25"/>
      <c r="E70" s="25"/>
      <c r="F70" s="25"/>
      <c r="G70" t="s">
        <v>194</v>
      </c>
      <c r="H70" t="s">
        <v>2334</v>
      </c>
      <c r="I70" t="s">
        <v>2335</v>
      </c>
      <c r="J70" s="6">
        <v>42984</v>
      </c>
      <c r="K70" t="s">
        <v>2336</v>
      </c>
    </row>
    <row r="71" spans="1:11">
      <c r="A71">
        <v>2</v>
      </c>
      <c r="C71" s="25" t="s">
        <v>2178</v>
      </c>
      <c r="D71" s="25"/>
      <c r="E71" s="25"/>
      <c r="F71" s="25"/>
      <c r="G71" t="s">
        <v>196</v>
      </c>
      <c r="H71" t="s">
        <v>2337</v>
      </c>
      <c r="I71" t="s">
        <v>2338</v>
      </c>
      <c r="J71" s="6">
        <v>42984</v>
      </c>
      <c r="K71" t="s">
        <v>2339</v>
      </c>
    </row>
    <row r="72" spans="1:11">
      <c r="A72">
        <v>3</v>
      </c>
      <c r="C72" s="25" t="s">
        <v>279</v>
      </c>
      <c r="D72" s="25"/>
      <c r="E72" s="25"/>
      <c r="F72" s="25"/>
      <c r="G72" t="s">
        <v>282</v>
      </c>
      <c r="H72" t="s">
        <v>2340</v>
      </c>
      <c r="I72" t="s">
        <v>2341</v>
      </c>
      <c r="J72" s="6">
        <v>42984</v>
      </c>
      <c r="K72" t="s">
        <v>2342</v>
      </c>
    </row>
    <row r="73" spans="1:11">
      <c r="A73">
        <v>4</v>
      </c>
      <c r="C73" s="25" t="s">
        <v>2199</v>
      </c>
      <c r="D73" s="25"/>
      <c r="E73" s="25"/>
      <c r="F73" s="25"/>
      <c r="G73" t="s">
        <v>160</v>
      </c>
      <c r="H73" t="s">
        <v>2343</v>
      </c>
      <c r="I73" t="s">
        <v>2344</v>
      </c>
      <c r="J73" s="6">
        <v>42984</v>
      </c>
      <c r="K73" t="s">
        <v>2345</v>
      </c>
    </row>
    <row r="74" spans="1:11">
      <c r="A74">
        <v>5</v>
      </c>
      <c r="C74" s="25" t="s">
        <v>135</v>
      </c>
      <c r="D74" s="25"/>
      <c r="E74" s="25"/>
      <c r="F74" s="25"/>
      <c r="G74" t="s">
        <v>160</v>
      </c>
      <c r="H74" t="s">
        <v>2346</v>
      </c>
      <c r="I74" t="s">
        <v>2347</v>
      </c>
      <c r="J74" s="6">
        <v>42984</v>
      </c>
      <c r="K74" t="s">
        <v>2348</v>
      </c>
    </row>
    <row r="75" spans="1:11">
      <c r="A75">
        <v>6</v>
      </c>
      <c r="C75" s="25" t="s">
        <v>2349</v>
      </c>
      <c r="D75" s="25"/>
      <c r="E75" s="25"/>
      <c r="F75" s="25"/>
      <c r="H75" t="s">
        <v>2350</v>
      </c>
      <c r="I75" t="s">
        <v>2351</v>
      </c>
      <c r="J75" s="6">
        <v>42991</v>
      </c>
      <c r="K75" t="s">
        <v>2352</v>
      </c>
    </row>
    <row r="76" spans="1:11">
      <c r="A76">
        <v>7</v>
      </c>
      <c r="C76" s="25" t="s">
        <v>872</v>
      </c>
      <c r="D76" s="25"/>
      <c r="E76" s="25"/>
      <c r="F76" s="25"/>
      <c r="H76" t="s">
        <v>2353</v>
      </c>
      <c r="I76" t="s">
        <v>2354</v>
      </c>
      <c r="J76" s="6">
        <v>42996</v>
      </c>
      <c r="K76" t="s">
        <v>2355</v>
      </c>
    </row>
    <row r="77" spans="1:11">
      <c r="A77">
        <v>8</v>
      </c>
      <c r="C77" s="25" t="s">
        <v>220</v>
      </c>
      <c r="D77" s="25"/>
      <c r="E77" s="25"/>
      <c r="F77" s="25"/>
      <c r="H77" t="s">
        <v>2356</v>
      </c>
      <c r="I77" t="s">
        <v>2357</v>
      </c>
      <c r="J77" s="6">
        <v>42996</v>
      </c>
      <c r="K77" t="s">
        <v>2358</v>
      </c>
    </row>
    <row r="78" spans="1:11">
      <c r="A78">
        <v>9</v>
      </c>
      <c r="C78" s="25" t="s">
        <v>2359</v>
      </c>
      <c r="D78" s="25"/>
      <c r="E78" s="25"/>
      <c r="F78" s="25"/>
      <c r="H78" t="s">
        <v>2360</v>
      </c>
      <c r="I78" t="s">
        <v>2361</v>
      </c>
      <c r="J78" s="6">
        <v>42996</v>
      </c>
      <c r="K78" t="s">
        <v>2362</v>
      </c>
    </row>
    <row r="79" spans="1:11">
      <c r="A79">
        <v>10</v>
      </c>
      <c r="C79" s="25" t="s">
        <v>279</v>
      </c>
      <c r="D79" s="25"/>
      <c r="E79" s="25"/>
      <c r="F79" s="25"/>
      <c r="H79" t="s">
        <v>2363</v>
      </c>
      <c r="I79" t="s">
        <v>2364</v>
      </c>
      <c r="J79" s="6">
        <v>42996</v>
      </c>
      <c r="K79" t="s">
        <v>2221</v>
      </c>
    </row>
    <row r="80" spans="1:11">
      <c r="A80">
        <v>11</v>
      </c>
      <c r="C80" s="25" t="s">
        <v>872</v>
      </c>
      <c r="D80" s="25"/>
      <c r="E80" s="25"/>
      <c r="F80" s="25"/>
      <c r="H80" t="s">
        <v>2365</v>
      </c>
      <c r="I80" t="s">
        <v>2366</v>
      </c>
      <c r="J80" s="6">
        <v>42998</v>
      </c>
      <c r="K80" t="s">
        <v>2367</v>
      </c>
    </row>
    <row r="81" spans="1:11">
      <c r="A81">
        <v>12</v>
      </c>
      <c r="C81" s="25" t="s">
        <v>872</v>
      </c>
      <c r="D81" s="25"/>
      <c r="E81" s="25"/>
      <c r="F81" s="25"/>
      <c r="H81" t="s">
        <v>2368</v>
      </c>
      <c r="I81" t="s">
        <v>2368</v>
      </c>
      <c r="J81" s="6">
        <v>42998</v>
      </c>
      <c r="K81" t="s">
        <v>2369</v>
      </c>
    </row>
    <row r="82" spans="1:11">
      <c r="A82">
        <v>13</v>
      </c>
      <c r="C82" s="25" t="s">
        <v>2370</v>
      </c>
      <c r="D82" s="25"/>
      <c r="E82" s="25"/>
      <c r="F82" s="25"/>
      <c r="H82" t="s">
        <v>2371</v>
      </c>
      <c r="I82" t="s">
        <v>2371</v>
      </c>
      <c r="J82" s="6">
        <v>43003</v>
      </c>
      <c r="K82" t="s">
        <v>2372</v>
      </c>
    </row>
    <row r="83" spans="1:11">
      <c r="A83">
        <v>14</v>
      </c>
      <c r="C83" s="25" t="s">
        <v>135</v>
      </c>
      <c r="D83" s="25"/>
      <c r="E83" s="25"/>
      <c r="F83" s="25"/>
      <c r="G83" t="s">
        <v>340</v>
      </c>
      <c r="H83" t="s">
        <v>2373</v>
      </c>
      <c r="I83" t="s">
        <v>2373</v>
      </c>
      <c r="J83" s="6">
        <v>43003</v>
      </c>
      <c r="K83" t="s">
        <v>2374</v>
      </c>
    </row>
    <row r="84" spans="1:11">
      <c r="A84">
        <v>15</v>
      </c>
      <c r="C84" s="25" t="s">
        <v>135</v>
      </c>
      <c r="D84" s="25"/>
      <c r="E84" s="25"/>
      <c r="F84" s="25"/>
      <c r="H84" t="s">
        <v>2375</v>
      </c>
      <c r="I84" t="s">
        <v>2376</v>
      </c>
      <c r="J84" s="6">
        <v>43003</v>
      </c>
      <c r="K84" t="s">
        <v>2377</v>
      </c>
    </row>
    <row r="85" spans="1:11">
      <c r="A85">
        <v>16</v>
      </c>
      <c r="C85" s="123" t="s">
        <v>129</v>
      </c>
      <c r="D85" s="25"/>
      <c r="E85" s="25"/>
      <c r="F85" s="25"/>
      <c r="G85" t="s">
        <v>201</v>
      </c>
      <c r="H85" t="s">
        <v>2376</v>
      </c>
      <c r="I85" t="s">
        <v>2378</v>
      </c>
      <c r="J85" s="6">
        <v>43005</v>
      </c>
      <c r="K85" t="s">
        <v>2221</v>
      </c>
    </row>
    <row r="86" spans="1:11">
      <c r="A86">
        <v>17</v>
      </c>
      <c r="C86" s="124" t="s">
        <v>2349</v>
      </c>
      <c r="D86" s="25"/>
      <c r="E86" s="25"/>
      <c r="F86" s="25"/>
      <c r="H86" t="s">
        <v>2378</v>
      </c>
      <c r="I86" t="s">
        <v>2379</v>
      </c>
      <c r="J86" s="6">
        <v>43005</v>
      </c>
      <c r="K86" t="s">
        <v>2221</v>
      </c>
    </row>
    <row r="87" spans="1:11">
      <c r="A87">
        <v>18</v>
      </c>
      <c r="C87" s="124" t="s">
        <v>2380</v>
      </c>
      <c r="D87" s="25"/>
      <c r="E87" s="73"/>
      <c r="F87" s="73"/>
      <c r="H87" t="s">
        <v>2381</v>
      </c>
      <c r="I87" t="s">
        <v>2381</v>
      </c>
      <c r="J87" s="6">
        <v>43007</v>
      </c>
      <c r="K87" t="s">
        <v>2382</v>
      </c>
    </row>
    <row r="88" spans="1:11">
      <c r="A88">
        <v>19</v>
      </c>
      <c r="B88" t="s">
        <v>231</v>
      </c>
      <c r="C88" s="124" t="s">
        <v>129</v>
      </c>
      <c r="D88" s="25"/>
      <c r="E88" s="73"/>
      <c r="F88" s="73"/>
      <c r="G88" t="s">
        <v>232</v>
      </c>
      <c r="H88" t="s">
        <v>2383</v>
      </c>
      <c r="I88" t="s">
        <v>2383</v>
      </c>
      <c r="J88" s="6">
        <v>43007</v>
      </c>
      <c r="K88" t="s">
        <v>2384</v>
      </c>
    </row>
    <row r="89" spans="1:11">
      <c r="A89">
        <v>20</v>
      </c>
      <c r="C89" s="124" t="s">
        <v>129</v>
      </c>
      <c r="D89" s="25"/>
      <c r="E89" s="25"/>
      <c r="F89" s="25"/>
      <c r="H89" t="s">
        <v>2385</v>
      </c>
      <c r="I89" t="s">
        <v>2385</v>
      </c>
      <c r="J89" s="6">
        <v>43007</v>
      </c>
      <c r="K89" t="s">
        <v>2386</v>
      </c>
    </row>
    <row r="90" spans="1:11">
      <c r="A90">
        <v>21</v>
      </c>
      <c r="C90" s="124" t="s">
        <v>135</v>
      </c>
      <c r="D90" s="25"/>
      <c r="E90" s="73"/>
      <c r="F90" s="73"/>
      <c r="H90" t="s">
        <v>2387</v>
      </c>
      <c r="I90" t="s">
        <v>2387</v>
      </c>
      <c r="J90" s="6">
        <v>43007</v>
      </c>
      <c r="K90" t="s">
        <v>2388</v>
      </c>
    </row>
    <row r="91" spans="1:11">
      <c r="C91" s="116"/>
      <c r="D91" s="72"/>
      <c r="E91" s="72"/>
      <c r="F91" s="72"/>
      <c r="J91" s="6"/>
    </row>
    <row r="92" spans="1:11">
      <c r="A92">
        <v>1</v>
      </c>
      <c r="C92" s="133" t="s">
        <v>2178</v>
      </c>
      <c r="D92" s="25"/>
      <c r="E92" s="73"/>
      <c r="F92" s="73"/>
      <c r="H92" t="s">
        <v>2389</v>
      </c>
      <c r="I92" t="s">
        <v>2390</v>
      </c>
      <c r="J92" t="s">
        <v>2391</v>
      </c>
      <c r="K92" t="s">
        <v>2392</v>
      </c>
    </row>
    <row r="93" spans="1:11">
      <c r="A93">
        <v>2</v>
      </c>
      <c r="C93" s="25" t="s">
        <v>2349</v>
      </c>
      <c r="D93" s="25"/>
      <c r="E93" s="73"/>
      <c r="F93" s="73"/>
      <c r="H93" t="s">
        <v>2393</v>
      </c>
      <c r="I93" t="s">
        <v>2394</v>
      </c>
      <c r="J93" t="s">
        <v>2395</v>
      </c>
      <c r="K93" t="s">
        <v>2396</v>
      </c>
    </row>
    <row r="94" spans="1:11">
      <c r="A94">
        <v>3</v>
      </c>
      <c r="C94" s="25" t="s">
        <v>129</v>
      </c>
      <c r="D94" s="25"/>
      <c r="E94" s="73"/>
      <c r="F94" s="73"/>
      <c r="H94" t="s">
        <v>2397</v>
      </c>
      <c r="I94" t="s">
        <v>2398</v>
      </c>
      <c r="J94" t="s">
        <v>2399</v>
      </c>
      <c r="K94" t="s">
        <v>2221</v>
      </c>
    </row>
    <row r="95" spans="1:11">
      <c r="A95">
        <v>4</v>
      </c>
      <c r="C95" s="25" t="s">
        <v>139</v>
      </c>
      <c r="D95" s="25"/>
      <c r="E95" s="73"/>
      <c r="F95" s="73"/>
      <c r="H95" t="s">
        <v>2400</v>
      </c>
      <c r="I95" t="s">
        <v>2401</v>
      </c>
      <c r="J95" s="6">
        <v>43017</v>
      </c>
      <c r="K95" t="s">
        <v>2402</v>
      </c>
    </row>
    <row r="96" spans="1:11">
      <c r="A96">
        <v>5</v>
      </c>
      <c r="C96" s="25" t="s">
        <v>135</v>
      </c>
      <c r="D96" s="25"/>
      <c r="E96" s="73"/>
      <c r="F96" s="73"/>
      <c r="H96" t="s">
        <v>2403</v>
      </c>
      <c r="I96" t="s">
        <v>2404</v>
      </c>
      <c r="J96" s="6">
        <v>43017</v>
      </c>
      <c r="K96" t="s">
        <v>2405</v>
      </c>
    </row>
    <row r="97" spans="1:11">
      <c r="A97">
        <v>6</v>
      </c>
      <c r="C97" s="25" t="s">
        <v>2199</v>
      </c>
      <c r="D97" s="25"/>
      <c r="E97" s="127"/>
      <c r="F97" s="127"/>
      <c r="G97" t="s">
        <v>2406</v>
      </c>
      <c r="H97" t="s">
        <v>2407</v>
      </c>
      <c r="I97" t="s">
        <v>2408</v>
      </c>
      <c r="J97" s="6">
        <v>43017</v>
      </c>
      <c r="K97" t="s">
        <v>2409</v>
      </c>
    </row>
    <row r="98" spans="1:11">
      <c r="A98">
        <v>7</v>
      </c>
      <c r="C98" s="25" t="s">
        <v>244</v>
      </c>
      <c r="D98" s="25"/>
      <c r="E98" s="73"/>
      <c r="F98" s="73"/>
      <c r="H98" t="s">
        <v>2410</v>
      </c>
      <c r="I98" t="s">
        <v>2411</v>
      </c>
      <c r="J98" s="6">
        <v>43019</v>
      </c>
      <c r="K98" t="s">
        <v>2412</v>
      </c>
    </row>
    <row r="99" spans="1:11">
      <c r="A99">
        <v>8</v>
      </c>
      <c r="C99" s="25" t="s">
        <v>2413</v>
      </c>
      <c r="D99" s="25"/>
      <c r="E99" s="73"/>
      <c r="F99" s="73"/>
      <c r="H99" t="s">
        <v>2414</v>
      </c>
      <c r="I99" t="s">
        <v>2415</v>
      </c>
      <c r="J99" s="6">
        <v>43019</v>
      </c>
      <c r="K99" t="s">
        <v>2416</v>
      </c>
    </row>
    <row r="100" spans="1:11">
      <c r="A100">
        <v>9</v>
      </c>
      <c r="C100" s="25" t="s">
        <v>135</v>
      </c>
      <c r="D100" s="25"/>
      <c r="E100" s="73"/>
      <c r="F100" s="73"/>
      <c r="H100" t="s">
        <v>2417</v>
      </c>
      <c r="I100" t="s">
        <v>2418</v>
      </c>
      <c r="J100" s="6">
        <v>43024</v>
      </c>
      <c r="K100" t="s">
        <v>2419</v>
      </c>
    </row>
    <row r="101" spans="1:11">
      <c r="A101">
        <v>10</v>
      </c>
      <c r="C101" s="25" t="s">
        <v>2413</v>
      </c>
      <c r="D101" s="25"/>
      <c r="E101" s="73"/>
      <c r="F101" s="73"/>
      <c r="H101" t="s">
        <v>2420</v>
      </c>
      <c r="I101" t="s">
        <v>2421</v>
      </c>
      <c r="J101" s="6">
        <v>43024</v>
      </c>
      <c r="K101" t="s">
        <v>2422</v>
      </c>
    </row>
    <row r="102" spans="1:11">
      <c r="A102">
        <v>11</v>
      </c>
      <c r="C102" s="25" t="s">
        <v>2423</v>
      </c>
      <c r="D102" s="25"/>
      <c r="E102" s="73"/>
      <c r="F102" s="73"/>
      <c r="H102" t="s">
        <v>2424</v>
      </c>
      <c r="I102" t="s">
        <v>2425</v>
      </c>
      <c r="J102" s="6">
        <v>43028</v>
      </c>
      <c r="K102" t="s">
        <v>2221</v>
      </c>
    </row>
    <row r="103" spans="1:11">
      <c r="A103">
        <v>12</v>
      </c>
      <c r="C103" s="25" t="s">
        <v>135</v>
      </c>
      <c r="D103" s="25"/>
      <c r="E103" s="73"/>
      <c r="F103" s="73"/>
      <c r="H103" t="s">
        <v>2426</v>
      </c>
      <c r="I103" t="s">
        <v>2427</v>
      </c>
      <c r="K103" t="s">
        <v>2428</v>
      </c>
    </row>
    <row r="104" spans="1:11">
      <c r="A104">
        <v>13</v>
      </c>
      <c r="C104" s="25" t="s">
        <v>2178</v>
      </c>
      <c r="D104" s="25"/>
      <c r="E104" s="73"/>
      <c r="F104" s="73"/>
      <c r="H104" t="s">
        <v>2424</v>
      </c>
      <c r="I104" t="s">
        <v>2425</v>
      </c>
      <c r="K104" t="s">
        <v>2429</v>
      </c>
    </row>
    <row r="105" spans="1:11">
      <c r="A105">
        <v>14</v>
      </c>
      <c r="C105" s="25" t="s">
        <v>2423</v>
      </c>
      <c r="D105" s="25"/>
      <c r="E105" s="72"/>
      <c r="F105" s="72"/>
      <c r="H105" t="s">
        <v>2430</v>
      </c>
      <c r="I105" t="s">
        <v>2431</v>
      </c>
      <c r="J105" s="6">
        <v>43033</v>
      </c>
      <c r="K105" t="s">
        <v>2221</v>
      </c>
    </row>
    <row r="106" spans="1:11">
      <c r="A106">
        <v>15</v>
      </c>
      <c r="C106" s="25" t="s">
        <v>135</v>
      </c>
      <c r="D106" s="25"/>
      <c r="E106" s="73"/>
      <c r="F106" s="73"/>
      <c r="H106" t="s">
        <v>2432</v>
      </c>
      <c r="I106" t="s">
        <v>2433</v>
      </c>
      <c r="J106" s="6">
        <v>43033</v>
      </c>
      <c r="K106" t="s">
        <v>2434</v>
      </c>
    </row>
    <row r="107" spans="1:11">
      <c r="A107">
        <v>16</v>
      </c>
      <c r="C107" s="25" t="s">
        <v>2435</v>
      </c>
      <c r="D107" s="25"/>
      <c r="E107" s="25"/>
      <c r="F107" s="25"/>
      <c r="H107" t="s">
        <v>2436</v>
      </c>
      <c r="I107" t="s">
        <v>2437</v>
      </c>
      <c r="J107" s="6">
        <v>43038</v>
      </c>
      <c r="K107" t="s">
        <v>2221</v>
      </c>
    </row>
    <row r="108" spans="1:11">
      <c r="A108">
        <v>17</v>
      </c>
      <c r="B108" t="s">
        <v>2438</v>
      </c>
      <c r="C108" s="25" t="s">
        <v>129</v>
      </c>
      <c r="D108" s="72"/>
      <c r="E108" s="72"/>
      <c r="F108" s="72"/>
      <c r="G108" s="25">
        <v>4672.54</v>
      </c>
      <c r="H108" t="s">
        <v>2439</v>
      </c>
      <c r="I108" s="92" t="s">
        <v>2440</v>
      </c>
      <c r="J108" s="6">
        <v>43038</v>
      </c>
      <c r="K108" t="s">
        <v>2221</v>
      </c>
    </row>
    <row r="109" spans="1:11">
      <c r="C109" s="72"/>
      <c r="D109" s="72"/>
      <c r="E109" s="72"/>
      <c r="F109" s="72"/>
      <c r="I109" s="75"/>
      <c r="J109" s="6"/>
    </row>
    <row r="110" spans="1:11">
      <c r="A110">
        <v>1</v>
      </c>
      <c r="C110" s="25" t="s">
        <v>2441</v>
      </c>
      <c r="D110" s="25"/>
      <c r="E110" s="25"/>
      <c r="F110" s="25"/>
      <c r="H110" t="s">
        <v>2442</v>
      </c>
      <c r="I110" t="s">
        <v>2443</v>
      </c>
      <c r="J110" s="6">
        <v>43040</v>
      </c>
    </row>
    <row r="111" spans="1:11" ht="18.75" customHeight="1">
      <c r="A111">
        <v>2</v>
      </c>
      <c r="B111" s="135" t="s">
        <v>2444</v>
      </c>
      <c r="C111" s="25" t="s">
        <v>2359</v>
      </c>
      <c r="D111" s="72"/>
      <c r="E111" s="72"/>
      <c r="F111" s="72"/>
      <c r="G111" s="1">
        <v>78</v>
      </c>
      <c r="H111" t="s">
        <v>2445</v>
      </c>
      <c r="I111" t="s">
        <v>2446</v>
      </c>
      <c r="J111" s="6">
        <v>43040</v>
      </c>
    </row>
    <row r="112" spans="1:11">
      <c r="A112">
        <v>3</v>
      </c>
      <c r="C112" s="25" t="s">
        <v>129</v>
      </c>
      <c r="D112" s="25"/>
      <c r="E112" s="73"/>
      <c r="F112" s="73"/>
      <c r="H112" t="s">
        <v>240</v>
      </c>
      <c r="I112" t="s">
        <v>241</v>
      </c>
      <c r="J112" s="6">
        <v>43045</v>
      </c>
      <c r="K112" t="s">
        <v>242</v>
      </c>
    </row>
    <row r="113" spans="1:11">
      <c r="A113">
        <v>4</v>
      </c>
      <c r="C113" s="25" t="s">
        <v>356</v>
      </c>
      <c r="D113" s="25"/>
      <c r="E113" s="73"/>
      <c r="F113" s="73"/>
      <c r="H113" t="s">
        <v>424</v>
      </c>
      <c r="I113" t="s">
        <v>425</v>
      </c>
      <c r="J113" s="6">
        <v>43045</v>
      </c>
      <c r="K113" t="s">
        <v>426</v>
      </c>
    </row>
    <row r="114" spans="1:11">
      <c r="A114">
        <v>5</v>
      </c>
      <c r="C114" s="25" t="s">
        <v>271</v>
      </c>
      <c r="D114" s="25"/>
      <c r="E114" s="73"/>
      <c r="F114" s="73"/>
      <c r="H114" t="s">
        <v>390</v>
      </c>
      <c r="I114" t="s">
        <v>391</v>
      </c>
      <c r="J114" s="6">
        <v>43045</v>
      </c>
      <c r="K114" t="s">
        <v>392</v>
      </c>
    </row>
    <row r="115" spans="1:11">
      <c r="A115">
        <v>6</v>
      </c>
      <c r="C115" s="25" t="s">
        <v>412</v>
      </c>
      <c r="D115" s="25"/>
      <c r="H115" t="s">
        <v>414</v>
      </c>
      <c r="I115" t="s">
        <v>415</v>
      </c>
      <c r="J115" s="6">
        <v>43045</v>
      </c>
      <c r="K115" t="s">
        <v>416</v>
      </c>
    </row>
    <row r="116" spans="1:11">
      <c r="A116">
        <v>7</v>
      </c>
      <c r="B116" t="s">
        <v>429</v>
      </c>
      <c r="C116" s="25" t="s">
        <v>430</v>
      </c>
      <c r="D116" s="73"/>
      <c r="G116">
        <v>91.78</v>
      </c>
      <c r="H116" t="s">
        <v>432</v>
      </c>
      <c r="I116" t="s">
        <v>433</v>
      </c>
      <c r="J116" s="6">
        <v>43047</v>
      </c>
      <c r="K116" t="s">
        <v>434</v>
      </c>
    </row>
    <row r="117" spans="1:11">
      <c r="A117">
        <v>8</v>
      </c>
      <c r="C117" s="25" t="s">
        <v>436</v>
      </c>
      <c r="D117" s="25"/>
      <c r="H117" t="s">
        <v>2447</v>
      </c>
      <c r="I117" t="s">
        <v>2448</v>
      </c>
      <c r="J117" s="6">
        <v>43052</v>
      </c>
      <c r="K117" t="s">
        <v>2449</v>
      </c>
    </row>
    <row r="118" spans="1:11">
      <c r="A118">
        <v>9</v>
      </c>
      <c r="B118" t="s">
        <v>401</v>
      </c>
      <c r="C118" s="25" t="s">
        <v>121</v>
      </c>
      <c r="D118" s="25"/>
      <c r="E118">
        <v>2</v>
      </c>
      <c r="F118" t="s">
        <v>2406</v>
      </c>
      <c r="G118">
        <v>11658.99</v>
      </c>
      <c r="H118" t="s">
        <v>2450</v>
      </c>
      <c r="I118" t="s">
        <v>2451</v>
      </c>
      <c r="J118" s="6">
        <v>43056</v>
      </c>
      <c r="K118" t="s">
        <v>2452</v>
      </c>
    </row>
    <row r="119" spans="1:11">
      <c r="A119">
        <v>10</v>
      </c>
      <c r="B119" t="s">
        <v>285</v>
      </c>
      <c r="C119" s="25" t="s">
        <v>129</v>
      </c>
      <c r="E119">
        <v>1</v>
      </c>
      <c r="G119">
        <v>1107.68</v>
      </c>
      <c r="H119" t="s">
        <v>2453</v>
      </c>
      <c r="I119" t="s">
        <v>2454</v>
      </c>
      <c r="K119" t="s">
        <v>2221</v>
      </c>
    </row>
    <row r="120" spans="1:11">
      <c r="A120">
        <v>11</v>
      </c>
      <c r="B120" t="s">
        <v>276</v>
      </c>
      <c r="C120" s="25" t="s">
        <v>129</v>
      </c>
      <c r="E120">
        <v>2</v>
      </c>
      <c r="G120">
        <v>1513.88</v>
      </c>
      <c r="H120" t="s">
        <v>2455</v>
      </c>
      <c r="I120" t="s">
        <v>2456</v>
      </c>
      <c r="K120" t="s">
        <v>2457</v>
      </c>
    </row>
    <row r="121" spans="1:11">
      <c r="A121">
        <v>12</v>
      </c>
      <c r="B121" t="s">
        <v>481</v>
      </c>
      <c r="C121" s="25" t="s">
        <v>135</v>
      </c>
      <c r="E121">
        <v>7</v>
      </c>
      <c r="G121">
        <v>584.91999999999996</v>
      </c>
      <c r="H121" t="s">
        <v>2458</v>
      </c>
      <c r="I121" t="s">
        <v>2459</v>
      </c>
      <c r="J121" s="6">
        <v>43059</v>
      </c>
      <c r="K121" t="s">
        <v>2460</v>
      </c>
    </row>
    <row r="122" spans="1:11">
      <c r="A122">
        <v>13</v>
      </c>
      <c r="B122" t="s">
        <v>472</v>
      </c>
      <c r="C122" s="25" t="s">
        <v>135</v>
      </c>
      <c r="E122">
        <v>2</v>
      </c>
      <c r="G122">
        <v>734.92</v>
      </c>
      <c r="H122" t="s">
        <v>2461</v>
      </c>
      <c r="I122" t="s">
        <v>2462</v>
      </c>
      <c r="J122" s="6">
        <v>43059</v>
      </c>
      <c r="K122" t="s">
        <v>2221</v>
      </c>
    </row>
    <row r="123" spans="1:11">
      <c r="A123">
        <v>14</v>
      </c>
      <c r="B123" t="s">
        <v>420</v>
      </c>
      <c r="C123" s="25" t="s">
        <v>135</v>
      </c>
      <c r="E123">
        <v>5</v>
      </c>
      <c r="G123">
        <v>2306</v>
      </c>
      <c r="H123" t="s">
        <v>2463</v>
      </c>
      <c r="I123" t="s">
        <v>2464</v>
      </c>
      <c r="J123" s="6">
        <v>43060</v>
      </c>
      <c r="K123" t="s">
        <v>2465</v>
      </c>
    </row>
    <row r="124" spans="1:11">
      <c r="A124">
        <v>15</v>
      </c>
      <c r="C124" s="25" t="s">
        <v>135</v>
      </c>
      <c r="E124">
        <v>1</v>
      </c>
      <c r="G124">
        <v>542.48</v>
      </c>
      <c r="H124" t="s">
        <v>2466</v>
      </c>
      <c r="I124" t="s">
        <v>2467</v>
      </c>
      <c r="J124" s="6">
        <v>43060</v>
      </c>
      <c r="K124" t="s">
        <v>2468</v>
      </c>
    </row>
    <row r="125" spans="1:11">
      <c r="A125">
        <v>16</v>
      </c>
      <c r="B125" t="s">
        <v>476</v>
      </c>
      <c r="C125" s="25" t="s">
        <v>651</v>
      </c>
      <c r="E125">
        <v>1</v>
      </c>
      <c r="F125" t="s">
        <v>2469</v>
      </c>
      <c r="G125">
        <v>89.74</v>
      </c>
      <c r="H125" t="s">
        <v>2470</v>
      </c>
      <c r="I125" t="s">
        <v>2471</v>
      </c>
      <c r="J125" s="6">
        <v>43060</v>
      </c>
      <c r="K125" t="s">
        <v>2221</v>
      </c>
    </row>
    <row r="126" spans="1:11">
      <c r="A126">
        <v>17</v>
      </c>
      <c r="B126" t="s">
        <v>335</v>
      </c>
      <c r="C126" s="25" t="s">
        <v>135</v>
      </c>
      <c r="D126" s="25"/>
      <c r="E126">
        <v>60</v>
      </c>
      <c r="G126">
        <v>4111.8</v>
      </c>
      <c r="H126" t="s">
        <v>2472</v>
      </c>
      <c r="I126" t="s">
        <v>2473</v>
      </c>
      <c r="J126" s="6">
        <v>43060</v>
      </c>
      <c r="K126" t="s">
        <v>2474</v>
      </c>
    </row>
    <row r="127" spans="1:11">
      <c r="A127">
        <v>18</v>
      </c>
      <c r="B127" t="s">
        <v>367</v>
      </c>
      <c r="C127" s="25" t="s">
        <v>266</v>
      </c>
      <c r="D127" s="73"/>
      <c r="E127">
        <v>10</v>
      </c>
      <c r="F127" t="s">
        <v>2406</v>
      </c>
      <c r="G127">
        <v>358.2</v>
      </c>
      <c r="H127" t="s">
        <v>2475</v>
      </c>
      <c r="I127" t="s">
        <v>2476</v>
      </c>
      <c r="J127" s="6">
        <v>43066</v>
      </c>
      <c r="K127" t="s">
        <v>2477</v>
      </c>
    </row>
    <row r="128" spans="1:11">
      <c r="A128">
        <v>19</v>
      </c>
      <c r="B128" t="s">
        <v>363</v>
      </c>
      <c r="C128" s="25" t="s">
        <v>135</v>
      </c>
      <c r="D128" s="73"/>
      <c r="E128">
        <v>29</v>
      </c>
      <c r="G128">
        <v>10145.36</v>
      </c>
      <c r="H128" t="s">
        <v>2478</v>
      </c>
      <c r="I128" t="s">
        <v>2479</v>
      </c>
      <c r="J128" s="6">
        <v>43066</v>
      </c>
      <c r="K128" t="s">
        <v>2480</v>
      </c>
    </row>
    <row r="129" spans="1:11">
      <c r="A129">
        <v>20</v>
      </c>
      <c r="B129" t="s">
        <v>376</v>
      </c>
      <c r="C129" s="25" t="s">
        <v>135</v>
      </c>
      <c r="E129">
        <v>1</v>
      </c>
      <c r="G129">
        <v>486.34</v>
      </c>
      <c r="H129" t="s">
        <v>2481</v>
      </c>
      <c r="I129" t="s">
        <v>2482</v>
      </c>
      <c r="K129" t="s">
        <v>2221</v>
      </c>
    </row>
    <row r="130" spans="1:11">
      <c r="A130">
        <v>21</v>
      </c>
      <c r="B130" t="s">
        <v>310</v>
      </c>
      <c r="C130" s="25" t="s">
        <v>120</v>
      </c>
      <c r="D130" s="73"/>
      <c r="E130">
        <v>60</v>
      </c>
      <c r="F130" t="s">
        <v>2469</v>
      </c>
      <c r="G130">
        <v>12428.4</v>
      </c>
      <c r="H130" t="s">
        <v>2483</v>
      </c>
      <c r="I130" t="s">
        <v>2484</v>
      </c>
      <c r="J130" s="6">
        <v>43068</v>
      </c>
      <c r="K130" t="s">
        <v>2485</v>
      </c>
    </row>
    <row r="131" spans="1:11">
      <c r="A131">
        <v>22</v>
      </c>
      <c r="B131" t="s">
        <v>490</v>
      </c>
      <c r="C131" s="25" t="s">
        <v>446</v>
      </c>
      <c r="D131" s="73"/>
      <c r="E131">
        <v>36</v>
      </c>
      <c r="F131" t="s">
        <v>2469</v>
      </c>
      <c r="G131">
        <v>2567.16</v>
      </c>
      <c r="H131" t="s">
        <v>2486</v>
      </c>
      <c r="I131" t="s">
        <v>2487</v>
      </c>
      <c r="J131" s="6">
        <v>43068</v>
      </c>
      <c r="K131" t="s">
        <v>2488</v>
      </c>
    </row>
    <row r="133" spans="1:11">
      <c r="A133">
        <v>1</v>
      </c>
      <c r="B133" t="s">
        <v>498</v>
      </c>
      <c r="C133" s="25" t="s">
        <v>135</v>
      </c>
      <c r="E133">
        <v>1</v>
      </c>
      <c r="G133" s="9">
        <v>126.66</v>
      </c>
      <c r="H133" t="s">
        <v>2489</v>
      </c>
      <c r="I133" t="s">
        <v>2490</v>
      </c>
      <c r="J133" s="6">
        <v>43074</v>
      </c>
      <c r="K133" t="s">
        <v>2491</v>
      </c>
    </row>
    <row r="134" spans="1:11">
      <c r="A134">
        <v>2</v>
      </c>
      <c r="B134" t="s">
        <v>505</v>
      </c>
      <c r="C134" s="25" t="s">
        <v>135</v>
      </c>
      <c r="D134" s="72"/>
      <c r="E134">
        <v>6</v>
      </c>
      <c r="G134" s="1">
        <v>2181.6</v>
      </c>
      <c r="H134" t="s">
        <v>2492</v>
      </c>
      <c r="I134" t="s">
        <v>2493</v>
      </c>
      <c r="J134" s="6">
        <v>43074</v>
      </c>
      <c r="K134" t="s">
        <v>2494</v>
      </c>
    </row>
    <row r="135" spans="1:11">
      <c r="A135">
        <v>3</v>
      </c>
      <c r="B135" t="s">
        <v>539</v>
      </c>
      <c r="C135" s="25" t="s">
        <v>540</v>
      </c>
      <c r="D135" s="73"/>
      <c r="E135">
        <v>63</v>
      </c>
      <c r="F135" t="s">
        <v>2406</v>
      </c>
      <c r="G135">
        <v>849.87</v>
      </c>
      <c r="H135" t="s">
        <v>2495</v>
      </c>
      <c r="I135" t="s">
        <v>2496</v>
      </c>
      <c r="J135" s="6">
        <v>43077</v>
      </c>
      <c r="K135" t="s">
        <v>2497</v>
      </c>
    </row>
    <row r="136" spans="1:11">
      <c r="A136">
        <v>4</v>
      </c>
      <c r="B136" t="s">
        <v>398</v>
      </c>
      <c r="C136" s="25" t="s">
        <v>2498</v>
      </c>
      <c r="D136" s="72"/>
      <c r="E136">
        <v>1</v>
      </c>
      <c r="F136" t="s">
        <v>2469</v>
      </c>
      <c r="G136" s="70">
        <v>3783.74</v>
      </c>
      <c r="H136" t="s">
        <v>2499</v>
      </c>
      <c r="I136" t="s">
        <v>2500</v>
      </c>
      <c r="J136" s="6">
        <v>43077</v>
      </c>
    </row>
    <row r="137" spans="1:11">
      <c r="A137">
        <v>5</v>
      </c>
      <c r="B137" t="s">
        <v>461</v>
      </c>
      <c r="C137" s="25" t="s">
        <v>672</v>
      </c>
      <c r="E137">
        <v>40</v>
      </c>
      <c r="F137" t="s">
        <v>2406</v>
      </c>
      <c r="G137" s="9">
        <v>3288</v>
      </c>
      <c r="H137" t="s">
        <v>2501</v>
      </c>
      <c r="I137" t="s">
        <v>2502</v>
      </c>
      <c r="J137" s="6">
        <v>43077</v>
      </c>
      <c r="K137" t="s">
        <v>2503</v>
      </c>
    </row>
    <row r="138" spans="1:11">
      <c r="A138">
        <v>6</v>
      </c>
      <c r="B138" t="s">
        <v>417</v>
      </c>
      <c r="C138" s="25" t="s">
        <v>2504</v>
      </c>
      <c r="E138">
        <v>82</v>
      </c>
      <c r="G138">
        <v>661.74</v>
      </c>
      <c r="H138" t="s">
        <v>2505</v>
      </c>
      <c r="I138" t="s">
        <v>2506</v>
      </c>
      <c r="J138" s="6">
        <v>43077</v>
      </c>
      <c r="K138" t="s">
        <v>2507</v>
      </c>
    </row>
    <row r="139" spans="1:11">
      <c r="A139">
        <v>7</v>
      </c>
      <c r="B139" t="s">
        <v>351</v>
      </c>
      <c r="C139" s="25" t="s">
        <v>139</v>
      </c>
      <c r="E139">
        <v>6</v>
      </c>
      <c r="G139" s="1">
        <v>4236</v>
      </c>
      <c r="H139" t="s">
        <v>2508</v>
      </c>
      <c r="I139" t="s">
        <v>2509</v>
      </c>
      <c r="J139" s="6">
        <v>43077</v>
      </c>
      <c r="K139" t="s">
        <v>2510</v>
      </c>
    </row>
    <row r="140" spans="1:11">
      <c r="A140">
        <v>8</v>
      </c>
      <c r="B140" t="s">
        <v>523</v>
      </c>
      <c r="C140" s="25" t="s">
        <v>606</v>
      </c>
      <c r="D140" t="s">
        <v>2511</v>
      </c>
      <c r="E140">
        <v>1</v>
      </c>
      <c r="F140" t="s">
        <v>2406</v>
      </c>
      <c r="G140" s="1">
        <v>4728</v>
      </c>
      <c r="H140" t="s">
        <v>2512</v>
      </c>
      <c r="I140" t="s">
        <v>2513</v>
      </c>
      <c r="J140" s="6"/>
      <c r="K140" t="s">
        <v>2514</v>
      </c>
    </row>
    <row r="141" spans="1:11">
      <c r="A141">
        <v>9</v>
      </c>
      <c r="B141" t="s">
        <v>346</v>
      </c>
      <c r="C141" s="25" t="s">
        <v>347</v>
      </c>
      <c r="D141" s="142" t="s">
        <v>2515</v>
      </c>
      <c r="E141">
        <v>75</v>
      </c>
      <c r="G141">
        <v>8398.5</v>
      </c>
      <c r="H141" t="s">
        <v>2516</v>
      </c>
      <c r="I141" t="s">
        <v>2517</v>
      </c>
      <c r="J141" s="6">
        <v>43080</v>
      </c>
      <c r="K141" t="s">
        <v>2518</v>
      </c>
    </row>
    <row r="142" spans="1:11">
      <c r="A142">
        <v>10</v>
      </c>
      <c r="B142" t="s">
        <v>365</v>
      </c>
      <c r="C142" s="25" t="s">
        <v>229</v>
      </c>
      <c r="D142" t="s">
        <v>2519</v>
      </c>
      <c r="E142">
        <v>220</v>
      </c>
      <c r="G142" s="1">
        <v>33400.400000000001</v>
      </c>
      <c r="H142" t="s">
        <v>2520</v>
      </c>
      <c r="I142" t="s">
        <v>2521</v>
      </c>
      <c r="J142" s="6">
        <v>43088</v>
      </c>
      <c r="K142" t="s">
        <v>2522</v>
      </c>
    </row>
    <row r="143" spans="1:11">
      <c r="A143">
        <v>11</v>
      </c>
      <c r="B143" t="s">
        <v>551</v>
      </c>
      <c r="C143" s="25" t="s">
        <v>501</v>
      </c>
      <c r="D143" t="s">
        <v>2519</v>
      </c>
      <c r="E143">
        <v>3</v>
      </c>
      <c r="G143" s="1">
        <v>847.68</v>
      </c>
      <c r="H143" t="s">
        <v>2523</v>
      </c>
      <c r="I143" t="s">
        <v>2524</v>
      </c>
      <c r="J143" s="6">
        <v>43083</v>
      </c>
      <c r="K143" t="s">
        <v>2525</v>
      </c>
    </row>
    <row r="144" spans="1:11">
      <c r="A144">
        <v>12</v>
      </c>
      <c r="B144" t="s">
        <v>470</v>
      </c>
      <c r="C144" s="25" t="s">
        <v>135</v>
      </c>
      <c r="D144" t="s">
        <v>2519</v>
      </c>
      <c r="E144">
        <v>66</v>
      </c>
      <c r="G144" s="9">
        <v>2761.44</v>
      </c>
      <c r="H144" t="s">
        <v>2526</v>
      </c>
      <c r="I144" t="s">
        <v>2527</v>
      </c>
      <c r="J144" s="6">
        <v>43083</v>
      </c>
      <c r="K144" t="s">
        <v>2528</v>
      </c>
    </row>
    <row r="145" spans="1:11">
      <c r="A145">
        <v>13</v>
      </c>
      <c r="B145" t="s">
        <v>457</v>
      </c>
      <c r="C145" s="25" t="s">
        <v>135</v>
      </c>
      <c r="D145" t="s">
        <v>2519</v>
      </c>
      <c r="E145">
        <v>71</v>
      </c>
      <c r="G145" s="84">
        <v>3665.73</v>
      </c>
      <c r="H145" t="s">
        <v>2529</v>
      </c>
      <c r="I145" t="s">
        <v>2530</v>
      </c>
      <c r="J145" s="6">
        <v>43083</v>
      </c>
      <c r="K145" t="s">
        <v>2531</v>
      </c>
    </row>
    <row r="146" spans="1:11">
      <c r="A146">
        <v>14</v>
      </c>
      <c r="B146" t="s">
        <v>328</v>
      </c>
      <c r="C146" s="61" t="s">
        <v>2532</v>
      </c>
      <c r="D146" t="s">
        <v>2519</v>
      </c>
      <c r="E146">
        <v>11</v>
      </c>
      <c r="F146" t="s">
        <v>2406</v>
      </c>
      <c r="G146" s="1">
        <v>7806.04</v>
      </c>
      <c r="H146" t="s">
        <v>2533</v>
      </c>
      <c r="I146" t="s">
        <v>2534</v>
      </c>
      <c r="J146" s="6">
        <v>43083</v>
      </c>
      <c r="K146" t="s">
        <v>2535</v>
      </c>
    </row>
    <row r="147" spans="1:11">
      <c r="A147">
        <v>15</v>
      </c>
      <c r="B147" t="s">
        <v>529</v>
      </c>
      <c r="C147" s="25" t="s">
        <v>135</v>
      </c>
      <c r="D147" t="s">
        <v>2536</v>
      </c>
      <c r="E147">
        <v>6</v>
      </c>
      <c r="G147" s="1">
        <v>1491.18</v>
      </c>
      <c r="H147" t="s">
        <v>2537</v>
      </c>
      <c r="I147" t="s">
        <v>2538</v>
      </c>
      <c r="J147" s="6">
        <v>43084</v>
      </c>
      <c r="K147" t="s">
        <v>2539</v>
      </c>
    </row>
    <row r="148" spans="1:11">
      <c r="A148">
        <v>16</v>
      </c>
      <c r="B148" t="s">
        <v>403</v>
      </c>
      <c r="C148" s="25" t="s">
        <v>2532</v>
      </c>
      <c r="D148" t="s">
        <v>2536</v>
      </c>
      <c r="E148">
        <v>1</v>
      </c>
      <c r="F148" t="s">
        <v>2406</v>
      </c>
      <c r="G148" s="143">
        <v>1842.66</v>
      </c>
      <c r="H148" t="s">
        <v>2540</v>
      </c>
      <c r="I148" t="s">
        <v>2541</v>
      </c>
      <c r="J148" s="6">
        <v>43084</v>
      </c>
      <c r="K148" t="s">
        <v>2542</v>
      </c>
    </row>
    <row r="149" spans="1:11">
      <c r="A149">
        <v>17</v>
      </c>
      <c r="B149" t="s">
        <v>526</v>
      </c>
      <c r="C149" s="25" t="s">
        <v>2543</v>
      </c>
      <c r="D149" t="s">
        <v>2536</v>
      </c>
      <c r="E149">
        <v>5</v>
      </c>
      <c r="F149" t="s">
        <v>2406</v>
      </c>
      <c r="G149" s="1">
        <v>4771.5</v>
      </c>
      <c r="H149" t="s">
        <v>2544</v>
      </c>
      <c r="I149" t="s">
        <v>2545</v>
      </c>
      <c r="J149" s="6">
        <v>43084</v>
      </c>
      <c r="K149" t="s">
        <v>2546</v>
      </c>
    </row>
    <row r="150" spans="1:11">
      <c r="A150">
        <v>18</v>
      </c>
      <c r="B150" t="s">
        <v>496</v>
      </c>
      <c r="C150" s="25" t="s">
        <v>135</v>
      </c>
      <c r="D150" t="s">
        <v>2536</v>
      </c>
      <c r="E150">
        <v>22</v>
      </c>
      <c r="G150" s="9">
        <v>993.96</v>
      </c>
      <c r="H150" t="s">
        <v>2547</v>
      </c>
      <c r="I150" t="s">
        <v>2548</v>
      </c>
      <c r="J150" s="6">
        <v>43084</v>
      </c>
      <c r="K150" t="s">
        <v>2549</v>
      </c>
    </row>
    <row r="151" spans="1:11">
      <c r="A151">
        <v>19</v>
      </c>
      <c r="B151" t="s">
        <v>571</v>
      </c>
      <c r="C151" s="25" t="s">
        <v>501</v>
      </c>
      <c r="D151" t="s">
        <v>2536</v>
      </c>
      <c r="E151">
        <v>1</v>
      </c>
      <c r="G151" s="1">
        <v>1011.6</v>
      </c>
      <c r="H151" t="s">
        <v>2550</v>
      </c>
      <c r="I151" t="s">
        <v>2551</v>
      </c>
      <c r="J151" s="6">
        <v>43084</v>
      </c>
      <c r="K151" t="s">
        <v>2552</v>
      </c>
    </row>
    <row r="152" spans="1:11">
      <c r="A152">
        <v>20</v>
      </c>
      <c r="B152" t="s">
        <v>467</v>
      </c>
      <c r="C152" s="25" t="s">
        <v>468</v>
      </c>
      <c r="D152" t="s">
        <v>2536</v>
      </c>
      <c r="E152">
        <v>17</v>
      </c>
      <c r="F152" t="s">
        <v>2406</v>
      </c>
      <c r="G152" s="9">
        <v>1757.46</v>
      </c>
      <c r="H152" t="s">
        <v>2553</v>
      </c>
      <c r="I152" t="s">
        <v>2554</v>
      </c>
      <c r="J152" s="6">
        <v>43084</v>
      </c>
      <c r="K152" t="s">
        <v>2555</v>
      </c>
    </row>
    <row r="153" spans="1:11">
      <c r="A153">
        <v>21</v>
      </c>
      <c r="B153" t="s">
        <v>575</v>
      </c>
      <c r="C153" s="25" t="s">
        <v>576</v>
      </c>
      <c r="D153" t="s">
        <v>2536</v>
      </c>
      <c r="E153">
        <v>7</v>
      </c>
      <c r="F153" t="s">
        <v>2406</v>
      </c>
      <c r="G153" s="1">
        <v>184.66</v>
      </c>
      <c r="H153" t="s">
        <v>2556</v>
      </c>
      <c r="I153" t="s">
        <v>2557</v>
      </c>
      <c r="J153" s="6">
        <v>43085</v>
      </c>
      <c r="K153" t="s">
        <v>2221</v>
      </c>
    </row>
    <row r="154" spans="1:11">
      <c r="A154">
        <v>22</v>
      </c>
      <c r="B154" t="s">
        <v>479</v>
      </c>
      <c r="C154" s="25" t="s">
        <v>135</v>
      </c>
      <c r="D154" t="s">
        <v>2558</v>
      </c>
      <c r="E154">
        <v>10</v>
      </c>
      <c r="G154" s="9">
        <v>2064.8000000000002</v>
      </c>
      <c r="H154" t="s">
        <v>2559</v>
      </c>
      <c r="I154" t="s">
        <v>2560</v>
      </c>
      <c r="J154" s="6">
        <v>43085</v>
      </c>
      <c r="K154" t="s">
        <v>2221</v>
      </c>
    </row>
    <row r="155" spans="1:11">
      <c r="A155">
        <v>23</v>
      </c>
      <c r="B155" t="s">
        <v>555</v>
      </c>
      <c r="C155" s="25" t="s">
        <v>135</v>
      </c>
      <c r="D155" t="s">
        <v>2558</v>
      </c>
      <c r="E155">
        <v>1</v>
      </c>
      <c r="G155" s="1">
        <v>420.6</v>
      </c>
      <c r="H155" t="s">
        <v>2561</v>
      </c>
      <c r="I155" t="s">
        <v>2560</v>
      </c>
      <c r="J155" s="6">
        <v>43090</v>
      </c>
      <c r="K155" t="s">
        <v>2562</v>
      </c>
    </row>
    <row r="156" spans="1:11">
      <c r="A156">
        <v>24</v>
      </c>
      <c r="B156" t="s">
        <v>283</v>
      </c>
      <c r="C156" s="25" t="s">
        <v>1857</v>
      </c>
      <c r="D156" t="s">
        <v>2563</v>
      </c>
      <c r="E156">
        <v>7</v>
      </c>
      <c r="F156" t="s">
        <v>2406</v>
      </c>
      <c r="G156" s="1">
        <v>1496.11</v>
      </c>
      <c r="H156" t="s">
        <v>2564</v>
      </c>
      <c r="I156" t="s">
        <v>2565</v>
      </c>
      <c r="J156" s="6">
        <v>43090</v>
      </c>
      <c r="K156" t="s">
        <v>2566</v>
      </c>
    </row>
    <row r="157" spans="1:11">
      <c r="A157">
        <v>25</v>
      </c>
      <c r="B157" t="s">
        <v>564</v>
      </c>
      <c r="C157" s="25" t="s">
        <v>2567</v>
      </c>
      <c r="D157" t="s">
        <v>2558</v>
      </c>
      <c r="E157">
        <v>11</v>
      </c>
      <c r="F157" t="s">
        <v>2469</v>
      </c>
      <c r="G157" s="1">
        <v>378.84</v>
      </c>
      <c r="H157" t="s">
        <v>2568</v>
      </c>
      <c r="I157" t="s">
        <v>2569</v>
      </c>
      <c r="J157" s="6">
        <v>43091</v>
      </c>
      <c r="K157" t="s">
        <v>2570</v>
      </c>
    </row>
    <row r="158" spans="1:11">
      <c r="A158">
        <v>26</v>
      </c>
      <c r="B158" t="s">
        <v>549</v>
      </c>
      <c r="C158" s="25" t="s">
        <v>135</v>
      </c>
      <c r="D158" t="s">
        <v>2558</v>
      </c>
      <c r="E158">
        <v>26</v>
      </c>
      <c r="G158" s="1">
        <v>4035.2</v>
      </c>
      <c r="H158" t="s">
        <v>2571</v>
      </c>
      <c r="I158" t="s">
        <v>2572</v>
      </c>
      <c r="J158" s="6">
        <v>43091</v>
      </c>
      <c r="K158" t="s">
        <v>2573</v>
      </c>
    </row>
    <row r="159" spans="1:11">
      <c r="A159">
        <v>27</v>
      </c>
      <c r="B159" t="s">
        <v>620</v>
      </c>
      <c r="C159" s="25" t="s">
        <v>501</v>
      </c>
      <c r="D159" t="s">
        <v>2574</v>
      </c>
      <c r="E159">
        <v>4</v>
      </c>
      <c r="G159" s="1">
        <v>634.04</v>
      </c>
      <c r="H159" t="s">
        <v>2575</v>
      </c>
      <c r="I159" t="s">
        <v>2576</v>
      </c>
      <c r="J159" s="6">
        <v>43092</v>
      </c>
      <c r="K159" t="s">
        <v>2577</v>
      </c>
    </row>
    <row r="160" spans="1:11">
      <c r="A160">
        <v>28</v>
      </c>
      <c r="B160" t="s">
        <v>487</v>
      </c>
      <c r="C160" s="25" t="s">
        <v>135</v>
      </c>
      <c r="D160" t="s">
        <v>2574</v>
      </c>
      <c r="E160">
        <v>40</v>
      </c>
      <c r="G160" s="1">
        <v>4319.2</v>
      </c>
      <c r="H160" t="s">
        <v>2578</v>
      </c>
      <c r="I160" t="s">
        <v>2579</v>
      </c>
      <c r="J160" s="6">
        <v>43093</v>
      </c>
      <c r="K160" t="s">
        <v>2580</v>
      </c>
    </row>
    <row r="161" spans="1:12">
      <c r="A161">
        <v>29</v>
      </c>
      <c r="B161" t="s">
        <v>337</v>
      </c>
      <c r="C161" s="25" t="s">
        <v>129</v>
      </c>
      <c r="D161" t="s">
        <v>2581</v>
      </c>
      <c r="E161">
        <v>16</v>
      </c>
      <c r="G161" s="1">
        <v>14637.12</v>
      </c>
      <c r="H161" t="s">
        <v>2582</v>
      </c>
      <c r="I161" t="s">
        <v>2583</v>
      </c>
      <c r="J161" s="6">
        <v>43098</v>
      </c>
      <c r="K161" t="s">
        <v>2584</v>
      </c>
    </row>
    <row r="162" spans="1:12">
      <c r="A162">
        <v>30</v>
      </c>
      <c r="B162" t="s">
        <v>500</v>
      </c>
      <c r="C162" s="25" t="s">
        <v>501</v>
      </c>
      <c r="D162" t="s">
        <v>2581</v>
      </c>
      <c r="E162">
        <v>14</v>
      </c>
      <c r="G162" s="9">
        <v>582.96</v>
      </c>
      <c r="H162" t="s">
        <v>2585</v>
      </c>
      <c r="I162" t="s">
        <v>2586</v>
      </c>
      <c r="J162" s="6">
        <v>43095</v>
      </c>
      <c r="K162" t="s">
        <v>2587</v>
      </c>
    </row>
    <row r="163" spans="1:12">
      <c r="A163">
        <v>31</v>
      </c>
      <c r="B163" t="s">
        <v>448</v>
      </c>
      <c r="C163" s="25" t="s">
        <v>1462</v>
      </c>
      <c r="D163" t="s">
        <v>2581</v>
      </c>
      <c r="E163">
        <v>10</v>
      </c>
      <c r="F163" t="s">
        <v>2406</v>
      </c>
      <c r="G163" s="1">
        <v>1056.2</v>
      </c>
      <c r="H163" t="s">
        <v>2588</v>
      </c>
      <c r="I163" t="s">
        <v>2589</v>
      </c>
      <c r="J163" s="6">
        <v>43096</v>
      </c>
      <c r="K163" t="s">
        <v>2590</v>
      </c>
    </row>
    <row r="164" spans="1:12">
      <c r="A164">
        <v>32</v>
      </c>
      <c r="B164" t="s">
        <v>386</v>
      </c>
      <c r="C164" s="25" t="s">
        <v>129</v>
      </c>
      <c r="E164">
        <v>6</v>
      </c>
      <c r="G164" s="1">
        <v>4894.38</v>
      </c>
      <c r="H164" t="s">
        <v>2591</v>
      </c>
      <c r="I164" t="s">
        <v>2592</v>
      </c>
      <c r="J164" s="6">
        <v>43097</v>
      </c>
      <c r="K164" t="s">
        <v>2593</v>
      </c>
    </row>
    <row r="165" spans="1:12">
      <c r="G165" s="9"/>
    </row>
    <row r="166" spans="1:12">
      <c r="A166">
        <v>1</v>
      </c>
      <c r="B166" t="s">
        <v>442</v>
      </c>
      <c r="C166" s="25" t="s">
        <v>139</v>
      </c>
      <c r="D166" t="s">
        <v>2594</v>
      </c>
      <c r="E166">
        <v>6</v>
      </c>
      <c r="G166" s="1">
        <v>5385.3</v>
      </c>
      <c r="H166" t="s">
        <v>2595</v>
      </c>
      <c r="I166" t="s">
        <v>2596</v>
      </c>
      <c r="J166" s="6">
        <v>43102</v>
      </c>
      <c r="K166" t="s">
        <v>2597</v>
      </c>
    </row>
    <row r="167" spans="1:12">
      <c r="A167">
        <v>2</v>
      </c>
      <c r="B167" t="s">
        <v>544</v>
      </c>
      <c r="C167" s="25" t="s">
        <v>2598</v>
      </c>
      <c r="D167" t="s">
        <v>2594</v>
      </c>
      <c r="E167">
        <v>1</v>
      </c>
      <c r="F167" t="s">
        <v>2406</v>
      </c>
      <c r="G167" s="1">
        <v>164</v>
      </c>
      <c r="H167" t="s">
        <v>2599</v>
      </c>
      <c r="I167" t="s">
        <v>2600</v>
      </c>
      <c r="J167" s="6">
        <v>43102</v>
      </c>
      <c r="K167" t="s">
        <v>2601</v>
      </c>
    </row>
    <row r="168" spans="1:12">
      <c r="A168">
        <v>3</v>
      </c>
      <c r="B168" t="s">
        <v>445</v>
      </c>
      <c r="C168" s="25" t="s">
        <v>446</v>
      </c>
      <c r="D168" t="s">
        <v>2594</v>
      </c>
      <c r="E168">
        <v>1</v>
      </c>
      <c r="G168" s="1">
        <v>2092.7800000000002</v>
      </c>
      <c r="H168" t="s">
        <v>2602</v>
      </c>
      <c r="I168" t="s">
        <v>2603</v>
      </c>
      <c r="J168" s="6">
        <v>43103</v>
      </c>
      <c r="K168" t="s">
        <v>2604</v>
      </c>
    </row>
    <row r="169" spans="1:12">
      <c r="A169">
        <v>4</v>
      </c>
      <c r="B169" t="s">
        <v>585</v>
      </c>
      <c r="C169" s="25" t="s">
        <v>139</v>
      </c>
      <c r="D169" t="s">
        <v>2594</v>
      </c>
      <c r="E169">
        <v>2</v>
      </c>
      <c r="G169" s="1">
        <v>142</v>
      </c>
      <c r="H169" t="s">
        <v>2605</v>
      </c>
      <c r="I169" t="s">
        <v>2606</v>
      </c>
      <c r="J169" s="6">
        <v>43104</v>
      </c>
      <c r="K169" t="s">
        <v>2607</v>
      </c>
    </row>
    <row r="170" spans="1:12">
      <c r="A170">
        <v>5</v>
      </c>
      <c r="B170" t="s">
        <v>573</v>
      </c>
      <c r="C170" s="25" t="s">
        <v>279</v>
      </c>
      <c r="E170">
        <v>1</v>
      </c>
      <c r="F170" t="s">
        <v>2469</v>
      </c>
      <c r="G170" s="1">
        <v>898</v>
      </c>
      <c r="H170" t="s">
        <v>2608</v>
      </c>
      <c r="I170" t="s">
        <v>2609</v>
      </c>
      <c r="J170" s="6">
        <v>43104</v>
      </c>
      <c r="K170" t="s">
        <v>2601</v>
      </c>
    </row>
    <row r="171" spans="1:12">
      <c r="A171">
        <v>6</v>
      </c>
      <c r="B171" t="s">
        <v>566</v>
      </c>
      <c r="C171" s="25" t="s">
        <v>567</v>
      </c>
      <c r="E171">
        <v>16</v>
      </c>
      <c r="F171" t="s">
        <v>2406</v>
      </c>
      <c r="G171" s="1">
        <v>6033.6</v>
      </c>
      <c r="H171" t="s">
        <v>2610</v>
      </c>
      <c r="I171" t="s">
        <v>2611</v>
      </c>
      <c r="J171" s="6">
        <v>43104</v>
      </c>
      <c r="K171" t="s">
        <v>2612</v>
      </c>
    </row>
    <row r="172" spans="1:12">
      <c r="A172">
        <v>7</v>
      </c>
      <c r="B172" t="s">
        <v>569</v>
      </c>
      <c r="C172" s="25" t="s">
        <v>236</v>
      </c>
      <c r="E172">
        <v>19</v>
      </c>
      <c r="G172" s="1">
        <v>6339.16</v>
      </c>
      <c r="H172" t="s">
        <v>2613</v>
      </c>
      <c r="I172" t="s">
        <v>2614</v>
      </c>
      <c r="J172" s="6">
        <v>43104</v>
      </c>
      <c r="K172" t="s">
        <v>2615</v>
      </c>
    </row>
    <row r="173" spans="1:12">
      <c r="A173">
        <v>8</v>
      </c>
      <c r="B173" t="s">
        <v>494</v>
      </c>
      <c r="C173" s="25" t="s">
        <v>135</v>
      </c>
      <c r="E173">
        <v>23</v>
      </c>
      <c r="G173" s="1">
        <v>1672.1</v>
      </c>
      <c r="H173" t="s">
        <v>2616</v>
      </c>
      <c r="I173" t="s">
        <v>2617</v>
      </c>
      <c r="J173" s="6">
        <v>43104</v>
      </c>
      <c r="K173" t="s">
        <v>2618</v>
      </c>
    </row>
    <row r="174" spans="1:12">
      <c r="A174">
        <v>9</v>
      </c>
      <c r="B174" t="s">
        <v>349</v>
      </c>
      <c r="C174" s="25" t="s">
        <v>129</v>
      </c>
      <c r="E174">
        <v>1</v>
      </c>
      <c r="G174" s="1">
        <v>2573.9</v>
      </c>
      <c r="H174" t="s">
        <v>2619</v>
      </c>
      <c r="I174" t="s">
        <v>2620</v>
      </c>
      <c r="J174" s="6">
        <v>43105</v>
      </c>
      <c r="K174" t="s">
        <v>2601</v>
      </c>
      <c r="L174" s="75" t="s">
        <v>2621</v>
      </c>
    </row>
    <row r="175" spans="1:12">
      <c r="A175">
        <v>10</v>
      </c>
      <c r="B175" t="s">
        <v>561</v>
      </c>
      <c r="C175" s="25" t="s">
        <v>135</v>
      </c>
      <c r="E175">
        <v>12</v>
      </c>
      <c r="G175" s="1">
        <v>1597.92</v>
      </c>
      <c r="H175" t="s">
        <v>2622</v>
      </c>
      <c r="I175" t="s">
        <v>2623</v>
      </c>
      <c r="J175" s="6">
        <v>43106</v>
      </c>
      <c r="K175" t="s">
        <v>2624</v>
      </c>
    </row>
    <row r="176" spans="1:12">
      <c r="A176">
        <v>11</v>
      </c>
      <c r="B176" t="s">
        <v>590</v>
      </c>
      <c r="C176" s="25" t="s">
        <v>135</v>
      </c>
      <c r="E176">
        <v>2</v>
      </c>
      <c r="G176" s="1">
        <v>452.8</v>
      </c>
      <c r="H176" t="s">
        <v>2625</v>
      </c>
      <c r="I176" t="s">
        <v>2626</v>
      </c>
      <c r="J176" s="6">
        <v>43106</v>
      </c>
      <c r="K176" t="s">
        <v>2627</v>
      </c>
    </row>
    <row r="177" spans="1:12">
      <c r="A177">
        <v>12</v>
      </c>
      <c r="B177" t="s">
        <v>641</v>
      </c>
      <c r="C177" s="25" t="s">
        <v>135</v>
      </c>
      <c r="E177">
        <v>2</v>
      </c>
      <c r="G177" s="1">
        <v>412.78</v>
      </c>
      <c r="H177" t="s">
        <v>2628</v>
      </c>
      <c r="I177" t="s">
        <v>2629</v>
      </c>
      <c r="J177" s="6">
        <v>43106</v>
      </c>
      <c r="K177" t="s">
        <v>2630</v>
      </c>
    </row>
    <row r="178" spans="1:12">
      <c r="A178">
        <v>13</v>
      </c>
      <c r="B178" t="s">
        <v>642</v>
      </c>
      <c r="C178" s="25" t="s">
        <v>501</v>
      </c>
      <c r="E178">
        <v>3</v>
      </c>
      <c r="F178" t="s">
        <v>2469</v>
      </c>
      <c r="G178" s="70">
        <v>1813.14</v>
      </c>
      <c r="H178" t="s">
        <v>2631</v>
      </c>
      <c r="I178" t="s">
        <v>2632</v>
      </c>
      <c r="J178" s="6">
        <v>43106</v>
      </c>
      <c r="K178" t="s">
        <v>2633</v>
      </c>
    </row>
    <row r="179" spans="1:12">
      <c r="A179">
        <v>14</v>
      </c>
      <c r="B179" t="s">
        <v>483</v>
      </c>
      <c r="C179" s="25" t="s">
        <v>135</v>
      </c>
      <c r="E179">
        <v>142</v>
      </c>
      <c r="G179" s="70">
        <v>3523.02</v>
      </c>
      <c r="H179" t="s">
        <v>2634</v>
      </c>
      <c r="I179" t="s">
        <v>2635</v>
      </c>
      <c r="J179" s="6">
        <v>43106</v>
      </c>
      <c r="K179" t="s">
        <v>2636</v>
      </c>
    </row>
    <row r="180" spans="1:12">
      <c r="A180">
        <v>15</v>
      </c>
      <c r="B180" t="s">
        <v>265</v>
      </c>
      <c r="C180" s="25" t="s">
        <v>266</v>
      </c>
      <c r="E180">
        <v>1</v>
      </c>
      <c r="F180" t="s">
        <v>2469</v>
      </c>
      <c r="G180" s="1">
        <v>5086.68</v>
      </c>
      <c r="H180" t="s">
        <v>2637</v>
      </c>
      <c r="I180" t="s">
        <v>2638</v>
      </c>
      <c r="J180" s="6">
        <v>43108</v>
      </c>
      <c r="K180" t="s">
        <v>2639</v>
      </c>
    </row>
    <row r="181" spans="1:12">
      <c r="A181">
        <v>16</v>
      </c>
      <c r="B181" t="s">
        <v>259</v>
      </c>
      <c r="C181" s="25" t="s">
        <v>2199</v>
      </c>
      <c r="E181">
        <v>11</v>
      </c>
      <c r="F181" t="s">
        <v>2469</v>
      </c>
      <c r="G181">
        <v>3804.57</v>
      </c>
      <c r="H181" t="s">
        <v>2640</v>
      </c>
      <c r="I181" t="s">
        <v>2641</v>
      </c>
      <c r="J181" s="6">
        <v>43108</v>
      </c>
      <c r="K181" t="s">
        <v>2642</v>
      </c>
    </row>
    <row r="182" spans="1:12">
      <c r="A182">
        <v>17</v>
      </c>
      <c r="B182" t="s">
        <v>512</v>
      </c>
      <c r="C182" s="25" t="s">
        <v>404</v>
      </c>
      <c r="E182">
        <v>2</v>
      </c>
      <c r="F182" t="s">
        <v>2469</v>
      </c>
      <c r="G182">
        <v>1530.6</v>
      </c>
      <c r="H182" t="s">
        <v>2643</v>
      </c>
      <c r="I182" t="s">
        <v>2644</v>
      </c>
      <c r="J182" s="6">
        <v>43109</v>
      </c>
      <c r="K182" t="s">
        <v>2645</v>
      </c>
    </row>
    <row r="183" spans="1:12">
      <c r="A183">
        <v>18</v>
      </c>
      <c r="B183" t="s">
        <v>459</v>
      </c>
      <c r="C183" s="25" t="s">
        <v>129</v>
      </c>
      <c r="E183">
        <v>1</v>
      </c>
      <c r="G183" s="9">
        <v>1308.58</v>
      </c>
      <c r="H183" t="s">
        <v>2646</v>
      </c>
      <c r="I183" t="s">
        <v>2647</v>
      </c>
      <c r="J183" s="6">
        <v>43109</v>
      </c>
      <c r="K183" t="s">
        <v>2601</v>
      </c>
      <c r="L183" s="75"/>
    </row>
    <row r="184" spans="1:12">
      <c r="A184">
        <v>19</v>
      </c>
      <c r="B184" t="s">
        <v>671</v>
      </c>
      <c r="C184" s="25" t="s">
        <v>672</v>
      </c>
      <c r="E184">
        <v>1</v>
      </c>
      <c r="F184" t="s">
        <v>2469</v>
      </c>
      <c r="G184">
        <v>98</v>
      </c>
      <c r="H184" t="s">
        <v>2648</v>
      </c>
      <c r="I184" t="s">
        <v>2649</v>
      </c>
      <c r="J184" s="6">
        <v>43115</v>
      </c>
      <c r="K184" t="s">
        <v>2650</v>
      </c>
    </row>
    <row r="185" spans="1:12">
      <c r="A185">
        <v>20</v>
      </c>
      <c r="B185" t="s">
        <v>587</v>
      </c>
      <c r="C185" s="25" t="s">
        <v>135</v>
      </c>
      <c r="E185">
        <v>1</v>
      </c>
      <c r="G185">
        <v>249.64</v>
      </c>
      <c r="H185" t="s">
        <v>2651</v>
      </c>
      <c r="I185" t="s">
        <v>2652</v>
      </c>
      <c r="J185" s="6">
        <v>43115</v>
      </c>
      <c r="K185" t="s">
        <v>2653</v>
      </c>
    </row>
    <row r="186" spans="1:12">
      <c r="A186">
        <v>21</v>
      </c>
      <c r="B186" t="s">
        <v>598</v>
      </c>
      <c r="C186" s="25" t="s">
        <v>135</v>
      </c>
      <c r="E186">
        <v>3</v>
      </c>
      <c r="G186">
        <v>593.16</v>
      </c>
      <c r="H186" t="s">
        <v>2654</v>
      </c>
      <c r="I186" t="s">
        <v>2655</v>
      </c>
      <c r="J186" s="6">
        <v>43115</v>
      </c>
      <c r="K186" t="s">
        <v>2656</v>
      </c>
      <c r="L186" s="75"/>
    </row>
    <row r="187" spans="1:12">
      <c r="A187">
        <v>22</v>
      </c>
      <c r="B187" t="s">
        <v>427</v>
      </c>
      <c r="C187" s="25" t="s">
        <v>129</v>
      </c>
      <c r="E187">
        <v>1</v>
      </c>
      <c r="G187" s="9">
        <v>942</v>
      </c>
      <c r="H187" t="s">
        <v>2657</v>
      </c>
      <c r="I187" t="s">
        <v>2658</v>
      </c>
      <c r="J187" s="6">
        <v>43115</v>
      </c>
      <c r="K187" t="s">
        <v>2601</v>
      </c>
    </row>
    <row r="188" spans="1:12">
      <c r="A188">
        <v>23</v>
      </c>
      <c r="B188" t="s">
        <v>510</v>
      </c>
      <c r="C188" s="25" t="s">
        <v>135</v>
      </c>
      <c r="E188">
        <v>63</v>
      </c>
      <c r="G188" s="1">
        <v>2368.17</v>
      </c>
      <c r="H188" t="s">
        <v>2659</v>
      </c>
      <c r="I188" t="s">
        <v>2660</v>
      </c>
      <c r="J188" s="6">
        <v>43115</v>
      </c>
      <c r="K188" t="s">
        <v>2661</v>
      </c>
    </row>
    <row r="189" spans="1:12">
      <c r="A189">
        <v>24</v>
      </c>
      <c r="B189" t="s">
        <v>454</v>
      </c>
      <c r="C189" s="25" t="s">
        <v>2662</v>
      </c>
      <c r="E189">
        <v>24</v>
      </c>
      <c r="F189" t="s">
        <v>2406</v>
      </c>
      <c r="G189" s="9">
        <v>4059.36</v>
      </c>
      <c r="H189" t="s">
        <v>2663</v>
      </c>
      <c r="I189" t="s">
        <v>2664</v>
      </c>
      <c r="J189" s="6">
        <v>43117</v>
      </c>
      <c r="K189" t="s">
        <v>2665</v>
      </c>
    </row>
    <row r="190" spans="1:12">
      <c r="A190">
        <v>25</v>
      </c>
      <c r="B190" t="s">
        <v>665</v>
      </c>
      <c r="C190" s="25" t="s">
        <v>2666</v>
      </c>
      <c r="E190">
        <v>10</v>
      </c>
      <c r="G190" s="1">
        <v>198.7</v>
      </c>
      <c r="H190" t="s">
        <v>2667</v>
      </c>
      <c r="I190" t="s">
        <v>2668</v>
      </c>
      <c r="J190" s="6">
        <v>43117</v>
      </c>
      <c r="K190" t="s">
        <v>2669</v>
      </c>
    </row>
    <row r="191" spans="1:12">
      <c r="A191">
        <v>26</v>
      </c>
      <c r="B191" t="s">
        <v>657</v>
      </c>
      <c r="C191" s="25" t="s">
        <v>565</v>
      </c>
      <c r="E191">
        <v>1</v>
      </c>
      <c r="F191" t="s">
        <v>2469</v>
      </c>
      <c r="G191">
        <v>33.840000000000003</v>
      </c>
      <c r="H191" t="s">
        <v>2670</v>
      </c>
      <c r="I191" t="s">
        <v>2671</v>
      </c>
      <c r="J191" s="6">
        <v>43117</v>
      </c>
      <c r="K191" t="s">
        <v>2672</v>
      </c>
    </row>
    <row r="192" spans="1:12">
      <c r="A192">
        <v>27</v>
      </c>
      <c r="B192" t="s">
        <v>534</v>
      </c>
      <c r="C192" s="25" t="s">
        <v>135</v>
      </c>
      <c r="E192">
        <v>71</v>
      </c>
      <c r="H192" t="s">
        <v>2673</v>
      </c>
      <c r="I192" t="s">
        <v>2674</v>
      </c>
      <c r="J192" s="6">
        <v>43117</v>
      </c>
      <c r="K192" t="s">
        <v>2675</v>
      </c>
    </row>
    <row r="193" spans="1:12">
      <c r="A193">
        <v>28</v>
      </c>
      <c r="B193" t="s">
        <v>605</v>
      </c>
      <c r="C193" s="25" t="s">
        <v>606</v>
      </c>
      <c r="E193">
        <v>1</v>
      </c>
      <c r="F193" t="s">
        <v>2469</v>
      </c>
      <c r="G193" s="1">
        <v>6772</v>
      </c>
      <c r="H193" t="s">
        <v>2676</v>
      </c>
      <c r="I193" t="s">
        <v>2677</v>
      </c>
      <c r="J193" s="6">
        <v>43118</v>
      </c>
      <c r="K193" t="s">
        <v>2678</v>
      </c>
    </row>
    <row r="194" spans="1:12">
      <c r="A194">
        <v>29</v>
      </c>
      <c r="B194" t="s">
        <v>605</v>
      </c>
      <c r="C194" s="25" t="s">
        <v>606</v>
      </c>
      <c r="E194">
        <v>1</v>
      </c>
      <c r="F194" t="s">
        <v>2406</v>
      </c>
      <c r="G194" t="s">
        <v>2679</v>
      </c>
      <c r="H194" t="s">
        <v>2680</v>
      </c>
      <c r="I194" t="s">
        <v>2681</v>
      </c>
      <c r="J194" s="6">
        <v>43118</v>
      </c>
      <c r="K194" t="s">
        <v>2682</v>
      </c>
    </row>
    <row r="195" spans="1:12">
      <c r="A195">
        <v>30</v>
      </c>
      <c r="B195" t="s">
        <v>583</v>
      </c>
      <c r="C195" s="25" t="s">
        <v>135</v>
      </c>
      <c r="E195">
        <v>2</v>
      </c>
      <c r="G195" s="1">
        <v>946.8</v>
      </c>
      <c r="H195" t="s">
        <v>2683</v>
      </c>
      <c r="I195" t="s">
        <v>2684</v>
      </c>
      <c r="J195" s="6">
        <v>43119</v>
      </c>
      <c r="K195" t="s">
        <v>2685</v>
      </c>
    </row>
    <row r="196" spans="1:12">
      <c r="A196">
        <v>31</v>
      </c>
      <c r="B196" t="s">
        <v>652</v>
      </c>
      <c r="C196" s="25" t="s">
        <v>1047</v>
      </c>
      <c r="E196">
        <v>5</v>
      </c>
      <c r="G196" s="1">
        <v>12183</v>
      </c>
      <c r="H196" t="s">
        <v>2686</v>
      </c>
      <c r="I196" t="s">
        <v>2687</v>
      </c>
      <c r="J196" s="6">
        <v>43120</v>
      </c>
      <c r="K196" t="s">
        <v>2688</v>
      </c>
    </row>
    <row r="197" spans="1:12">
      <c r="A197">
        <v>32</v>
      </c>
      <c r="B197" t="s">
        <v>637</v>
      </c>
      <c r="C197" s="25" t="s">
        <v>606</v>
      </c>
      <c r="E197">
        <v>7</v>
      </c>
      <c r="G197" s="9">
        <v>2265.48</v>
      </c>
      <c r="H197" t="s">
        <v>2689</v>
      </c>
      <c r="I197" t="s">
        <v>2690</v>
      </c>
      <c r="J197" s="6">
        <v>43120</v>
      </c>
      <c r="K197" t="s">
        <v>2691</v>
      </c>
    </row>
    <row r="198" spans="1:12">
      <c r="A198">
        <v>33</v>
      </c>
      <c r="B198" t="s">
        <v>627</v>
      </c>
      <c r="C198" s="25" t="s">
        <v>139</v>
      </c>
      <c r="E198">
        <v>7</v>
      </c>
      <c r="G198" s="1">
        <v>4327.3999999999996</v>
      </c>
      <c r="H198" t="s">
        <v>2692</v>
      </c>
      <c r="I198" t="s">
        <v>2693</v>
      </c>
      <c r="J198" s="6">
        <v>43120</v>
      </c>
      <c r="K198" t="s">
        <v>2694</v>
      </c>
    </row>
    <row r="199" spans="1:12">
      <c r="A199">
        <v>34</v>
      </c>
      <c r="B199" t="s">
        <v>593</v>
      </c>
      <c r="C199" s="25" t="s">
        <v>135</v>
      </c>
      <c r="E199">
        <v>2</v>
      </c>
      <c r="G199" s="1">
        <v>408.16</v>
      </c>
      <c r="H199" t="s">
        <v>2695</v>
      </c>
      <c r="I199" t="s">
        <v>2696</v>
      </c>
      <c r="J199" s="6">
        <v>43120</v>
      </c>
      <c r="K199" t="s">
        <v>2697</v>
      </c>
    </row>
    <row r="200" spans="1:12">
      <c r="A200">
        <v>35</v>
      </c>
      <c r="B200" t="s">
        <v>618</v>
      </c>
      <c r="C200" s="25" t="s">
        <v>135</v>
      </c>
      <c r="E200">
        <v>1</v>
      </c>
      <c r="G200" s="1">
        <v>842.44</v>
      </c>
      <c r="H200" t="s">
        <v>2698</v>
      </c>
      <c r="I200" t="s">
        <v>2699</v>
      </c>
      <c r="J200" s="6">
        <v>43120</v>
      </c>
      <c r="K200" t="s">
        <v>2700</v>
      </c>
    </row>
    <row r="201" spans="1:12">
      <c r="A201">
        <v>36</v>
      </c>
      <c r="B201" t="s">
        <v>346</v>
      </c>
      <c r="C201" s="25" t="s">
        <v>347</v>
      </c>
      <c r="E201">
        <v>21</v>
      </c>
      <c r="G201">
        <v>2351.58</v>
      </c>
      <c r="H201" t="s">
        <v>2701</v>
      </c>
      <c r="I201" t="s">
        <v>2702</v>
      </c>
      <c r="J201" s="6">
        <v>43124</v>
      </c>
      <c r="K201" t="s">
        <v>2703</v>
      </c>
    </row>
    <row r="202" spans="1:12">
      <c r="A202">
        <v>37</v>
      </c>
      <c r="B202" t="s">
        <v>676</v>
      </c>
      <c r="C202" s="25" t="s">
        <v>236</v>
      </c>
      <c r="E202">
        <v>19</v>
      </c>
      <c r="F202" t="s">
        <v>2406</v>
      </c>
      <c r="G202" s="1">
        <v>6376.02</v>
      </c>
      <c r="H202" t="s">
        <v>2704</v>
      </c>
      <c r="I202" t="s">
        <v>2705</v>
      </c>
      <c r="J202" s="6">
        <v>43124</v>
      </c>
      <c r="K202" t="s">
        <v>2706</v>
      </c>
    </row>
    <row r="203" spans="1:12">
      <c r="A203">
        <v>38</v>
      </c>
      <c r="B203" t="s">
        <v>553</v>
      </c>
      <c r="C203" s="25" t="s">
        <v>1047</v>
      </c>
      <c r="E203">
        <v>17</v>
      </c>
      <c r="F203" t="s">
        <v>2406</v>
      </c>
      <c r="G203" s="1">
        <v>4424.76</v>
      </c>
      <c r="H203" t="s">
        <v>2707</v>
      </c>
      <c r="I203" t="s">
        <v>2708</v>
      </c>
      <c r="J203" s="6">
        <v>43124</v>
      </c>
      <c r="K203" t="s">
        <v>2709</v>
      </c>
    </row>
    <row r="204" spans="1:12">
      <c r="A204">
        <v>39</v>
      </c>
      <c r="B204" t="s">
        <v>2710</v>
      </c>
      <c r="C204" s="25" t="s">
        <v>129</v>
      </c>
      <c r="E204">
        <v>3</v>
      </c>
      <c r="G204" s="1">
        <v>909</v>
      </c>
      <c r="H204" t="s">
        <v>2711</v>
      </c>
      <c r="I204" t="s">
        <v>2712</v>
      </c>
      <c r="J204" s="6">
        <v>43125</v>
      </c>
      <c r="K204" t="s">
        <v>2713</v>
      </c>
      <c r="L204" s="75" t="s">
        <v>2714</v>
      </c>
    </row>
    <row r="205" spans="1:12">
      <c r="A205">
        <v>40</v>
      </c>
      <c r="B205" t="s">
        <v>536</v>
      </c>
      <c r="C205" s="92" t="s">
        <v>135</v>
      </c>
      <c r="E205">
        <v>106</v>
      </c>
      <c r="G205" s="1">
        <v>5376.32</v>
      </c>
      <c r="H205" t="s">
        <v>2715</v>
      </c>
      <c r="I205" t="s">
        <v>2716</v>
      </c>
      <c r="J205" s="6">
        <v>43125</v>
      </c>
      <c r="K205" t="s">
        <v>2717</v>
      </c>
      <c r="L205" s="75" t="s">
        <v>2718</v>
      </c>
    </row>
    <row r="206" spans="1:12">
      <c r="A206">
        <v>41</v>
      </c>
      <c r="B206" t="s">
        <v>645</v>
      </c>
      <c r="C206" s="25" t="s">
        <v>2719</v>
      </c>
      <c r="E206">
        <v>8</v>
      </c>
      <c r="F206" t="s">
        <v>2406</v>
      </c>
      <c r="G206" s="1">
        <v>210.72</v>
      </c>
      <c r="H206" t="s">
        <v>2720</v>
      </c>
      <c r="I206" t="s">
        <v>2721</v>
      </c>
      <c r="J206" s="6">
        <v>43125</v>
      </c>
      <c r="K206" t="s">
        <v>2601</v>
      </c>
    </row>
    <row r="207" spans="1:12">
      <c r="A207">
        <v>42</v>
      </c>
      <c r="B207" t="s">
        <v>378</v>
      </c>
      <c r="C207" s="25" t="s">
        <v>954</v>
      </c>
      <c r="E207">
        <v>18</v>
      </c>
      <c r="G207" s="1">
        <v>1283.22</v>
      </c>
      <c r="H207" t="s">
        <v>2722</v>
      </c>
      <c r="I207" t="s">
        <v>2723</v>
      </c>
      <c r="J207" s="6">
        <v>43129</v>
      </c>
      <c r="K207" t="s">
        <v>2724</v>
      </c>
    </row>
    <row r="208" spans="1:12">
      <c r="A208">
        <v>43</v>
      </c>
      <c r="B208" t="s">
        <v>2725</v>
      </c>
      <c r="C208" s="25" t="s">
        <v>2726</v>
      </c>
      <c r="E208">
        <v>1</v>
      </c>
      <c r="G208" s="1">
        <v>122.2</v>
      </c>
      <c r="H208" t="s">
        <v>2727</v>
      </c>
      <c r="I208" t="s">
        <v>2728</v>
      </c>
      <c r="J208" s="6">
        <v>43129</v>
      </c>
      <c r="K208" t="s">
        <v>2729</v>
      </c>
      <c r="L208" s="75"/>
    </row>
    <row r="210" spans="1:12">
      <c r="A210">
        <v>1</v>
      </c>
      <c r="B210" t="s">
        <v>451</v>
      </c>
      <c r="C210" s="25" t="s">
        <v>135</v>
      </c>
      <c r="E210">
        <v>2</v>
      </c>
      <c r="F210" t="s">
        <v>2406</v>
      </c>
      <c r="G210" s="1">
        <v>4239.2</v>
      </c>
      <c r="H210" t="s">
        <v>2730</v>
      </c>
      <c r="I210" t="s">
        <v>2731</v>
      </c>
      <c r="J210" s="6">
        <v>43132</v>
      </c>
      <c r="K210" t="s">
        <v>2732</v>
      </c>
    </row>
    <row r="211" spans="1:12">
      <c r="A211">
        <v>2</v>
      </c>
      <c r="B211" t="s">
        <v>323</v>
      </c>
      <c r="C211" s="25" t="s">
        <v>324</v>
      </c>
      <c r="E211">
        <v>24</v>
      </c>
      <c r="F211" t="s">
        <v>2406</v>
      </c>
      <c r="G211" s="1">
        <v>2982.48</v>
      </c>
      <c r="H211" t="s">
        <v>2733</v>
      </c>
      <c r="I211" t="s">
        <v>2734</v>
      </c>
      <c r="J211" s="6">
        <v>43133</v>
      </c>
      <c r="K211" t="s">
        <v>2735</v>
      </c>
    </row>
    <row r="212" spans="1:12">
      <c r="A212">
        <v>3</v>
      </c>
      <c r="B212" t="s">
        <v>323</v>
      </c>
      <c r="C212" s="25" t="s">
        <v>324</v>
      </c>
      <c r="E212">
        <v>24</v>
      </c>
      <c r="F212" t="s">
        <v>2406</v>
      </c>
      <c r="G212" s="1">
        <v>2982.48</v>
      </c>
      <c r="H212" t="s">
        <v>2736</v>
      </c>
      <c r="I212" t="s">
        <v>2737</v>
      </c>
      <c r="J212" s="6">
        <v>43133</v>
      </c>
      <c r="K212" t="s">
        <v>2738</v>
      </c>
    </row>
    <row r="213" spans="1:12">
      <c r="A213">
        <v>4</v>
      </c>
      <c r="B213" t="s">
        <v>323</v>
      </c>
      <c r="C213" s="25" t="s">
        <v>324</v>
      </c>
      <c r="E213">
        <v>17</v>
      </c>
      <c r="F213" t="s">
        <v>2406</v>
      </c>
      <c r="G213" s="1">
        <v>2112.59</v>
      </c>
      <c r="H213" t="s">
        <v>2739</v>
      </c>
      <c r="I213" t="s">
        <v>2740</v>
      </c>
      <c r="J213" s="6">
        <v>43133</v>
      </c>
      <c r="K213" t="s">
        <v>2741</v>
      </c>
    </row>
    <row r="214" spans="1:12">
      <c r="A214">
        <v>5</v>
      </c>
      <c r="B214" t="s">
        <v>708</v>
      </c>
      <c r="C214" s="25" t="s">
        <v>347</v>
      </c>
      <c r="D214" s="75"/>
      <c r="E214">
        <v>66</v>
      </c>
      <c r="F214" t="s">
        <v>2406</v>
      </c>
      <c r="G214" s="1">
        <v>981.42</v>
      </c>
      <c r="H214" t="s">
        <v>2742</v>
      </c>
      <c r="I214" t="s">
        <v>2743</v>
      </c>
      <c r="J214" s="6">
        <v>43136</v>
      </c>
      <c r="K214" t="s">
        <v>2744</v>
      </c>
    </row>
    <row r="215" spans="1:12">
      <c r="A215">
        <v>6</v>
      </c>
      <c r="B215" t="s">
        <v>610</v>
      </c>
      <c r="C215" s="25" t="s">
        <v>347</v>
      </c>
      <c r="D215" s="75"/>
      <c r="E215">
        <v>81</v>
      </c>
      <c r="F215" t="s">
        <v>2406</v>
      </c>
      <c r="G215" s="1">
        <v>3237.57</v>
      </c>
      <c r="H215" t="s">
        <v>2745</v>
      </c>
      <c r="I215" t="s">
        <v>2746</v>
      </c>
      <c r="J215" s="6">
        <v>43136</v>
      </c>
      <c r="K215" t="s">
        <v>2747</v>
      </c>
    </row>
    <row r="216" spans="1:12">
      <c r="A216">
        <v>7</v>
      </c>
      <c r="B216" t="s">
        <v>710</v>
      </c>
      <c r="C216" s="25" t="s">
        <v>1047</v>
      </c>
      <c r="E216">
        <v>8</v>
      </c>
      <c r="F216" t="s">
        <v>2406</v>
      </c>
      <c r="G216" s="9">
        <v>543.04</v>
      </c>
      <c r="H216" t="s">
        <v>2748</v>
      </c>
      <c r="I216" t="s">
        <v>2749</v>
      </c>
      <c r="J216" s="6">
        <v>43136</v>
      </c>
      <c r="K216" t="s">
        <v>2750</v>
      </c>
    </row>
    <row r="217" spans="1:12">
      <c r="A217">
        <v>8</v>
      </c>
      <c r="B217" t="s">
        <v>720</v>
      </c>
      <c r="C217" s="25" t="s">
        <v>501</v>
      </c>
      <c r="E217">
        <v>9</v>
      </c>
      <c r="F217" t="s">
        <v>2406</v>
      </c>
      <c r="G217" s="1">
        <v>859.41</v>
      </c>
      <c r="H217" t="s">
        <v>2751</v>
      </c>
      <c r="I217" t="s">
        <v>2752</v>
      </c>
      <c r="J217" s="6">
        <v>43136</v>
      </c>
      <c r="K217" t="s">
        <v>2753</v>
      </c>
    </row>
    <row r="218" spans="1:12">
      <c r="A218">
        <v>9</v>
      </c>
      <c r="B218" t="s">
        <v>547</v>
      </c>
      <c r="C218" s="25" t="s">
        <v>139</v>
      </c>
      <c r="E218">
        <v>1</v>
      </c>
      <c r="F218" t="s">
        <v>2406</v>
      </c>
      <c r="G218" s="1">
        <v>5983.26</v>
      </c>
      <c r="H218" t="s">
        <v>2754</v>
      </c>
      <c r="I218" t="s">
        <v>2755</v>
      </c>
      <c r="J218" s="6">
        <v>43138</v>
      </c>
      <c r="K218" t="s">
        <v>2756</v>
      </c>
    </row>
    <row r="219" spans="1:12">
      <c r="A219">
        <v>10</v>
      </c>
      <c r="B219" t="s">
        <v>547</v>
      </c>
      <c r="C219" s="25" t="s">
        <v>139</v>
      </c>
      <c r="E219">
        <v>1</v>
      </c>
      <c r="H219" t="s">
        <v>2757</v>
      </c>
      <c r="I219" t="s">
        <v>2758</v>
      </c>
      <c r="J219" s="6">
        <v>43138</v>
      </c>
      <c r="K219" t="s">
        <v>2759</v>
      </c>
    </row>
    <row r="220" spans="1:12">
      <c r="A220">
        <v>11</v>
      </c>
      <c r="B220" t="s">
        <v>547</v>
      </c>
      <c r="C220" s="25" t="s">
        <v>139</v>
      </c>
      <c r="E220">
        <v>1</v>
      </c>
      <c r="H220" t="s">
        <v>2760</v>
      </c>
      <c r="I220" t="s">
        <v>2761</v>
      </c>
      <c r="J220" s="6">
        <v>43138</v>
      </c>
      <c r="K220" t="s">
        <v>2762</v>
      </c>
    </row>
    <row r="221" spans="1:12">
      <c r="A221">
        <v>12</v>
      </c>
      <c r="B221" t="s">
        <v>519</v>
      </c>
      <c r="C221" s="25" t="s">
        <v>129</v>
      </c>
      <c r="E221">
        <v>2</v>
      </c>
      <c r="G221" s="1">
        <v>4678.8</v>
      </c>
      <c r="H221" t="s">
        <v>2763</v>
      </c>
      <c r="I221" t="s">
        <v>2764</v>
      </c>
      <c r="J221" s="6">
        <v>43139</v>
      </c>
      <c r="K221" t="s">
        <v>2221</v>
      </c>
      <c r="L221" s="75"/>
    </row>
    <row r="222" spans="1:12">
      <c r="A222">
        <v>13</v>
      </c>
      <c r="B222" t="s">
        <v>591</v>
      </c>
      <c r="C222" s="25" t="s">
        <v>135</v>
      </c>
      <c r="E222">
        <v>4</v>
      </c>
      <c r="G222">
        <v>390.64</v>
      </c>
      <c r="H222" t="s">
        <v>2765</v>
      </c>
      <c r="I222" t="s">
        <v>2766</v>
      </c>
      <c r="J222" s="6">
        <v>43140</v>
      </c>
      <c r="K222" t="s">
        <v>2767</v>
      </c>
    </row>
    <row r="223" spans="1:12">
      <c r="A223">
        <v>14</v>
      </c>
      <c r="G223" s="9"/>
      <c r="H223" s="75"/>
      <c r="J223" s="6"/>
    </row>
    <row r="224" spans="1:12">
      <c r="A224">
        <v>15</v>
      </c>
      <c r="B224" t="s">
        <v>581</v>
      </c>
      <c r="C224" s="25" t="s">
        <v>135</v>
      </c>
      <c r="E224">
        <v>64</v>
      </c>
      <c r="G224" s="1">
        <v>3388.16</v>
      </c>
      <c r="H224" t="s">
        <v>2768</v>
      </c>
      <c r="I224" t="s">
        <v>2769</v>
      </c>
      <c r="J224" s="6">
        <v>43140</v>
      </c>
      <c r="K224" t="s">
        <v>2770</v>
      </c>
    </row>
    <row r="225" spans="1:13">
      <c r="A225">
        <v>16</v>
      </c>
      <c r="B225" t="s">
        <v>463</v>
      </c>
      <c r="C225" s="25" t="s">
        <v>129</v>
      </c>
      <c r="E225">
        <v>3</v>
      </c>
      <c r="F225" t="s">
        <v>2406</v>
      </c>
      <c r="G225" s="1">
        <v>19158</v>
      </c>
      <c r="H225" t="s">
        <v>2771</v>
      </c>
      <c r="I225" t="s">
        <v>2772</v>
      </c>
      <c r="J225" s="6">
        <v>43140</v>
      </c>
      <c r="K225" t="s">
        <v>2221</v>
      </c>
    </row>
    <row r="226" spans="1:13">
      <c r="A226">
        <v>17</v>
      </c>
      <c r="B226" t="s">
        <v>516</v>
      </c>
      <c r="C226" s="25" t="s">
        <v>404</v>
      </c>
      <c r="E226">
        <v>5</v>
      </c>
      <c r="F226" t="s">
        <v>2406</v>
      </c>
      <c r="G226" s="1">
        <v>11058.5</v>
      </c>
      <c r="H226" t="s">
        <v>2773</v>
      </c>
      <c r="I226" t="s">
        <v>2774</v>
      </c>
      <c r="J226" s="6">
        <v>43143</v>
      </c>
      <c r="K226" t="s">
        <v>2775</v>
      </c>
    </row>
    <row r="227" spans="1:13">
      <c r="A227">
        <v>18</v>
      </c>
      <c r="B227" t="s">
        <v>712</v>
      </c>
      <c r="C227" s="25" t="s">
        <v>368</v>
      </c>
      <c r="E227">
        <v>13</v>
      </c>
      <c r="F227" t="s">
        <v>2406</v>
      </c>
      <c r="G227" s="1">
        <v>619.97</v>
      </c>
      <c r="H227" t="s">
        <v>2776</v>
      </c>
      <c r="I227" t="s">
        <v>2777</v>
      </c>
      <c r="J227" s="6">
        <v>43144</v>
      </c>
      <c r="K227" t="s">
        <v>2778</v>
      </c>
    </row>
    <row r="228" spans="1:13">
      <c r="A228">
        <v>19</v>
      </c>
      <c r="B228" t="s">
        <v>693</v>
      </c>
      <c r="C228" s="25" t="s">
        <v>2779</v>
      </c>
      <c r="E228">
        <v>1</v>
      </c>
      <c r="F228" t="s">
        <v>2406</v>
      </c>
      <c r="G228" s="1">
        <v>298.47000000000003</v>
      </c>
      <c r="H228" t="s">
        <v>2780</v>
      </c>
      <c r="I228" t="s">
        <v>2781</v>
      </c>
      <c r="J228" s="6">
        <v>43144</v>
      </c>
      <c r="K228" t="s">
        <v>2221</v>
      </c>
    </row>
    <row r="229" spans="1:13">
      <c r="A229">
        <v>20</v>
      </c>
      <c r="B229" t="s">
        <v>701</v>
      </c>
      <c r="C229" s="25" t="s">
        <v>2779</v>
      </c>
      <c r="E229">
        <v>1</v>
      </c>
      <c r="F229" t="s">
        <v>2406</v>
      </c>
      <c r="G229" s="1">
        <v>298.47000000000003</v>
      </c>
      <c r="H229" t="s">
        <v>2782</v>
      </c>
      <c r="I229" t="s">
        <v>2783</v>
      </c>
      <c r="J229" s="6">
        <v>43144</v>
      </c>
      <c r="K229" t="s">
        <v>2221</v>
      </c>
    </row>
    <row r="230" spans="1:13">
      <c r="A230">
        <v>21</v>
      </c>
      <c r="B230" t="s">
        <v>728</v>
      </c>
      <c r="C230" s="25" t="s">
        <v>729</v>
      </c>
      <c r="E230">
        <v>1</v>
      </c>
      <c r="G230">
        <v>116.48</v>
      </c>
      <c r="H230" t="s">
        <v>2784</v>
      </c>
      <c r="I230" t="s">
        <v>2785</v>
      </c>
      <c r="J230" s="6">
        <v>43145</v>
      </c>
      <c r="K230" t="s">
        <v>2786</v>
      </c>
    </row>
    <row r="231" spans="1:13">
      <c r="A231">
        <v>22</v>
      </c>
      <c r="B231" t="s">
        <v>681</v>
      </c>
      <c r="C231" s="25" t="s">
        <v>2787</v>
      </c>
      <c r="E231">
        <v>20</v>
      </c>
      <c r="F231" t="s">
        <v>2406</v>
      </c>
      <c r="G231">
        <v>918.4</v>
      </c>
      <c r="H231" t="s">
        <v>2788</v>
      </c>
      <c r="I231" t="s">
        <v>2789</v>
      </c>
      <c r="J231" s="6">
        <v>43145</v>
      </c>
      <c r="K231" t="s">
        <v>2790</v>
      </c>
    </row>
    <row r="232" spans="1:13">
      <c r="A232">
        <v>23</v>
      </c>
      <c r="B232" t="s">
        <v>681</v>
      </c>
      <c r="C232" s="25" t="s">
        <v>2787</v>
      </c>
      <c r="E232">
        <v>20</v>
      </c>
      <c r="F232" t="s">
        <v>2406</v>
      </c>
      <c r="G232">
        <v>918.4</v>
      </c>
      <c r="H232" t="s">
        <v>2791</v>
      </c>
      <c r="I232" t="s">
        <v>2792</v>
      </c>
      <c r="J232" s="6">
        <v>43145</v>
      </c>
      <c r="K232" t="s">
        <v>2793</v>
      </c>
    </row>
    <row r="233" spans="1:13">
      <c r="A233">
        <v>24</v>
      </c>
      <c r="B233" t="s">
        <v>703</v>
      </c>
      <c r="C233" s="25" t="s">
        <v>2794</v>
      </c>
      <c r="E233">
        <v>8</v>
      </c>
      <c r="G233">
        <v>185.12</v>
      </c>
      <c r="H233" t="s">
        <v>2795</v>
      </c>
      <c r="I233" t="s">
        <v>2796</v>
      </c>
      <c r="J233" s="6">
        <v>43145</v>
      </c>
      <c r="M233" s="73"/>
    </row>
    <row r="234" spans="1:13">
      <c r="A234">
        <v>25</v>
      </c>
      <c r="B234" t="s">
        <v>521</v>
      </c>
      <c r="C234" s="25" t="s">
        <v>2797</v>
      </c>
      <c r="E234">
        <v>1</v>
      </c>
      <c r="F234" t="s">
        <v>2406</v>
      </c>
      <c r="G234">
        <v>3788.34</v>
      </c>
      <c r="H234" t="s">
        <v>2798</v>
      </c>
      <c r="I234" t="s">
        <v>2799</v>
      </c>
      <c r="J234" s="6">
        <v>43145</v>
      </c>
      <c r="K234" t="s">
        <v>2800</v>
      </c>
    </row>
    <row r="235" spans="1:13">
      <c r="A235">
        <v>26</v>
      </c>
      <c r="B235" t="s">
        <v>744</v>
      </c>
      <c r="C235" s="25" t="s">
        <v>501</v>
      </c>
      <c r="E235">
        <v>2</v>
      </c>
      <c r="F235" t="s">
        <v>2406</v>
      </c>
      <c r="G235" s="1">
        <v>6054.9</v>
      </c>
      <c r="H235" t="s">
        <v>2801</v>
      </c>
      <c r="I235" t="s">
        <v>2802</v>
      </c>
      <c r="J235" s="6">
        <v>43152</v>
      </c>
      <c r="K235" t="s">
        <v>2803</v>
      </c>
    </row>
    <row r="236" spans="1:13">
      <c r="A236">
        <v>27</v>
      </c>
      <c r="B236" t="s">
        <v>474</v>
      </c>
      <c r="C236" s="25" t="s">
        <v>135</v>
      </c>
      <c r="E236">
        <v>26</v>
      </c>
      <c r="G236" s="1">
        <v>1393.44</v>
      </c>
      <c r="H236" t="s">
        <v>2804</v>
      </c>
      <c r="I236" t="s">
        <v>2805</v>
      </c>
      <c r="J236" s="6">
        <v>43152</v>
      </c>
      <c r="K236" t="s">
        <v>2806</v>
      </c>
    </row>
    <row r="237" spans="1:13">
      <c r="A237">
        <v>28</v>
      </c>
      <c r="B237" t="s">
        <v>557</v>
      </c>
      <c r="C237" s="25" t="s">
        <v>135</v>
      </c>
      <c r="E237">
        <v>80</v>
      </c>
      <c r="G237" s="1">
        <v>10350.4</v>
      </c>
      <c r="H237" t="s">
        <v>2807</v>
      </c>
      <c r="I237" t="s">
        <v>2808</v>
      </c>
      <c r="J237" s="6">
        <v>43153</v>
      </c>
      <c r="K237" t="s">
        <v>2809</v>
      </c>
    </row>
    <row r="238" spans="1:13">
      <c r="A238">
        <v>29</v>
      </c>
      <c r="B238" t="s">
        <v>655</v>
      </c>
      <c r="C238" s="25" t="s">
        <v>135</v>
      </c>
      <c r="E238">
        <v>63</v>
      </c>
      <c r="G238" s="1">
        <v>7299.18</v>
      </c>
      <c r="H238" t="s">
        <v>2810</v>
      </c>
      <c r="I238" t="s">
        <v>2811</v>
      </c>
      <c r="J238" s="6">
        <v>43153</v>
      </c>
      <c r="K238" t="s">
        <v>2812</v>
      </c>
    </row>
    <row r="239" spans="1:13">
      <c r="A239">
        <v>30</v>
      </c>
      <c r="B239" t="s">
        <v>614</v>
      </c>
      <c r="C239" s="25" t="s">
        <v>532</v>
      </c>
      <c r="E239">
        <v>56</v>
      </c>
      <c r="F239" t="s">
        <v>2406</v>
      </c>
      <c r="G239" s="1">
        <v>5275.76</v>
      </c>
      <c r="H239" t="s">
        <v>2813</v>
      </c>
      <c r="I239" t="s">
        <v>2814</v>
      </c>
      <c r="J239" s="6">
        <v>43157</v>
      </c>
      <c r="K239" t="s">
        <v>2815</v>
      </c>
    </row>
    <row r="240" spans="1:13">
      <c r="A240">
        <v>31</v>
      </c>
      <c r="B240" t="s">
        <v>663</v>
      </c>
      <c r="C240" s="25" t="s">
        <v>135</v>
      </c>
      <c r="E240">
        <v>264</v>
      </c>
      <c r="G240" s="1">
        <v>12571.79</v>
      </c>
      <c r="H240" t="s">
        <v>2816</v>
      </c>
      <c r="I240" t="s">
        <v>2817</v>
      </c>
      <c r="J240" s="6">
        <v>43157</v>
      </c>
      <c r="K240" t="s">
        <v>2818</v>
      </c>
    </row>
    <row r="241" spans="1:11">
      <c r="A241">
        <v>32</v>
      </c>
      <c r="B241" t="s">
        <v>612</v>
      </c>
      <c r="C241" s="25" t="s">
        <v>404</v>
      </c>
      <c r="E241">
        <v>9</v>
      </c>
      <c r="F241" t="s">
        <v>2406</v>
      </c>
      <c r="G241" s="1">
        <v>5730.66</v>
      </c>
      <c r="H241" t="s">
        <v>2819</v>
      </c>
      <c r="I241" t="s">
        <v>2820</v>
      </c>
      <c r="J241" s="6">
        <v>43157</v>
      </c>
      <c r="K241" t="s">
        <v>2821</v>
      </c>
    </row>
    <row r="242" spans="1:11">
      <c r="A242">
        <v>33</v>
      </c>
      <c r="B242" t="s">
        <v>635</v>
      </c>
      <c r="C242" s="25" t="s">
        <v>2822</v>
      </c>
      <c r="E242">
        <v>500</v>
      </c>
      <c r="F242" t="s">
        <v>2406</v>
      </c>
      <c r="G242" s="1">
        <v>6070.98</v>
      </c>
      <c r="H242" t="s">
        <v>2823</v>
      </c>
      <c r="I242" t="s">
        <v>2824</v>
      </c>
      <c r="K242" t="s">
        <v>2825</v>
      </c>
    </row>
    <row r="243" spans="1:11">
      <c r="A243">
        <v>34</v>
      </c>
      <c r="B243" t="s">
        <v>635</v>
      </c>
      <c r="C243" s="25" t="s">
        <v>2822</v>
      </c>
      <c r="E243">
        <v>500</v>
      </c>
      <c r="F243" t="s">
        <v>2406</v>
      </c>
      <c r="H243" t="s">
        <v>2826</v>
      </c>
      <c r="I243" t="s">
        <v>2827</v>
      </c>
      <c r="K243" t="s">
        <v>2828</v>
      </c>
    </row>
    <row r="244" spans="1:11">
      <c r="A244">
        <v>35</v>
      </c>
      <c r="B244" t="s">
        <v>635</v>
      </c>
      <c r="C244" s="25" t="s">
        <v>2822</v>
      </c>
      <c r="E244">
        <v>500</v>
      </c>
      <c r="F244" t="s">
        <v>2406</v>
      </c>
      <c r="H244" t="s">
        <v>2829</v>
      </c>
      <c r="I244" t="s">
        <v>2830</v>
      </c>
      <c r="K244" t="s">
        <v>2831</v>
      </c>
    </row>
    <row r="245" spans="1:11">
      <c r="A245">
        <v>36</v>
      </c>
      <c r="B245" t="s">
        <v>635</v>
      </c>
      <c r="C245" s="25" t="s">
        <v>2822</v>
      </c>
      <c r="E245">
        <v>412</v>
      </c>
      <c r="F245" t="s">
        <v>2406</v>
      </c>
      <c r="H245" t="s">
        <v>2832</v>
      </c>
      <c r="I245" t="s">
        <v>2833</v>
      </c>
      <c r="K245" t="s">
        <v>2834</v>
      </c>
    </row>
    <row r="246" spans="1:11">
      <c r="A246">
        <v>37</v>
      </c>
      <c r="B246" t="s">
        <v>307</v>
      </c>
      <c r="C246" s="25" t="s">
        <v>308</v>
      </c>
      <c r="E246">
        <v>1</v>
      </c>
      <c r="F246" t="s">
        <v>2406</v>
      </c>
      <c r="G246" s="9">
        <v>2324.54</v>
      </c>
      <c r="H246" t="s">
        <v>2835</v>
      </c>
      <c r="I246" t="s">
        <v>2836</v>
      </c>
      <c r="K246" t="s">
        <v>2221</v>
      </c>
    </row>
    <row r="247" spans="1:11">
      <c r="A247">
        <v>38</v>
      </c>
      <c r="B247" t="s">
        <v>775</v>
      </c>
      <c r="C247" s="25" t="s">
        <v>2837</v>
      </c>
      <c r="E247">
        <v>1</v>
      </c>
      <c r="F247" t="s">
        <v>2406</v>
      </c>
      <c r="G247" s="9">
        <v>937.8</v>
      </c>
      <c r="H247" t="s">
        <v>2838</v>
      </c>
      <c r="I247" t="s">
        <v>2839</v>
      </c>
    </row>
    <row r="249" spans="1:11">
      <c r="A249">
        <v>1</v>
      </c>
      <c r="B249" t="s">
        <v>343</v>
      </c>
      <c r="C249" s="25" t="s">
        <v>344</v>
      </c>
      <c r="E249">
        <v>19</v>
      </c>
      <c r="F249" t="s">
        <v>2406</v>
      </c>
      <c r="G249">
        <v>1626.59</v>
      </c>
      <c r="H249" t="s">
        <v>2840</v>
      </c>
      <c r="I249" t="s">
        <v>2841</v>
      </c>
      <c r="J249" s="6">
        <v>43160</v>
      </c>
      <c r="K249" t="s">
        <v>2842</v>
      </c>
    </row>
    <row r="250" spans="1:11">
      <c r="A250">
        <v>2</v>
      </c>
      <c r="B250" t="s">
        <v>742</v>
      </c>
      <c r="C250" s="25" t="s">
        <v>606</v>
      </c>
      <c r="E250">
        <v>5</v>
      </c>
      <c r="G250" s="9">
        <v>8313.2000000000007</v>
      </c>
      <c r="H250" t="s">
        <v>2843</v>
      </c>
      <c r="I250" t="s">
        <v>2844</v>
      </c>
      <c r="J250" s="6">
        <v>43160</v>
      </c>
      <c r="K250" t="s">
        <v>2845</v>
      </c>
    </row>
    <row r="251" spans="1:11">
      <c r="A251">
        <v>3</v>
      </c>
      <c r="B251" t="s">
        <v>668</v>
      </c>
      <c r="C251" s="25" t="s">
        <v>2846</v>
      </c>
      <c r="E251">
        <v>3</v>
      </c>
      <c r="F251" t="s">
        <v>2406</v>
      </c>
      <c r="G251" s="1">
        <v>850.29</v>
      </c>
      <c r="H251" t="s">
        <v>2847</v>
      </c>
      <c r="I251" t="s">
        <v>2848</v>
      </c>
      <c r="J251" s="6">
        <v>43165</v>
      </c>
      <c r="K251" t="s">
        <v>2849</v>
      </c>
    </row>
    <row r="252" spans="1:11">
      <c r="A252">
        <v>4</v>
      </c>
      <c r="B252" t="s">
        <v>718</v>
      </c>
      <c r="C252" s="25" t="s">
        <v>2567</v>
      </c>
      <c r="E252">
        <v>1</v>
      </c>
      <c r="F252" t="s">
        <v>2406</v>
      </c>
      <c r="G252">
        <v>56.48</v>
      </c>
      <c r="H252" t="s">
        <v>2850</v>
      </c>
      <c r="I252" t="s">
        <v>2851</v>
      </c>
      <c r="J252" s="6">
        <v>43165</v>
      </c>
    </row>
    <row r="253" spans="1:11">
      <c r="A253">
        <v>5</v>
      </c>
      <c r="B253" t="s">
        <v>507</v>
      </c>
      <c r="C253" s="25" t="s">
        <v>508</v>
      </c>
      <c r="E253">
        <v>73</v>
      </c>
      <c r="F253" t="s">
        <v>2406</v>
      </c>
      <c r="G253" s="1">
        <v>3060.16</v>
      </c>
      <c r="H253" t="s">
        <v>2852</v>
      </c>
      <c r="I253" t="s">
        <v>2853</v>
      </c>
      <c r="J253" s="6">
        <v>43165</v>
      </c>
      <c r="K253" t="s">
        <v>2854</v>
      </c>
    </row>
    <row r="254" spans="1:11">
      <c r="A254">
        <v>6</v>
      </c>
      <c r="B254" t="s">
        <v>765</v>
      </c>
      <c r="C254" s="25" t="s">
        <v>2567</v>
      </c>
      <c r="E254">
        <v>88</v>
      </c>
      <c r="F254" t="s">
        <v>2406</v>
      </c>
      <c r="G254" s="1">
        <v>2850.32</v>
      </c>
      <c r="H254" t="s">
        <v>2855</v>
      </c>
      <c r="I254" t="s">
        <v>2856</v>
      </c>
      <c r="J254" s="6">
        <v>43165</v>
      </c>
      <c r="K254" t="s">
        <v>2857</v>
      </c>
    </row>
    <row r="255" spans="1:11">
      <c r="A255">
        <v>7</v>
      </c>
      <c r="B255" t="s">
        <v>761</v>
      </c>
      <c r="C255" s="25" t="s">
        <v>135</v>
      </c>
      <c r="E255">
        <v>16</v>
      </c>
      <c r="G255" s="1">
        <v>2831.04</v>
      </c>
      <c r="H255" t="s">
        <v>2858</v>
      </c>
      <c r="I255" t="s">
        <v>2859</v>
      </c>
      <c r="J255" s="6">
        <v>43165</v>
      </c>
      <c r="K255" t="s">
        <v>2860</v>
      </c>
    </row>
    <row r="256" spans="1:11">
      <c r="A256">
        <v>8</v>
      </c>
      <c r="B256" t="s">
        <v>578</v>
      </c>
      <c r="C256" s="25" t="s">
        <v>135</v>
      </c>
      <c r="E256">
        <v>18</v>
      </c>
      <c r="G256" s="1">
        <v>3841.2</v>
      </c>
      <c r="H256" t="s">
        <v>2861</v>
      </c>
      <c r="I256" t="s">
        <v>2862</v>
      </c>
      <c r="J256" s="6">
        <v>43165</v>
      </c>
      <c r="K256" t="s">
        <v>2863</v>
      </c>
    </row>
    <row r="257" spans="1:11">
      <c r="A257">
        <v>9</v>
      </c>
      <c r="B257" t="s">
        <v>514</v>
      </c>
      <c r="C257" s="25" t="s">
        <v>135</v>
      </c>
      <c r="E257">
        <v>2</v>
      </c>
      <c r="G257" s="1">
        <v>395.2</v>
      </c>
      <c r="H257" t="s">
        <v>2864</v>
      </c>
      <c r="I257" t="s">
        <v>2865</v>
      </c>
      <c r="J257" s="6">
        <v>43166</v>
      </c>
      <c r="K257" t="s">
        <v>2221</v>
      </c>
    </row>
    <row r="258" spans="1:11">
      <c r="A258">
        <v>10</v>
      </c>
      <c r="B258" t="s">
        <v>716</v>
      </c>
      <c r="C258" s="25" t="s">
        <v>880</v>
      </c>
      <c r="G258" s="1">
        <v>4045.86</v>
      </c>
      <c r="H258" t="s">
        <v>2866</v>
      </c>
      <c r="I258" t="s">
        <v>2867</v>
      </c>
      <c r="K258" t="s">
        <v>2221</v>
      </c>
    </row>
    <row r="259" spans="1:11">
      <c r="A259">
        <v>11</v>
      </c>
      <c r="B259" t="s">
        <v>492</v>
      </c>
      <c r="C259" s="25" t="s">
        <v>135</v>
      </c>
      <c r="E259">
        <v>14</v>
      </c>
      <c r="G259" s="1">
        <v>891.38</v>
      </c>
      <c r="H259" t="s">
        <v>2868</v>
      </c>
      <c r="I259" t="s">
        <v>2869</v>
      </c>
      <c r="K259" t="s">
        <v>2870</v>
      </c>
    </row>
    <row r="260" spans="1:11">
      <c r="A260">
        <v>12</v>
      </c>
      <c r="B260" t="s">
        <v>791</v>
      </c>
      <c r="C260" s="25" t="s">
        <v>606</v>
      </c>
      <c r="E260">
        <v>1</v>
      </c>
      <c r="G260" s="9">
        <v>1524.4</v>
      </c>
      <c r="H260" t="s">
        <v>2868</v>
      </c>
      <c r="I260" t="s">
        <v>2871</v>
      </c>
      <c r="J260" s="6">
        <v>43168</v>
      </c>
      <c r="K260" t="s">
        <v>2221</v>
      </c>
    </row>
    <row r="261" spans="1:11">
      <c r="A261">
        <v>13</v>
      </c>
      <c r="B261" t="s">
        <v>465</v>
      </c>
      <c r="C261" s="25" t="s">
        <v>404</v>
      </c>
      <c r="E261">
        <v>19</v>
      </c>
      <c r="G261" s="9">
        <v>4024.39</v>
      </c>
      <c r="H261" t="s">
        <v>2872</v>
      </c>
      <c r="I261" t="s">
        <v>2873</v>
      </c>
      <c r="J261" s="6">
        <v>43168</v>
      </c>
      <c r="K261" t="s">
        <v>2221</v>
      </c>
    </row>
    <row r="262" spans="1:11">
      <c r="A262">
        <v>14</v>
      </c>
      <c r="B262" t="s">
        <v>735</v>
      </c>
      <c r="C262" s="25" t="s">
        <v>315</v>
      </c>
      <c r="E262">
        <v>3</v>
      </c>
      <c r="G262" s="1">
        <v>3953.67</v>
      </c>
      <c r="H262" t="s">
        <v>2874</v>
      </c>
      <c r="I262" t="s">
        <v>2875</v>
      </c>
      <c r="J262" s="6">
        <v>43168</v>
      </c>
      <c r="K262" t="s">
        <v>2876</v>
      </c>
    </row>
    <row r="263" spans="1:11">
      <c r="A263">
        <v>15</v>
      </c>
      <c r="B263" t="s">
        <v>789</v>
      </c>
      <c r="C263" s="25" t="s">
        <v>508</v>
      </c>
      <c r="E263">
        <v>127</v>
      </c>
      <c r="F263" t="s">
        <v>2406</v>
      </c>
      <c r="G263" s="1">
        <v>845.82</v>
      </c>
      <c r="H263" t="s">
        <v>2877</v>
      </c>
      <c r="I263" t="s">
        <v>2878</v>
      </c>
      <c r="J263" s="6">
        <v>43168</v>
      </c>
      <c r="K263" t="s">
        <v>2879</v>
      </c>
    </row>
    <row r="264" spans="1:11">
      <c r="A264">
        <v>16</v>
      </c>
      <c r="B264" t="s">
        <v>794</v>
      </c>
      <c r="C264" s="25" t="s">
        <v>606</v>
      </c>
      <c r="E264">
        <v>1</v>
      </c>
      <c r="G264" s="1">
        <v>2376.6999999999998</v>
      </c>
      <c r="H264" t="s">
        <v>2877</v>
      </c>
      <c r="I264" t="s">
        <v>2880</v>
      </c>
      <c r="J264" s="6"/>
      <c r="K264" t="s">
        <v>2881</v>
      </c>
    </row>
    <row r="265" spans="1:11">
      <c r="A265">
        <v>17</v>
      </c>
      <c r="B265" t="s">
        <v>706</v>
      </c>
      <c r="C265" s="25" t="s">
        <v>315</v>
      </c>
      <c r="E265">
        <v>17</v>
      </c>
      <c r="G265" s="9">
        <v>4322.08</v>
      </c>
      <c r="H265" t="s">
        <v>2882</v>
      </c>
      <c r="I265" t="s">
        <v>2883</v>
      </c>
      <c r="J265" s="6">
        <v>43172</v>
      </c>
      <c r="K265" t="s">
        <v>2884</v>
      </c>
    </row>
    <row r="266" spans="1:11">
      <c r="A266">
        <v>18</v>
      </c>
      <c r="B266" t="s">
        <v>706</v>
      </c>
      <c r="C266" s="25" t="s">
        <v>315</v>
      </c>
      <c r="E266">
        <v>16</v>
      </c>
      <c r="G266" s="1">
        <v>4067.84</v>
      </c>
      <c r="H266" t="s">
        <v>2885</v>
      </c>
      <c r="I266" t="s">
        <v>2886</v>
      </c>
      <c r="J266" s="6">
        <v>43172</v>
      </c>
      <c r="K266" t="s">
        <v>2887</v>
      </c>
    </row>
    <row r="267" spans="1:11">
      <c r="A267">
        <v>19</v>
      </c>
      <c r="B267" t="s">
        <v>660</v>
      </c>
      <c r="C267" t="s">
        <v>661</v>
      </c>
      <c r="E267">
        <v>1</v>
      </c>
      <c r="F267" t="s">
        <v>2406</v>
      </c>
      <c r="H267" t="s">
        <v>2888</v>
      </c>
      <c r="I267" t="s">
        <v>2889</v>
      </c>
      <c r="K267" t="s">
        <v>2890</v>
      </c>
    </row>
    <row r="268" spans="1:11">
      <c r="A268">
        <v>20</v>
      </c>
      <c r="B268" t="s">
        <v>660</v>
      </c>
      <c r="C268" t="s">
        <v>661</v>
      </c>
      <c r="E268">
        <v>1</v>
      </c>
      <c r="F268" t="s">
        <v>2406</v>
      </c>
      <c r="G268" s="174">
        <v>-1187.97</v>
      </c>
      <c r="H268" t="s">
        <v>2891</v>
      </c>
      <c r="I268" t="s">
        <v>2892</v>
      </c>
      <c r="K268" t="s">
        <v>2893</v>
      </c>
    </row>
    <row r="269" spans="1:11">
      <c r="A269">
        <v>21</v>
      </c>
      <c r="B269" t="s">
        <v>830</v>
      </c>
      <c r="C269" s="92" t="s">
        <v>831</v>
      </c>
      <c r="E269">
        <v>5</v>
      </c>
      <c r="F269" t="s">
        <v>2406</v>
      </c>
      <c r="G269" s="1">
        <v>619.4</v>
      </c>
      <c r="H269" t="s">
        <v>2894</v>
      </c>
      <c r="I269" t="s">
        <v>2895</v>
      </c>
    </row>
    <row r="270" spans="1:11">
      <c r="A270">
        <v>22</v>
      </c>
      <c r="B270" t="s">
        <v>674</v>
      </c>
      <c r="C270" s="25" t="s">
        <v>254</v>
      </c>
      <c r="E270">
        <v>1</v>
      </c>
      <c r="F270" t="s">
        <v>2406</v>
      </c>
      <c r="G270" s="1">
        <v>4298.42</v>
      </c>
      <c r="H270" t="s">
        <v>2896</v>
      </c>
      <c r="I270" t="s">
        <v>2897</v>
      </c>
      <c r="K270" t="s">
        <v>2898</v>
      </c>
    </row>
    <row r="271" spans="1:11">
      <c r="A271">
        <v>23</v>
      </c>
      <c r="B271" t="s">
        <v>616</v>
      </c>
      <c r="C271" s="25" t="s">
        <v>135</v>
      </c>
      <c r="E271">
        <v>69</v>
      </c>
      <c r="G271" s="1">
        <v>13493.64</v>
      </c>
      <c r="H271" t="s">
        <v>2899</v>
      </c>
      <c r="I271" t="s">
        <v>2900</v>
      </c>
      <c r="J271" s="6">
        <v>43179</v>
      </c>
      <c r="K271" t="s">
        <v>2901</v>
      </c>
    </row>
    <row r="272" spans="1:11">
      <c r="A272">
        <v>24</v>
      </c>
      <c r="B272" s="73" t="s">
        <v>639</v>
      </c>
      <c r="C272" s="25" t="s">
        <v>508</v>
      </c>
      <c r="E272">
        <v>12</v>
      </c>
      <c r="F272" t="s">
        <v>2406</v>
      </c>
      <c r="G272" s="1">
        <v>958.2</v>
      </c>
      <c r="H272" t="s">
        <v>2902</v>
      </c>
      <c r="I272" t="s">
        <v>2903</v>
      </c>
      <c r="J272" s="6">
        <v>43179</v>
      </c>
      <c r="K272" t="s">
        <v>2904</v>
      </c>
    </row>
    <row r="273" spans="1:11">
      <c r="A273">
        <v>25</v>
      </c>
      <c r="B273" t="s">
        <v>2905</v>
      </c>
      <c r="C273" t="s">
        <v>347</v>
      </c>
      <c r="E273">
        <v>64</v>
      </c>
      <c r="G273" s="1"/>
      <c r="H273" t="s">
        <v>2906</v>
      </c>
      <c r="I273" t="s">
        <v>2907</v>
      </c>
      <c r="J273" s="6">
        <v>43179</v>
      </c>
      <c r="K273" t="s">
        <v>2908</v>
      </c>
    </row>
    <row r="274" spans="1:11">
      <c r="A274">
        <v>26</v>
      </c>
      <c r="B274" s="73" t="s">
        <v>811</v>
      </c>
      <c r="C274" s="25" t="s">
        <v>135</v>
      </c>
      <c r="E274">
        <v>97</v>
      </c>
      <c r="G274" s="9">
        <v>20317.62</v>
      </c>
      <c r="H274" t="s">
        <v>2909</v>
      </c>
      <c r="I274" t="s">
        <v>2910</v>
      </c>
      <c r="J274" s="6">
        <v>43179</v>
      </c>
      <c r="K274" t="s">
        <v>2911</v>
      </c>
    </row>
    <row r="275" spans="1:11">
      <c r="A275">
        <v>27</v>
      </c>
      <c r="B275" t="s">
        <v>823</v>
      </c>
      <c r="C275" s="25" t="s">
        <v>729</v>
      </c>
      <c r="E275">
        <v>5</v>
      </c>
      <c r="F275" t="s">
        <v>2406</v>
      </c>
      <c r="G275" s="9">
        <v>397.55</v>
      </c>
      <c r="H275" t="s">
        <v>2912</v>
      </c>
      <c r="I275" t="s">
        <v>2913</v>
      </c>
      <c r="J275" s="6">
        <v>43180</v>
      </c>
      <c r="K275" t="s">
        <v>2914</v>
      </c>
    </row>
    <row r="276" spans="1:11">
      <c r="A276">
        <v>28</v>
      </c>
      <c r="B276" t="s">
        <v>835</v>
      </c>
      <c r="C276" s="25" t="s">
        <v>2915</v>
      </c>
      <c r="E276">
        <v>7</v>
      </c>
      <c r="F276" t="s">
        <v>2406</v>
      </c>
      <c r="H276" t="s">
        <v>2916</v>
      </c>
      <c r="I276" t="s">
        <v>2917</v>
      </c>
      <c r="J276" s="6">
        <v>43182</v>
      </c>
      <c r="K276" t="s">
        <v>2918</v>
      </c>
    </row>
    <row r="277" spans="1:11">
      <c r="A277">
        <v>29</v>
      </c>
      <c r="B277" t="s">
        <v>835</v>
      </c>
      <c r="C277" s="25" t="s">
        <v>2915</v>
      </c>
      <c r="E277">
        <v>49</v>
      </c>
      <c r="F277" t="s">
        <v>2406</v>
      </c>
      <c r="G277" s="9">
        <v>6591.2</v>
      </c>
      <c r="H277" t="s">
        <v>2919</v>
      </c>
      <c r="I277" t="s">
        <v>2920</v>
      </c>
      <c r="J277" s="6">
        <v>43182</v>
      </c>
      <c r="K277" t="s">
        <v>2921</v>
      </c>
    </row>
    <row r="278" spans="1:11">
      <c r="A278">
        <v>30</v>
      </c>
      <c r="B278" t="s">
        <v>748</v>
      </c>
      <c r="C278" s="25" t="s">
        <v>135</v>
      </c>
      <c r="E278">
        <v>73</v>
      </c>
      <c r="G278" s="1">
        <v>4060.99</v>
      </c>
      <c r="H278" t="s">
        <v>2922</v>
      </c>
      <c r="I278" t="s">
        <v>2923</v>
      </c>
      <c r="J278" s="6">
        <v>43182</v>
      </c>
      <c r="K278" t="s">
        <v>2924</v>
      </c>
    </row>
    <row r="279" spans="1:11">
      <c r="A279">
        <v>31</v>
      </c>
      <c r="B279" t="s">
        <v>781</v>
      </c>
      <c r="C279" s="92" t="s">
        <v>135</v>
      </c>
      <c r="E279">
        <v>250</v>
      </c>
      <c r="G279" s="1">
        <v>3777.5</v>
      </c>
      <c r="H279" t="s">
        <v>2925</v>
      </c>
      <c r="I279" t="s">
        <v>2926</v>
      </c>
      <c r="J279" s="6">
        <v>43182</v>
      </c>
      <c r="K279" t="s">
        <v>2927</v>
      </c>
    </row>
    <row r="280" spans="1:11">
      <c r="A280">
        <v>32</v>
      </c>
      <c r="B280" t="s">
        <v>847</v>
      </c>
      <c r="C280" s="25" t="s">
        <v>729</v>
      </c>
      <c r="E280">
        <v>386</v>
      </c>
      <c r="F280" t="s">
        <v>2406</v>
      </c>
      <c r="G280" s="1">
        <v>3412.24</v>
      </c>
      <c r="H280" t="s">
        <v>2928</v>
      </c>
      <c r="I280" t="s">
        <v>2929</v>
      </c>
      <c r="J280" s="6">
        <v>43187</v>
      </c>
      <c r="K280" t="s">
        <v>2930</v>
      </c>
    </row>
    <row r="281" spans="1:11">
      <c r="A281">
        <v>33</v>
      </c>
      <c r="B281" t="s">
        <v>813</v>
      </c>
      <c r="C281" s="25" t="s">
        <v>814</v>
      </c>
      <c r="E281">
        <v>3</v>
      </c>
      <c r="F281" t="s">
        <v>2406</v>
      </c>
      <c r="G281" s="1">
        <v>935.52</v>
      </c>
      <c r="H281" t="s">
        <v>2931</v>
      </c>
      <c r="I281" t="s">
        <v>2932</v>
      </c>
      <c r="J281" s="6">
        <v>43185</v>
      </c>
      <c r="K281" t="s">
        <v>2933</v>
      </c>
    </row>
    <row r="282" spans="1:11">
      <c r="A282">
        <v>34</v>
      </c>
      <c r="B282" t="s">
        <v>851</v>
      </c>
      <c r="C282" s="25" t="s">
        <v>729</v>
      </c>
      <c r="E282">
        <v>8</v>
      </c>
      <c r="F282" t="s">
        <v>2406</v>
      </c>
      <c r="G282" s="9">
        <v>99.92</v>
      </c>
      <c r="H282" t="s">
        <v>2934</v>
      </c>
      <c r="I282" t="s">
        <v>2935</v>
      </c>
      <c r="K282" t="s">
        <v>2936</v>
      </c>
    </row>
    <row r="283" spans="1:11">
      <c r="A283">
        <v>35</v>
      </c>
      <c r="B283" t="s">
        <v>882</v>
      </c>
      <c r="C283" s="25" t="s">
        <v>729</v>
      </c>
      <c r="E283">
        <v>150</v>
      </c>
      <c r="F283" t="s">
        <v>2406</v>
      </c>
      <c r="G283" s="1">
        <v>1768.5</v>
      </c>
      <c r="H283" t="s">
        <v>2937</v>
      </c>
      <c r="I283" t="s">
        <v>2938</v>
      </c>
      <c r="J283" s="6">
        <v>43187</v>
      </c>
      <c r="K283" t="s">
        <v>2221</v>
      </c>
    </row>
    <row r="284" spans="1:11">
      <c r="A284">
        <v>36</v>
      </c>
      <c r="B284" t="s">
        <v>750</v>
      </c>
      <c r="C284" s="25" t="s">
        <v>347</v>
      </c>
      <c r="E284">
        <v>110</v>
      </c>
      <c r="G284" s="1">
        <v>1932.7</v>
      </c>
      <c r="H284" t="s">
        <v>2939</v>
      </c>
      <c r="I284" t="s">
        <v>2940</v>
      </c>
      <c r="J284" s="6">
        <v>43188</v>
      </c>
      <c r="K284" t="s">
        <v>2941</v>
      </c>
    </row>
    <row r="285" spans="1:11">
      <c r="A285">
        <v>37</v>
      </c>
      <c r="B285" t="s">
        <v>438</v>
      </c>
      <c r="C285" s="25" t="s">
        <v>308</v>
      </c>
      <c r="E285">
        <v>6</v>
      </c>
      <c r="F285" t="s">
        <v>2406</v>
      </c>
      <c r="G285" s="1">
        <v>7538.76</v>
      </c>
      <c r="H285" t="s">
        <v>2942</v>
      </c>
      <c r="I285" t="s">
        <v>2943</v>
      </c>
      <c r="J285" s="6">
        <v>43188</v>
      </c>
      <c r="K285" t="s">
        <v>2944</v>
      </c>
    </row>
    <row r="286" spans="1:11">
      <c r="A286">
        <v>38</v>
      </c>
      <c r="B286" t="s">
        <v>383</v>
      </c>
      <c r="C286" s="25" t="s">
        <v>308</v>
      </c>
      <c r="E286">
        <v>3</v>
      </c>
      <c r="F286" t="s">
        <v>2406</v>
      </c>
      <c r="G286" s="1">
        <v>3133.8</v>
      </c>
      <c r="H286" t="s">
        <v>2840</v>
      </c>
      <c r="I286" t="s">
        <v>2841</v>
      </c>
      <c r="J286" s="6">
        <v>43188</v>
      </c>
      <c r="K286" t="s">
        <v>2945</v>
      </c>
    </row>
    <row r="287" spans="1:11">
      <c r="A287">
        <v>39</v>
      </c>
      <c r="B287" t="s">
        <v>837</v>
      </c>
      <c r="C287" s="25" t="s">
        <v>135</v>
      </c>
      <c r="E287">
        <v>8</v>
      </c>
      <c r="G287" s="11">
        <v>1741.92</v>
      </c>
      <c r="H287" t="s">
        <v>2843</v>
      </c>
      <c r="I287" t="s">
        <v>2844</v>
      </c>
      <c r="J287" s="6">
        <v>43188</v>
      </c>
      <c r="K287" t="s">
        <v>2946</v>
      </c>
    </row>
    <row r="290" spans="1:11">
      <c r="A290">
        <v>1</v>
      </c>
      <c r="B290" t="s">
        <v>891</v>
      </c>
      <c r="C290" s="25" t="s">
        <v>501</v>
      </c>
      <c r="E290">
        <v>17</v>
      </c>
      <c r="G290" s="1">
        <v>2683.28</v>
      </c>
      <c r="H290" t="s">
        <v>2947</v>
      </c>
      <c r="I290" t="s">
        <v>2948</v>
      </c>
      <c r="J290" s="6">
        <v>43192</v>
      </c>
      <c r="K290" t="s">
        <v>2949</v>
      </c>
    </row>
    <row r="291" spans="1:11">
      <c r="A291">
        <v>2</v>
      </c>
      <c r="B291" t="s">
        <v>855</v>
      </c>
      <c r="C291" s="25" t="s">
        <v>315</v>
      </c>
      <c r="E291">
        <v>3</v>
      </c>
      <c r="F291" t="s">
        <v>2406</v>
      </c>
      <c r="G291" s="1">
        <v>1439.7</v>
      </c>
      <c r="H291" t="s">
        <v>2950</v>
      </c>
      <c r="I291" t="s">
        <v>2951</v>
      </c>
      <c r="J291" s="6">
        <v>43192</v>
      </c>
      <c r="K291" t="s">
        <v>2952</v>
      </c>
    </row>
    <row r="292" spans="1:11">
      <c r="A292">
        <v>3</v>
      </c>
      <c r="B292" t="s">
        <v>825</v>
      </c>
      <c r="C292" s="25" t="s">
        <v>826</v>
      </c>
      <c r="E292">
        <v>7</v>
      </c>
      <c r="F292" t="s">
        <v>2406</v>
      </c>
      <c r="G292" s="9">
        <v>4456.0600000000004</v>
      </c>
      <c r="H292" t="s">
        <v>2953</v>
      </c>
      <c r="I292" t="s">
        <v>2954</v>
      </c>
      <c r="J292" s="6">
        <v>43192</v>
      </c>
      <c r="K292" t="s">
        <v>2955</v>
      </c>
    </row>
    <row r="293" spans="1:11">
      <c r="A293">
        <v>4</v>
      </c>
      <c r="B293" t="s">
        <v>629</v>
      </c>
      <c r="C293" s="25" t="s">
        <v>532</v>
      </c>
      <c r="E293">
        <v>254</v>
      </c>
      <c r="G293" s="1">
        <v>5933.44</v>
      </c>
      <c r="H293" t="s">
        <v>2956</v>
      </c>
      <c r="I293" t="s">
        <v>2957</v>
      </c>
      <c r="J293" s="6">
        <v>43193</v>
      </c>
      <c r="K293" t="s">
        <v>2958</v>
      </c>
    </row>
    <row r="294" spans="1:11">
      <c r="A294">
        <v>5</v>
      </c>
      <c r="B294" t="s">
        <v>799</v>
      </c>
      <c r="C294" s="25" t="s">
        <v>2959</v>
      </c>
      <c r="E294">
        <v>20</v>
      </c>
      <c r="G294" s="1">
        <v>1471.8</v>
      </c>
      <c r="H294" t="s">
        <v>2960</v>
      </c>
      <c r="I294" t="s">
        <v>2961</v>
      </c>
      <c r="J294" s="6">
        <v>43195</v>
      </c>
      <c r="K294" t="s">
        <v>2962</v>
      </c>
    </row>
    <row r="295" spans="1:11">
      <c r="A295">
        <v>6</v>
      </c>
      <c r="B295" t="s">
        <v>799</v>
      </c>
      <c r="C295" s="25" t="s">
        <v>2959</v>
      </c>
      <c r="E295">
        <v>20</v>
      </c>
      <c r="G295" s="1">
        <v>1471.8</v>
      </c>
      <c r="H295" t="s">
        <v>2963</v>
      </c>
      <c r="I295" t="s">
        <v>2964</v>
      </c>
      <c r="J295" s="6">
        <v>43195</v>
      </c>
      <c r="K295" t="s">
        <v>2965</v>
      </c>
    </row>
    <row r="296" spans="1:11">
      <c r="A296">
        <v>7</v>
      </c>
      <c r="B296" t="s">
        <v>799</v>
      </c>
      <c r="C296" s="25" t="s">
        <v>2959</v>
      </c>
      <c r="E296">
        <v>20</v>
      </c>
      <c r="G296" s="1">
        <v>1471.8</v>
      </c>
      <c r="H296" t="s">
        <v>2966</v>
      </c>
      <c r="I296" t="s">
        <v>2967</v>
      </c>
      <c r="J296" s="6">
        <v>43195</v>
      </c>
      <c r="K296" t="s">
        <v>2968</v>
      </c>
    </row>
    <row r="297" spans="1:11">
      <c r="A297">
        <v>8</v>
      </c>
      <c r="B297" t="s">
        <v>799</v>
      </c>
      <c r="C297" s="25" t="s">
        <v>2959</v>
      </c>
      <c r="E297">
        <v>20</v>
      </c>
      <c r="G297" s="1">
        <v>1471.8</v>
      </c>
      <c r="H297" t="s">
        <v>2969</v>
      </c>
      <c r="I297" t="s">
        <v>2970</v>
      </c>
      <c r="J297" s="6">
        <v>43195</v>
      </c>
      <c r="K297" t="s">
        <v>2971</v>
      </c>
    </row>
    <row r="298" spans="1:11">
      <c r="A298">
        <v>9</v>
      </c>
      <c r="B298" t="s">
        <v>799</v>
      </c>
      <c r="C298" s="25" t="s">
        <v>2959</v>
      </c>
      <c r="E298">
        <v>20</v>
      </c>
      <c r="G298" s="1">
        <v>1471.8</v>
      </c>
      <c r="H298" t="s">
        <v>2972</v>
      </c>
      <c r="I298" t="s">
        <v>2973</v>
      </c>
      <c r="J298" s="6">
        <v>43195</v>
      </c>
      <c r="K298" t="s">
        <v>2974</v>
      </c>
    </row>
    <row r="299" spans="1:11">
      <c r="A299">
        <v>10</v>
      </c>
      <c r="B299" t="s">
        <v>799</v>
      </c>
      <c r="C299" s="25" t="s">
        <v>2959</v>
      </c>
      <c r="E299">
        <v>20</v>
      </c>
      <c r="G299" s="1">
        <v>1471.8</v>
      </c>
      <c r="H299" t="s">
        <v>2975</v>
      </c>
      <c r="I299" t="s">
        <v>2976</v>
      </c>
      <c r="J299" s="6">
        <v>43195</v>
      </c>
      <c r="K299" t="s">
        <v>2977</v>
      </c>
    </row>
    <row r="300" spans="1:11">
      <c r="A300">
        <v>11</v>
      </c>
      <c r="B300" t="s">
        <v>870</v>
      </c>
      <c r="C300" s="25" t="s">
        <v>135</v>
      </c>
      <c r="E300">
        <v>1</v>
      </c>
      <c r="G300" s="1">
        <v>413.88</v>
      </c>
      <c r="H300" t="s">
        <v>2978</v>
      </c>
      <c r="I300" t="s">
        <v>2979</v>
      </c>
      <c r="J300" s="6">
        <v>43196</v>
      </c>
      <c r="K300" t="s">
        <v>2980</v>
      </c>
    </row>
    <row r="301" spans="1:11">
      <c r="A301">
        <v>12</v>
      </c>
      <c r="B301" t="s">
        <v>746</v>
      </c>
      <c r="C301" s="25" t="s">
        <v>135</v>
      </c>
      <c r="E301">
        <v>5</v>
      </c>
      <c r="G301" s="1">
        <v>1532.1</v>
      </c>
      <c r="H301" t="s">
        <v>2981</v>
      </c>
      <c r="I301" t="s">
        <v>2982</v>
      </c>
      <c r="J301" s="6">
        <v>43196</v>
      </c>
      <c r="K301" t="s">
        <v>2983</v>
      </c>
    </row>
    <row r="302" spans="1:11">
      <c r="A302">
        <v>13</v>
      </c>
      <c r="B302" t="s">
        <v>738</v>
      </c>
      <c r="C302" s="25" t="s">
        <v>135</v>
      </c>
      <c r="E302">
        <v>1</v>
      </c>
      <c r="G302" s="1">
        <v>2739.81</v>
      </c>
      <c r="H302" t="s">
        <v>2984</v>
      </c>
      <c r="I302" t="s">
        <v>2985</v>
      </c>
      <c r="J302" s="6">
        <v>43196</v>
      </c>
      <c r="K302" t="s">
        <v>2986</v>
      </c>
    </row>
    <row r="303" spans="1:11">
      <c r="A303">
        <v>14</v>
      </c>
      <c r="B303" t="s">
        <v>678</v>
      </c>
      <c r="C303" s="25" t="s">
        <v>279</v>
      </c>
      <c r="E303">
        <v>1</v>
      </c>
      <c r="G303" s="1">
        <v>4588</v>
      </c>
      <c r="H303" t="s">
        <v>2987</v>
      </c>
      <c r="I303" t="s">
        <v>2988</v>
      </c>
      <c r="J303" s="6">
        <v>43201</v>
      </c>
      <c r="K303" t="s">
        <v>2989</v>
      </c>
    </row>
    <row r="304" spans="1:11">
      <c r="A304">
        <v>15</v>
      </c>
      <c r="B304" t="s">
        <v>839</v>
      </c>
      <c r="C304" s="25" t="s">
        <v>2990</v>
      </c>
      <c r="E304">
        <v>4</v>
      </c>
      <c r="G304" s="1">
        <v>1139.76</v>
      </c>
      <c r="H304" t="s">
        <v>2991</v>
      </c>
      <c r="I304" t="s">
        <v>2992</v>
      </c>
      <c r="J304" s="6">
        <v>43201</v>
      </c>
      <c r="K304" t="s">
        <v>2993</v>
      </c>
    </row>
    <row r="305" spans="1:12">
      <c r="A305">
        <v>16</v>
      </c>
      <c r="B305" t="s">
        <v>757</v>
      </c>
      <c r="C305" s="25" t="s">
        <v>129</v>
      </c>
      <c r="E305">
        <v>2</v>
      </c>
      <c r="G305" s="1">
        <v>3595.96</v>
      </c>
      <c r="H305" t="s">
        <v>2994</v>
      </c>
      <c r="I305" t="s">
        <v>2995</v>
      </c>
      <c r="J305" s="6">
        <v>43201</v>
      </c>
      <c r="K305" t="s">
        <v>2996</v>
      </c>
    </row>
    <row r="306" spans="1:12">
      <c r="A306">
        <v>17</v>
      </c>
      <c r="B306" t="s">
        <v>492</v>
      </c>
      <c r="C306" s="25" t="s">
        <v>135</v>
      </c>
      <c r="E306">
        <v>52</v>
      </c>
      <c r="G306" s="1">
        <v>3310.84</v>
      </c>
      <c r="H306" t="s">
        <v>2997</v>
      </c>
      <c r="I306" t="s">
        <v>2998</v>
      </c>
      <c r="J306" s="6">
        <v>43201</v>
      </c>
      <c r="K306" t="s">
        <v>2999</v>
      </c>
    </row>
    <row r="307" spans="1:12">
      <c r="A307">
        <v>18</v>
      </c>
      <c r="B307" t="s">
        <v>752</v>
      </c>
      <c r="C307" s="25" t="s">
        <v>753</v>
      </c>
      <c r="E307">
        <v>1</v>
      </c>
      <c r="G307" s="1">
        <v>1252.8900000000001</v>
      </c>
      <c r="H307" t="s">
        <v>3000</v>
      </c>
      <c r="I307" t="s">
        <v>3001</v>
      </c>
      <c r="J307" s="6">
        <v>43206</v>
      </c>
    </row>
    <row r="308" spans="1:12">
      <c r="A308">
        <v>19</v>
      </c>
      <c r="B308" t="s">
        <v>897</v>
      </c>
      <c r="C308" s="92" t="s">
        <v>3002</v>
      </c>
      <c r="E308">
        <v>14</v>
      </c>
      <c r="G308" s="1">
        <v>3009.16</v>
      </c>
      <c r="H308" t="s">
        <v>3003</v>
      </c>
      <c r="I308" t="s">
        <v>3004</v>
      </c>
      <c r="J308" s="6">
        <v>43206</v>
      </c>
      <c r="K308" t="s">
        <v>3005</v>
      </c>
    </row>
    <row r="309" spans="1:12">
      <c r="A309">
        <v>20</v>
      </c>
      <c r="B309" t="s">
        <v>346</v>
      </c>
      <c r="C309" s="25" t="s">
        <v>347</v>
      </c>
      <c r="E309">
        <v>76</v>
      </c>
      <c r="G309" s="1">
        <v>8510.48</v>
      </c>
      <c r="H309" t="s">
        <v>3006</v>
      </c>
      <c r="I309" t="s">
        <v>3007</v>
      </c>
      <c r="J309" s="6">
        <v>43209</v>
      </c>
      <c r="K309" t="s">
        <v>3008</v>
      </c>
    </row>
    <row r="310" spans="1:12">
      <c r="A310">
        <v>21</v>
      </c>
      <c r="B310" t="s">
        <v>602</v>
      </c>
      <c r="C310" s="25" t="s">
        <v>532</v>
      </c>
      <c r="E310">
        <v>113</v>
      </c>
      <c r="G310" s="1">
        <v>9236.6200000000008</v>
      </c>
      <c r="H310" t="s">
        <v>3009</v>
      </c>
      <c r="I310" t="s">
        <v>3010</v>
      </c>
      <c r="J310" s="6">
        <v>43209</v>
      </c>
      <c r="K310" t="s">
        <v>3011</v>
      </c>
    </row>
    <row r="311" spans="1:12">
      <c r="A311">
        <v>22</v>
      </c>
      <c r="B311" t="s">
        <v>930</v>
      </c>
      <c r="C311" s="25" t="s">
        <v>3012</v>
      </c>
      <c r="E311">
        <v>2</v>
      </c>
      <c r="G311" s="1">
        <v>1687.8</v>
      </c>
      <c r="H311" t="s">
        <v>3013</v>
      </c>
      <c r="I311" t="s">
        <v>3014</v>
      </c>
      <c r="J311" s="6">
        <v>43209</v>
      </c>
    </row>
    <row r="312" spans="1:12">
      <c r="A312">
        <v>24</v>
      </c>
      <c r="B312" t="s">
        <v>816</v>
      </c>
      <c r="C312" s="25" t="s">
        <v>3015</v>
      </c>
      <c r="E312">
        <v>10</v>
      </c>
      <c r="G312" s="1">
        <v>2234.6</v>
      </c>
      <c r="H312" t="s">
        <v>3016</v>
      </c>
      <c r="I312" t="s">
        <v>3017</v>
      </c>
      <c r="J312" s="6">
        <v>43213</v>
      </c>
      <c r="K312" t="s">
        <v>3018</v>
      </c>
    </row>
    <row r="313" spans="1:12">
      <c r="A313">
        <v>25</v>
      </c>
      <c r="B313" t="s">
        <v>816</v>
      </c>
      <c r="C313" t="s">
        <v>3015</v>
      </c>
      <c r="E313">
        <v>10</v>
      </c>
      <c r="G313" s="1"/>
      <c r="H313" t="s">
        <v>3019</v>
      </c>
      <c r="I313" t="s">
        <v>3020</v>
      </c>
      <c r="J313" s="6">
        <v>43213</v>
      </c>
      <c r="K313" s="4" t="s">
        <v>3021</v>
      </c>
      <c r="L313" s="75" t="s">
        <v>3022</v>
      </c>
    </row>
    <row r="314" spans="1:12">
      <c r="A314">
        <v>26</v>
      </c>
      <c r="B314" t="s">
        <v>816</v>
      </c>
      <c r="C314" s="25" t="s">
        <v>3015</v>
      </c>
      <c r="E314">
        <v>10</v>
      </c>
      <c r="G314" s="1">
        <v>2234.6</v>
      </c>
      <c r="H314" t="s">
        <v>3023</v>
      </c>
      <c r="I314" t="s">
        <v>3024</v>
      </c>
      <c r="J314" s="6">
        <v>43213</v>
      </c>
      <c r="K314" t="s">
        <v>3025</v>
      </c>
    </row>
    <row r="315" spans="1:12">
      <c r="A315">
        <v>27</v>
      </c>
      <c r="B315" t="s">
        <v>816</v>
      </c>
      <c r="C315" s="25" t="s">
        <v>3015</v>
      </c>
      <c r="E315">
        <v>5</v>
      </c>
      <c r="G315" s="1">
        <v>1117.3</v>
      </c>
      <c r="H315" t="s">
        <v>3026</v>
      </c>
      <c r="I315" t="s">
        <v>3027</v>
      </c>
      <c r="J315" s="6">
        <v>43213</v>
      </c>
      <c r="K315" t="s">
        <v>3028</v>
      </c>
    </row>
    <row r="316" spans="1:12">
      <c r="A316">
        <v>28</v>
      </c>
      <c r="B316" t="s">
        <v>816</v>
      </c>
      <c r="C316" s="25" t="s">
        <v>3015</v>
      </c>
      <c r="E316">
        <v>10</v>
      </c>
      <c r="G316" s="1">
        <v>2234.6</v>
      </c>
      <c r="H316" t="s">
        <v>3029</v>
      </c>
      <c r="I316" t="s">
        <v>3030</v>
      </c>
      <c r="J316" s="6">
        <v>43213</v>
      </c>
      <c r="K316" t="s">
        <v>3021</v>
      </c>
    </row>
    <row r="317" spans="1:12">
      <c r="A317">
        <v>29</v>
      </c>
      <c r="B317" t="s">
        <v>647</v>
      </c>
      <c r="C317" s="25" t="s">
        <v>135</v>
      </c>
      <c r="E317">
        <v>15</v>
      </c>
      <c r="G317" s="1">
        <v>13837.35</v>
      </c>
      <c r="H317" t="s">
        <v>3031</v>
      </c>
      <c r="I317" t="s">
        <v>3032</v>
      </c>
      <c r="J317" s="6">
        <v>43213</v>
      </c>
      <c r="K317" t="s">
        <v>3033</v>
      </c>
    </row>
    <row r="318" spans="1:12">
      <c r="A318">
        <v>30</v>
      </c>
      <c r="B318" t="s">
        <v>724</v>
      </c>
      <c r="C318" s="25" t="s">
        <v>129</v>
      </c>
      <c r="E318">
        <v>1</v>
      </c>
      <c r="G318" s="1">
        <v>1025.48</v>
      </c>
      <c r="H318" t="s">
        <v>3034</v>
      </c>
      <c r="I318" t="s">
        <v>3035</v>
      </c>
      <c r="J318" s="6">
        <v>43213</v>
      </c>
      <c r="K318" t="s">
        <v>2221</v>
      </c>
    </row>
    <row r="319" spans="1:12">
      <c r="A319">
        <v>31</v>
      </c>
      <c r="B319" t="s">
        <v>722</v>
      </c>
      <c r="C319" s="25" t="s">
        <v>279</v>
      </c>
      <c r="E319">
        <v>44</v>
      </c>
      <c r="G319" s="1">
        <v>762.52</v>
      </c>
      <c r="H319" t="s">
        <v>3036</v>
      </c>
      <c r="I319" t="s">
        <v>3037</v>
      </c>
      <c r="J319" s="6">
        <v>43214</v>
      </c>
      <c r="K319" t="s">
        <v>3038</v>
      </c>
    </row>
    <row r="320" spans="1:12">
      <c r="A320">
        <v>32</v>
      </c>
      <c r="B320" t="s">
        <v>924</v>
      </c>
      <c r="C320" s="25" t="s">
        <v>2147</v>
      </c>
      <c r="E320">
        <v>20</v>
      </c>
      <c r="G320" s="1">
        <v>2239.1999999999998</v>
      </c>
      <c r="H320" t="s">
        <v>3039</v>
      </c>
      <c r="I320" t="s">
        <v>3040</v>
      </c>
      <c r="J320" s="6">
        <v>43214</v>
      </c>
      <c r="K320" t="s">
        <v>3041</v>
      </c>
    </row>
    <row r="321" spans="1:11">
      <c r="A321">
        <v>33</v>
      </c>
      <c r="B321" t="s">
        <v>924</v>
      </c>
      <c r="C321" s="25" t="s">
        <v>2147</v>
      </c>
      <c r="E321">
        <v>50</v>
      </c>
      <c r="G321" s="1">
        <v>5598</v>
      </c>
      <c r="H321" t="s">
        <v>3042</v>
      </c>
      <c r="I321" t="s">
        <v>3043</v>
      </c>
      <c r="J321" s="6">
        <v>43214</v>
      </c>
      <c r="K321" t="s">
        <v>3044</v>
      </c>
    </row>
    <row r="322" spans="1:11">
      <c r="A322">
        <v>34</v>
      </c>
      <c r="B322" t="s">
        <v>924</v>
      </c>
      <c r="C322" s="25" t="s">
        <v>2147</v>
      </c>
      <c r="E322">
        <v>50</v>
      </c>
      <c r="G322" s="1">
        <v>5598</v>
      </c>
      <c r="H322" t="s">
        <v>3045</v>
      </c>
      <c r="I322" t="s">
        <v>3046</v>
      </c>
      <c r="J322" s="6">
        <v>43214</v>
      </c>
      <c r="K322" t="s">
        <v>3047</v>
      </c>
    </row>
    <row r="323" spans="1:11">
      <c r="A323">
        <v>35</v>
      </c>
      <c r="B323" t="s">
        <v>924</v>
      </c>
      <c r="C323" s="25" t="s">
        <v>2147</v>
      </c>
      <c r="E323">
        <v>15</v>
      </c>
      <c r="G323" s="1">
        <v>1679.4</v>
      </c>
      <c r="H323" t="s">
        <v>3048</v>
      </c>
      <c r="I323" t="s">
        <v>3049</v>
      </c>
      <c r="J323" s="6">
        <v>43214</v>
      </c>
      <c r="K323" t="s">
        <v>3050</v>
      </c>
    </row>
    <row r="324" spans="1:11">
      <c r="A324">
        <v>36</v>
      </c>
      <c r="B324" t="s">
        <v>820</v>
      </c>
      <c r="C324" s="25" t="s">
        <v>3051</v>
      </c>
      <c r="E324">
        <v>15</v>
      </c>
      <c r="G324" s="1">
        <v>1929</v>
      </c>
      <c r="H324" t="s">
        <v>3052</v>
      </c>
      <c r="I324" t="s">
        <v>3053</v>
      </c>
      <c r="J324" s="6">
        <v>43214</v>
      </c>
      <c r="K324" t="s">
        <v>3054</v>
      </c>
    </row>
    <row r="325" spans="1:11">
      <c r="A325">
        <v>37</v>
      </c>
      <c r="B325" t="s">
        <v>879</v>
      </c>
      <c r="C325" s="25" t="s">
        <v>880</v>
      </c>
      <c r="E325">
        <v>1</v>
      </c>
      <c r="G325" s="9">
        <v>3786.8</v>
      </c>
      <c r="H325" t="s">
        <v>3055</v>
      </c>
      <c r="I325" t="s">
        <v>3056</v>
      </c>
      <c r="J325" s="6">
        <v>43216</v>
      </c>
      <c r="K325" t="s">
        <v>3057</v>
      </c>
    </row>
    <row r="326" spans="1:11">
      <c r="A326">
        <v>38</v>
      </c>
      <c r="B326" t="s">
        <v>632</v>
      </c>
      <c r="C326" s="25" t="s">
        <v>633</v>
      </c>
      <c r="E326">
        <v>10</v>
      </c>
      <c r="G326" s="1">
        <v>6949.4</v>
      </c>
      <c r="H326" t="s">
        <v>3058</v>
      </c>
      <c r="I326" t="s">
        <v>3059</v>
      </c>
      <c r="J326" s="6">
        <v>43217</v>
      </c>
      <c r="K326" t="s">
        <v>3060</v>
      </c>
    </row>
    <row r="327" spans="1:11">
      <c r="A327">
        <v>39</v>
      </c>
      <c r="B327" t="s">
        <v>945</v>
      </c>
      <c r="C327" s="25" t="s">
        <v>946</v>
      </c>
      <c r="E327">
        <v>64</v>
      </c>
      <c r="G327" s="1">
        <v>10525.44</v>
      </c>
      <c r="H327" t="s">
        <v>3061</v>
      </c>
      <c r="I327" t="s">
        <v>3062</v>
      </c>
      <c r="J327" s="6">
        <v>43217</v>
      </c>
      <c r="K327" t="s">
        <v>3063</v>
      </c>
    </row>
    <row r="328" spans="1:11">
      <c r="A328">
        <v>40</v>
      </c>
      <c r="C328" s="25" t="s">
        <v>809</v>
      </c>
      <c r="E328">
        <v>7</v>
      </c>
      <c r="G328" s="1">
        <v>990.01</v>
      </c>
      <c r="H328" t="s">
        <v>3064</v>
      </c>
      <c r="I328" t="s">
        <v>3065</v>
      </c>
      <c r="J328" s="6">
        <v>43217</v>
      </c>
      <c r="K328" t="s">
        <v>3066</v>
      </c>
    </row>
    <row r="329" spans="1:11">
      <c r="A329">
        <v>41</v>
      </c>
      <c r="B329" t="s">
        <v>691</v>
      </c>
      <c r="C329" s="25" t="s">
        <v>508</v>
      </c>
      <c r="E329">
        <v>2</v>
      </c>
      <c r="G329" s="1">
        <v>1186.06</v>
      </c>
      <c r="H329" t="s">
        <v>3067</v>
      </c>
      <c r="I329" t="s">
        <v>3068</v>
      </c>
      <c r="J329" s="6">
        <v>43217</v>
      </c>
      <c r="K329" t="s">
        <v>3069</v>
      </c>
    </row>
    <row r="330" spans="1:11">
      <c r="A330">
        <v>42</v>
      </c>
      <c r="B330" t="s">
        <v>691</v>
      </c>
      <c r="C330" s="25" t="s">
        <v>508</v>
      </c>
      <c r="E330">
        <v>23</v>
      </c>
      <c r="G330" s="1">
        <v>13639.64</v>
      </c>
      <c r="H330" t="s">
        <v>3070</v>
      </c>
      <c r="I330" t="s">
        <v>3071</v>
      </c>
      <c r="J330" s="6">
        <v>43217</v>
      </c>
      <c r="K330" t="s">
        <v>3072</v>
      </c>
    </row>
    <row r="331" spans="1:11">
      <c r="A331">
        <v>43</v>
      </c>
      <c r="B331" t="s">
        <v>3073</v>
      </c>
      <c r="C331" s="25" t="s">
        <v>3074</v>
      </c>
      <c r="E331">
        <v>250</v>
      </c>
      <c r="G331" s="1">
        <v>3777.5</v>
      </c>
      <c r="H331" t="s">
        <v>3075</v>
      </c>
      <c r="I331" t="s">
        <v>3076</v>
      </c>
      <c r="J331" s="6">
        <v>43217</v>
      </c>
      <c r="K331" t="s">
        <v>3077</v>
      </c>
    </row>
    <row r="332" spans="1:11">
      <c r="A332">
        <v>44</v>
      </c>
      <c r="B332" t="s">
        <v>773</v>
      </c>
      <c r="C332" s="25" t="s">
        <v>135</v>
      </c>
      <c r="E332">
        <v>8</v>
      </c>
      <c r="G332" s="1">
        <v>2413.7600000000002</v>
      </c>
      <c r="H332" t="s">
        <v>3078</v>
      </c>
      <c r="I332" t="s">
        <v>3079</v>
      </c>
      <c r="J332" s="6">
        <v>43217</v>
      </c>
      <c r="K332" t="s">
        <v>3080</v>
      </c>
    </row>
    <row r="333" spans="1:11">
      <c r="G333" s="1"/>
      <c r="J333" s="6"/>
    </row>
    <row r="334" spans="1:11">
      <c r="A334">
        <v>1</v>
      </c>
      <c r="B334" t="s">
        <v>1023</v>
      </c>
      <c r="C334" s="25" t="s">
        <v>3081</v>
      </c>
      <c r="E334" s="75">
        <v>1</v>
      </c>
      <c r="G334" s="1">
        <v>122.2</v>
      </c>
      <c r="H334" t="s">
        <v>3082</v>
      </c>
      <c r="I334" t="s">
        <v>3083</v>
      </c>
      <c r="J334" s="6">
        <v>43221</v>
      </c>
      <c r="K334" t="s">
        <v>2221</v>
      </c>
    </row>
    <row r="335" spans="1:11">
      <c r="A335">
        <v>2</v>
      </c>
      <c r="B335" t="s">
        <v>531</v>
      </c>
      <c r="C335" s="25" t="s">
        <v>532</v>
      </c>
      <c r="E335">
        <v>544</v>
      </c>
      <c r="F335" t="s">
        <v>2406</v>
      </c>
      <c r="G335" s="1">
        <v>15906.56</v>
      </c>
      <c r="H335" t="s">
        <v>3084</v>
      </c>
      <c r="I335" t="s">
        <v>3085</v>
      </c>
      <c r="J335" s="6">
        <v>43221</v>
      </c>
      <c r="K335" t="s">
        <v>3086</v>
      </c>
    </row>
    <row r="336" spans="1:11">
      <c r="A336">
        <v>3</v>
      </c>
      <c r="B336" t="s">
        <v>806</v>
      </c>
      <c r="C336" s="25" t="s">
        <v>135</v>
      </c>
      <c r="E336">
        <v>9</v>
      </c>
      <c r="G336" s="1">
        <v>2293.11</v>
      </c>
      <c r="H336" t="s">
        <v>3087</v>
      </c>
      <c r="I336" t="s">
        <v>3088</v>
      </c>
      <c r="J336" s="6">
        <v>43221</v>
      </c>
      <c r="K336" t="s">
        <v>3089</v>
      </c>
    </row>
    <row r="337" spans="1:11">
      <c r="A337">
        <v>4</v>
      </c>
      <c r="B337" t="s">
        <v>740</v>
      </c>
      <c r="C337" s="25" t="s">
        <v>532</v>
      </c>
      <c r="E337">
        <v>18</v>
      </c>
      <c r="F337" t="s">
        <v>2406</v>
      </c>
      <c r="G337" s="1">
        <v>2925</v>
      </c>
      <c r="H337" t="s">
        <v>3090</v>
      </c>
      <c r="I337" t="s">
        <v>3091</v>
      </c>
      <c r="J337" s="6">
        <v>43221</v>
      </c>
      <c r="K337" t="s">
        <v>3092</v>
      </c>
    </row>
    <row r="338" spans="1:11">
      <c r="A338">
        <v>5</v>
      </c>
      <c r="B338" t="s">
        <v>999</v>
      </c>
      <c r="C338" s="25" t="s">
        <v>347</v>
      </c>
      <c r="E338">
        <v>18</v>
      </c>
      <c r="F338" t="s">
        <v>2406</v>
      </c>
      <c r="G338" s="1">
        <v>1311.66</v>
      </c>
      <c r="H338" t="s">
        <v>3093</v>
      </c>
      <c r="I338" t="s">
        <v>3094</v>
      </c>
      <c r="J338" s="6">
        <v>43221</v>
      </c>
      <c r="K338" t="s">
        <v>3095</v>
      </c>
    </row>
    <row r="339" spans="1:11">
      <c r="A339">
        <v>6</v>
      </c>
      <c r="B339" t="s">
        <v>503</v>
      </c>
      <c r="C339" s="25" t="s">
        <v>3096</v>
      </c>
      <c r="E339">
        <v>1</v>
      </c>
      <c r="F339" t="s">
        <v>2406</v>
      </c>
      <c r="G339" s="1">
        <v>11940</v>
      </c>
      <c r="H339" t="s">
        <v>3097</v>
      </c>
      <c r="I339" t="s">
        <v>3098</v>
      </c>
      <c r="J339" s="6">
        <v>43221</v>
      </c>
      <c r="K339" t="s">
        <v>3099</v>
      </c>
    </row>
    <row r="340" spans="1:11">
      <c r="A340">
        <v>7</v>
      </c>
      <c r="B340" s="73" t="s">
        <v>915</v>
      </c>
      <c r="C340" s="25" t="s">
        <v>880</v>
      </c>
      <c r="E340">
        <v>5</v>
      </c>
      <c r="F340" t="s">
        <v>2406</v>
      </c>
      <c r="G340" s="1">
        <v>1937</v>
      </c>
      <c r="H340" t="s">
        <v>3100</v>
      </c>
      <c r="I340" t="s">
        <v>3101</v>
      </c>
      <c r="J340" s="6">
        <v>43222</v>
      </c>
      <c r="K340" t="s">
        <v>3102</v>
      </c>
    </row>
    <row r="341" spans="1:11">
      <c r="A341">
        <v>8</v>
      </c>
      <c r="B341" t="s">
        <v>733</v>
      </c>
      <c r="C341" s="25" t="s">
        <v>135</v>
      </c>
      <c r="E341">
        <v>3</v>
      </c>
      <c r="G341" s="1">
        <v>2434.92</v>
      </c>
      <c r="H341" t="s">
        <v>3103</v>
      </c>
      <c r="I341" t="s">
        <v>3104</v>
      </c>
      <c r="J341" s="6">
        <v>43222</v>
      </c>
      <c r="K341" t="s">
        <v>3105</v>
      </c>
    </row>
    <row r="342" spans="1:11">
      <c r="A342">
        <v>9</v>
      </c>
      <c r="B342" t="s">
        <v>624</v>
      </c>
      <c r="C342" s="25" t="s">
        <v>1462</v>
      </c>
      <c r="E342">
        <v>226</v>
      </c>
      <c r="F342" t="s">
        <v>2406</v>
      </c>
      <c r="G342" s="1">
        <v>13562.66</v>
      </c>
      <c r="H342" t="s">
        <v>3106</v>
      </c>
      <c r="I342" t="s">
        <v>3107</v>
      </c>
      <c r="J342" s="6">
        <v>43222</v>
      </c>
      <c r="K342" t="s">
        <v>3108</v>
      </c>
    </row>
    <row r="343" spans="1:11">
      <c r="A343">
        <v>10</v>
      </c>
      <c r="B343" t="s">
        <v>857</v>
      </c>
      <c r="C343" s="25" t="s">
        <v>1462</v>
      </c>
      <c r="E343">
        <v>27</v>
      </c>
      <c r="F343" t="s">
        <v>2406</v>
      </c>
      <c r="G343" s="9">
        <v>5371.38</v>
      </c>
      <c r="H343" t="s">
        <v>3109</v>
      </c>
      <c r="I343" t="s">
        <v>3110</v>
      </c>
      <c r="J343" s="6">
        <v>43222</v>
      </c>
      <c r="K343" t="s">
        <v>3111</v>
      </c>
    </row>
    <row r="344" spans="1:11">
      <c r="A344">
        <v>11</v>
      </c>
      <c r="B344" t="s">
        <v>893</v>
      </c>
      <c r="C344" s="25" t="s">
        <v>809</v>
      </c>
      <c r="E344">
        <v>13</v>
      </c>
      <c r="F344" t="s">
        <v>2406</v>
      </c>
      <c r="G344" s="1">
        <v>537.67999999999995</v>
      </c>
      <c r="H344" t="s">
        <v>3112</v>
      </c>
      <c r="I344" t="s">
        <v>3113</v>
      </c>
      <c r="J344" s="6">
        <v>43223</v>
      </c>
      <c r="K344" t="s">
        <v>3114</v>
      </c>
    </row>
    <row r="345" spans="1:11">
      <c r="A345">
        <v>12</v>
      </c>
      <c r="B345" t="s">
        <v>860</v>
      </c>
      <c r="C345" s="25" t="s">
        <v>1946</v>
      </c>
      <c r="E345">
        <v>132</v>
      </c>
      <c r="F345" t="s">
        <v>2406</v>
      </c>
      <c r="G345" s="1">
        <v>12524.16</v>
      </c>
      <c r="H345" t="s">
        <v>3115</v>
      </c>
      <c r="I345" t="s">
        <v>3116</v>
      </c>
      <c r="J345" s="6">
        <v>43223</v>
      </c>
      <c r="K345" t="s">
        <v>3117</v>
      </c>
    </row>
    <row r="346" spans="1:11">
      <c r="G346" s="1">
        <v>0</v>
      </c>
    </row>
    <row r="347" spans="1:11">
      <c r="A347">
        <v>13</v>
      </c>
      <c r="B347" t="s">
        <v>1003</v>
      </c>
      <c r="C347" s="25" t="s">
        <v>1462</v>
      </c>
      <c r="E347">
        <v>2</v>
      </c>
      <c r="F347" t="s">
        <v>2406</v>
      </c>
      <c r="G347" s="1">
        <v>6084</v>
      </c>
      <c r="H347" t="s">
        <v>3118</v>
      </c>
      <c r="I347" t="s">
        <v>3119</v>
      </c>
      <c r="J347" s="6">
        <v>43223</v>
      </c>
      <c r="K347" t="s">
        <v>3120</v>
      </c>
    </row>
    <row r="348" spans="1:11">
      <c r="A348">
        <v>14</v>
      </c>
      <c r="B348" t="s">
        <v>408</v>
      </c>
      <c r="C348" s="92" t="s">
        <v>3121</v>
      </c>
      <c r="E348">
        <v>3</v>
      </c>
      <c r="G348" s="1">
        <v>15676.8</v>
      </c>
      <c r="H348" t="s">
        <v>3122</v>
      </c>
      <c r="I348" t="s">
        <v>3123</v>
      </c>
      <c r="J348" s="6">
        <v>43223</v>
      </c>
      <c r="K348" t="s">
        <v>3124</v>
      </c>
    </row>
    <row r="349" spans="1:11">
      <c r="A349">
        <v>15</v>
      </c>
      <c r="B349" t="s">
        <v>941</v>
      </c>
      <c r="C349" s="25" t="s">
        <v>501</v>
      </c>
      <c r="E349">
        <v>1</v>
      </c>
      <c r="F349" t="s">
        <v>2406</v>
      </c>
      <c r="G349" s="1">
        <v>1008.98</v>
      </c>
      <c r="H349" t="s">
        <v>3125</v>
      </c>
      <c r="I349" t="s">
        <v>3126</v>
      </c>
      <c r="J349" s="6">
        <v>43225</v>
      </c>
      <c r="K349" t="s">
        <v>3127</v>
      </c>
    </row>
    <row r="350" spans="1:11">
      <c r="A350">
        <v>16</v>
      </c>
      <c r="B350" t="s">
        <v>977</v>
      </c>
      <c r="C350" s="25" t="s">
        <v>135</v>
      </c>
      <c r="E350">
        <v>2</v>
      </c>
      <c r="G350" s="1">
        <v>1113.6400000000001</v>
      </c>
      <c r="H350" t="s">
        <v>3128</v>
      </c>
      <c r="I350" t="s">
        <v>3129</v>
      </c>
      <c r="J350" s="6">
        <v>43225</v>
      </c>
      <c r="K350" t="s">
        <v>3130</v>
      </c>
    </row>
    <row r="351" spans="1:11">
      <c r="A351">
        <v>17</v>
      </c>
      <c r="B351" t="s">
        <v>895</v>
      </c>
      <c r="C351" s="25" t="s">
        <v>129</v>
      </c>
      <c r="E351">
        <v>13</v>
      </c>
      <c r="G351" s="1">
        <v>6742.32</v>
      </c>
      <c r="H351" t="s">
        <v>3131</v>
      </c>
      <c r="I351" t="s">
        <v>3132</v>
      </c>
      <c r="J351" s="6">
        <v>43231</v>
      </c>
      <c r="K351" t="s">
        <v>3133</v>
      </c>
    </row>
    <row r="352" spans="1:11">
      <c r="A352">
        <v>18</v>
      </c>
      <c r="B352" t="s">
        <v>895</v>
      </c>
      <c r="C352" s="25" t="s">
        <v>129</v>
      </c>
      <c r="E352">
        <v>16</v>
      </c>
      <c r="G352" s="1">
        <v>8298.24</v>
      </c>
      <c r="H352" t="s">
        <v>3134</v>
      </c>
      <c r="I352" t="s">
        <v>3135</v>
      </c>
      <c r="J352" s="6">
        <v>43231</v>
      </c>
      <c r="K352" t="s">
        <v>3136</v>
      </c>
    </row>
    <row r="353" spans="1:11">
      <c r="A353">
        <v>19</v>
      </c>
      <c r="B353" t="s">
        <v>755</v>
      </c>
      <c r="C353" s="25" t="s">
        <v>129</v>
      </c>
      <c r="E353">
        <v>1</v>
      </c>
      <c r="G353" s="1">
        <v>6863.44</v>
      </c>
      <c r="H353" t="s">
        <v>3137</v>
      </c>
      <c r="I353" t="s">
        <v>3138</v>
      </c>
      <c r="J353" s="6">
        <v>43231</v>
      </c>
      <c r="K353" t="s">
        <v>3139</v>
      </c>
    </row>
    <row r="354" spans="1:11">
      <c r="A354">
        <v>20</v>
      </c>
      <c r="B354" t="s">
        <v>755</v>
      </c>
      <c r="C354" s="25" t="s">
        <v>129</v>
      </c>
      <c r="E354">
        <v>1</v>
      </c>
      <c r="G354" s="1">
        <v>6863.44</v>
      </c>
      <c r="H354" t="s">
        <v>3140</v>
      </c>
      <c r="I354" t="s">
        <v>3141</v>
      </c>
      <c r="J354" s="6">
        <v>43231</v>
      </c>
      <c r="K354" t="s">
        <v>3142</v>
      </c>
    </row>
    <row r="355" spans="1:11">
      <c r="A355">
        <v>21</v>
      </c>
      <c r="B355" t="s">
        <v>935</v>
      </c>
      <c r="C355" s="25" t="s">
        <v>135</v>
      </c>
      <c r="E355">
        <v>19</v>
      </c>
      <c r="G355" s="1">
        <v>5941.3</v>
      </c>
      <c r="H355" t="s">
        <v>3143</v>
      </c>
      <c r="I355" t="s">
        <v>3144</v>
      </c>
      <c r="J355" s="6">
        <v>43231</v>
      </c>
      <c r="K355" t="s">
        <v>3145</v>
      </c>
    </row>
    <row r="356" spans="1:11">
      <c r="A356">
        <v>22</v>
      </c>
      <c r="B356" t="s">
        <v>865</v>
      </c>
      <c r="C356" s="25" t="s">
        <v>3146</v>
      </c>
      <c r="E356">
        <v>20</v>
      </c>
      <c r="F356" t="s">
        <v>2406</v>
      </c>
      <c r="G356" s="1">
        <v>12336</v>
      </c>
      <c r="H356" t="s">
        <v>3147</v>
      </c>
      <c r="I356" t="s">
        <v>3148</v>
      </c>
      <c r="K356" t="s">
        <v>3149</v>
      </c>
    </row>
    <row r="357" spans="1:11">
      <c r="A357">
        <v>23</v>
      </c>
      <c r="B357" t="s">
        <v>608</v>
      </c>
      <c r="C357" s="25" t="s">
        <v>129</v>
      </c>
      <c r="E357">
        <v>1</v>
      </c>
      <c r="G357" s="1">
        <v>6748.81</v>
      </c>
      <c r="H357" t="s">
        <v>3150</v>
      </c>
      <c r="I357" t="s">
        <v>3151</v>
      </c>
      <c r="J357" s="6">
        <v>43235</v>
      </c>
      <c r="K357" t="s">
        <v>2221</v>
      </c>
    </row>
    <row r="358" spans="1:11">
      <c r="A358">
        <v>24</v>
      </c>
      <c r="B358" t="s">
        <v>948</v>
      </c>
      <c r="C358" s="25" t="s">
        <v>949</v>
      </c>
      <c r="E358">
        <v>2</v>
      </c>
      <c r="F358" t="s">
        <v>2406</v>
      </c>
      <c r="G358" s="1">
        <v>2654</v>
      </c>
      <c r="H358" t="s">
        <v>3152</v>
      </c>
      <c r="I358" t="s">
        <v>3153</v>
      </c>
      <c r="J358" s="6">
        <v>43235</v>
      </c>
      <c r="K358" t="s">
        <v>3154</v>
      </c>
    </row>
    <row r="359" spans="1:11">
      <c r="A359">
        <v>25</v>
      </c>
      <c r="B359" t="s">
        <v>921</v>
      </c>
      <c r="C359" s="25" t="s">
        <v>3155</v>
      </c>
      <c r="E359">
        <v>19</v>
      </c>
      <c r="F359" t="s">
        <v>2406</v>
      </c>
      <c r="G359" s="1">
        <v>3796.96</v>
      </c>
      <c r="H359" t="s">
        <v>3156</v>
      </c>
      <c r="I359" t="s">
        <v>3157</v>
      </c>
      <c r="J359" s="6">
        <v>43235</v>
      </c>
      <c r="K359" t="s">
        <v>3158</v>
      </c>
    </row>
    <row r="360" spans="1:11">
      <c r="A360">
        <v>26</v>
      </c>
      <c r="B360" t="s">
        <v>828</v>
      </c>
      <c r="C360" s="25" t="s">
        <v>606</v>
      </c>
      <c r="E360">
        <v>42</v>
      </c>
      <c r="F360" t="s">
        <v>2406</v>
      </c>
      <c r="G360" s="1">
        <v>3725.4</v>
      </c>
      <c r="H360" t="s">
        <v>3159</v>
      </c>
      <c r="I360" t="s">
        <v>3160</v>
      </c>
      <c r="J360" s="6">
        <v>43235</v>
      </c>
      <c r="K360" t="s">
        <v>3161</v>
      </c>
    </row>
    <row r="361" spans="1:11">
      <c r="A361">
        <v>27</v>
      </c>
      <c r="B361" t="s">
        <v>787</v>
      </c>
      <c r="C361" s="25" t="s">
        <v>129</v>
      </c>
      <c r="E361">
        <v>7</v>
      </c>
      <c r="G361" s="1">
        <v>11959.36</v>
      </c>
      <c r="H361" t="s">
        <v>3162</v>
      </c>
      <c r="I361" t="s">
        <v>3163</v>
      </c>
      <c r="J361" s="6">
        <v>43235</v>
      </c>
      <c r="K361" t="s">
        <v>3164</v>
      </c>
    </row>
    <row r="362" spans="1:11">
      <c r="A362">
        <v>28</v>
      </c>
      <c r="B362" t="s">
        <v>900</v>
      </c>
      <c r="C362" s="25" t="s">
        <v>135</v>
      </c>
      <c r="E362">
        <v>35</v>
      </c>
      <c r="G362" s="1">
        <v>9657.2000000000007</v>
      </c>
      <c r="H362" t="s">
        <v>3165</v>
      </c>
      <c r="I362" t="s">
        <v>3166</v>
      </c>
      <c r="J362" s="6">
        <v>43236</v>
      </c>
      <c r="K362" t="s">
        <v>3167</v>
      </c>
    </row>
    <row r="363" spans="1:11">
      <c r="A363">
        <v>29</v>
      </c>
      <c r="B363" t="s">
        <v>1061</v>
      </c>
      <c r="C363" s="25" t="s">
        <v>3168</v>
      </c>
      <c r="E363">
        <v>1</v>
      </c>
      <c r="F363" t="s">
        <v>2406</v>
      </c>
      <c r="G363" s="1">
        <v>868.6</v>
      </c>
      <c r="H363" t="s">
        <v>3169</v>
      </c>
      <c r="I363" t="s">
        <v>3170</v>
      </c>
      <c r="J363" s="6">
        <v>43242</v>
      </c>
    </row>
    <row r="364" spans="1:11">
      <c r="A364">
        <v>30</v>
      </c>
      <c r="B364" t="s">
        <v>771</v>
      </c>
      <c r="C364" s="25" t="s">
        <v>139</v>
      </c>
      <c r="E364" s="75">
        <v>9</v>
      </c>
      <c r="G364" s="1">
        <v>5550.48</v>
      </c>
      <c r="H364" t="s">
        <v>3171</v>
      </c>
      <c r="I364" t="s">
        <v>3172</v>
      </c>
      <c r="J364" s="6">
        <v>43242</v>
      </c>
      <c r="K364" t="s">
        <v>3173</v>
      </c>
    </row>
    <row r="365" spans="1:11">
      <c r="A365">
        <v>31</v>
      </c>
      <c r="B365" t="s">
        <v>871</v>
      </c>
      <c r="C365" s="25" t="s">
        <v>872</v>
      </c>
      <c r="E365">
        <v>3</v>
      </c>
      <c r="F365" t="s">
        <v>2406</v>
      </c>
      <c r="G365" s="1">
        <v>763.02</v>
      </c>
      <c r="H365" t="s">
        <v>3174</v>
      </c>
      <c r="I365" t="s">
        <v>3175</v>
      </c>
      <c r="J365" s="6">
        <v>43245</v>
      </c>
      <c r="K365" t="s">
        <v>3176</v>
      </c>
    </row>
    <row r="366" spans="1:11">
      <c r="A366">
        <v>32</v>
      </c>
      <c r="B366" t="s">
        <v>802</v>
      </c>
      <c r="C366" s="25" t="s">
        <v>129</v>
      </c>
      <c r="E366">
        <v>1</v>
      </c>
      <c r="G366" s="1">
        <v>1843.64</v>
      </c>
      <c r="H366" t="s">
        <v>3177</v>
      </c>
      <c r="I366" t="s">
        <v>3178</v>
      </c>
      <c r="J366" s="6">
        <v>43243</v>
      </c>
      <c r="K366" t="s">
        <v>3179</v>
      </c>
    </row>
    <row r="367" spans="1:11">
      <c r="A367">
        <v>33</v>
      </c>
      <c r="B367" t="s">
        <v>989</v>
      </c>
      <c r="C367" s="25" t="s">
        <v>129</v>
      </c>
      <c r="E367">
        <v>8</v>
      </c>
      <c r="G367" s="1">
        <v>8421.6</v>
      </c>
      <c r="H367" t="s">
        <v>3180</v>
      </c>
      <c r="I367" t="s">
        <v>3181</v>
      </c>
      <c r="J367" s="6">
        <v>43243</v>
      </c>
      <c r="K367" t="s">
        <v>3182</v>
      </c>
    </row>
    <row r="368" spans="1:11">
      <c r="A368">
        <v>34</v>
      </c>
      <c r="B368" t="s">
        <v>989</v>
      </c>
      <c r="C368" s="25" t="s">
        <v>129</v>
      </c>
      <c r="E368">
        <v>9</v>
      </c>
      <c r="G368" s="1">
        <v>9474.2999999999993</v>
      </c>
      <c r="H368" t="s">
        <v>3183</v>
      </c>
      <c r="I368" t="s">
        <v>3184</v>
      </c>
      <c r="J368" s="6">
        <v>43243</v>
      </c>
      <c r="K368" t="s">
        <v>3185</v>
      </c>
    </row>
    <row r="369" spans="1:11">
      <c r="A369">
        <v>35</v>
      </c>
      <c r="B369" t="s">
        <v>975</v>
      </c>
      <c r="C369" s="25" t="s">
        <v>814</v>
      </c>
      <c r="E369">
        <v>2</v>
      </c>
      <c r="F369" t="s">
        <v>2406</v>
      </c>
      <c r="G369" s="1">
        <v>1137.56</v>
      </c>
      <c r="H369" t="s">
        <v>3186</v>
      </c>
      <c r="I369" t="s">
        <v>3187</v>
      </c>
      <c r="J369" s="6">
        <v>43243</v>
      </c>
      <c r="K369" t="s">
        <v>3188</v>
      </c>
    </row>
    <row r="370" spans="1:11">
      <c r="A370">
        <v>36</v>
      </c>
      <c r="B370" t="s">
        <v>686</v>
      </c>
      <c r="C370" s="25" t="s">
        <v>633</v>
      </c>
      <c r="E370">
        <v>10</v>
      </c>
      <c r="F370" t="s">
        <v>2406</v>
      </c>
      <c r="G370" s="1">
        <v>7498.4</v>
      </c>
      <c r="H370" t="s">
        <v>3189</v>
      </c>
      <c r="I370" t="s">
        <v>3190</v>
      </c>
      <c r="J370" s="6">
        <v>43243</v>
      </c>
      <c r="K370" t="s">
        <v>3191</v>
      </c>
    </row>
    <row r="371" spans="1:11">
      <c r="A371">
        <v>37</v>
      </c>
      <c r="B371" t="s">
        <v>985</v>
      </c>
      <c r="C371" s="25" t="s">
        <v>129</v>
      </c>
      <c r="E371">
        <v>6</v>
      </c>
      <c r="G371" s="1">
        <v>4107.42</v>
      </c>
      <c r="H371" t="s">
        <v>3192</v>
      </c>
      <c r="I371" t="s">
        <v>3193</v>
      </c>
      <c r="J371" s="6">
        <v>43243</v>
      </c>
      <c r="K371" t="s">
        <v>3194</v>
      </c>
    </row>
    <row r="372" spans="1:11">
      <c r="A372">
        <v>38</v>
      </c>
      <c r="B372" t="s">
        <v>769</v>
      </c>
      <c r="C372" s="25" t="s">
        <v>135</v>
      </c>
      <c r="E372">
        <v>49</v>
      </c>
      <c r="G372" s="1">
        <v>6652.73</v>
      </c>
      <c r="H372" t="s">
        <v>3195</v>
      </c>
      <c r="I372" t="s">
        <v>3196</v>
      </c>
      <c r="J372" s="6">
        <v>43245</v>
      </c>
      <c r="K372" t="s">
        <v>3197</v>
      </c>
    </row>
    <row r="373" spans="1:11">
      <c r="A373">
        <v>39</v>
      </c>
      <c r="B373" t="s">
        <v>863</v>
      </c>
      <c r="C373" s="25" t="s">
        <v>753</v>
      </c>
      <c r="E373">
        <v>1</v>
      </c>
      <c r="F373" t="s">
        <v>2406</v>
      </c>
      <c r="G373" s="1">
        <v>5761.35</v>
      </c>
      <c r="H373" t="s">
        <v>3198</v>
      </c>
      <c r="I373" t="s">
        <v>3199</v>
      </c>
      <c r="J373" s="6">
        <v>43245</v>
      </c>
      <c r="K373" t="s">
        <v>3200</v>
      </c>
    </row>
    <row r="374" spans="1:11">
      <c r="A374">
        <v>40</v>
      </c>
      <c r="B374" t="s">
        <v>796</v>
      </c>
      <c r="C374" s="25" t="s">
        <v>797</v>
      </c>
      <c r="E374">
        <v>2</v>
      </c>
      <c r="F374" t="s">
        <v>2406</v>
      </c>
      <c r="G374" s="1">
        <v>2344</v>
      </c>
      <c r="H374" t="s">
        <v>3201</v>
      </c>
      <c r="I374" t="s">
        <v>3202</v>
      </c>
      <c r="J374" s="6">
        <v>43245</v>
      </c>
      <c r="K374" t="s">
        <v>3203</v>
      </c>
    </row>
    <row r="375" spans="1:11">
      <c r="A375">
        <v>41</v>
      </c>
      <c r="B375" t="s">
        <v>919</v>
      </c>
      <c r="C375" s="25" t="s">
        <v>135</v>
      </c>
      <c r="E375">
        <v>317</v>
      </c>
      <c r="G375" s="1">
        <v>26377.57</v>
      </c>
      <c r="H375" t="s">
        <v>3204</v>
      </c>
      <c r="I375" t="s">
        <v>3205</v>
      </c>
      <c r="J375" s="6">
        <v>43245</v>
      </c>
      <c r="K375" t="s">
        <v>3206</v>
      </c>
    </row>
    <row r="376" spans="1:11">
      <c r="A376">
        <v>42</v>
      </c>
      <c r="B376" t="s">
        <v>785</v>
      </c>
      <c r="C376" s="25" t="s">
        <v>135</v>
      </c>
      <c r="E376">
        <v>31</v>
      </c>
      <c r="G376" s="1">
        <v>2650.19</v>
      </c>
      <c r="H376" t="s">
        <v>3207</v>
      </c>
      <c r="I376" t="s">
        <v>3208</v>
      </c>
      <c r="J376" s="6">
        <v>43246</v>
      </c>
      <c r="K376" t="s">
        <v>3209</v>
      </c>
    </row>
    <row r="377" spans="1:11">
      <c r="A377">
        <v>43</v>
      </c>
      <c r="B377" t="s">
        <v>600</v>
      </c>
      <c r="C377" s="25" t="s">
        <v>576</v>
      </c>
      <c r="E377">
        <v>84</v>
      </c>
      <c r="F377" t="s">
        <v>2406</v>
      </c>
      <c r="G377" s="1">
        <v>19706.400000000001</v>
      </c>
      <c r="H377" t="s">
        <v>3210</v>
      </c>
      <c r="I377" t="s">
        <v>3211</v>
      </c>
      <c r="J377" s="6">
        <v>43249</v>
      </c>
      <c r="K377" t="s">
        <v>3212</v>
      </c>
    </row>
    <row r="378" spans="1:11">
      <c r="G378" s="26">
        <f>SUM(G334:G377)</f>
        <v>283493.4800000001</v>
      </c>
    </row>
    <row r="379" spans="1:11">
      <c r="A379">
        <v>1</v>
      </c>
      <c r="B379" t="s">
        <v>917</v>
      </c>
      <c r="C379" s="25" t="s">
        <v>266</v>
      </c>
      <c r="E379">
        <v>1761</v>
      </c>
      <c r="F379" t="s">
        <v>2406</v>
      </c>
      <c r="G379" s="1">
        <v>4296.84</v>
      </c>
      <c r="H379" t="s">
        <v>3213</v>
      </c>
      <c r="I379" t="s">
        <v>3214</v>
      </c>
      <c r="J379" s="6">
        <v>43252</v>
      </c>
      <c r="K379" t="s">
        <v>3215</v>
      </c>
    </row>
    <row r="380" spans="1:11">
      <c r="A380">
        <v>2</v>
      </c>
      <c r="B380" t="s">
        <v>908</v>
      </c>
      <c r="C380" s="25" t="s">
        <v>880</v>
      </c>
      <c r="E380">
        <v>51</v>
      </c>
      <c r="F380" t="s">
        <v>2406</v>
      </c>
      <c r="G380" s="1">
        <v>3252.27</v>
      </c>
      <c r="H380" t="s">
        <v>3216</v>
      </c>
      <c r="I380" t="s">
        <v>3217</v>
      </c>
      <c r="J380" s="6">
        <v>43252</v>
      </c>
      <c r="K380" t="s">
        <v>2221</v>
      </c>
    </row>
    <row r="381" spans="1:11">
      <c r="A381">
        <v>3</v>
      </c>
      <c r="B381" t="s">
        <v>1030</v>
      </c>
      <c r="C381" s="25" t="s">
        <v>1031</v>
      </c>
      <c r="E381">
        <v>1</v>
      </c>
      <c r="F381" t="s">
        <v>2406</v>
      </c>
      <c r="G381" s="1">
        <v>7811.8</v>
      </c>
      <c r="H381" t="s">
        <v>3218</v>
      </c>
      <c r="I381" t="s">
        <v>3219</v>
      </c>
      <c r="J381" s="6">
        <v>43252</v>
      </c>
      <c r="K381" t="s">
        <v>3220</v>
      </c>
    </row>
    <row r="382" spans="1:11">
      <c r="A382">
        <v>4</v>
      </c>
      <c r="B382" t="s">
        <v>853</v>
      </c>
      <c r="C382" s="25" t="s">
        <v>129</v>
      </c>
      <c r="E382">
        <v>1</v>
      </c>
      <c r="G382" s="1">
        <v>2018.88</v>
      </c>
      <c r="H382" t="s">
        <v>3221</v>
      </c>
      <c r="I382" t="s">
        <v>3222</v>
      </c>
      <c r="J382" s="6">
        <v>43252</v>
      </c>
      <c r="K382" t="s">
        <v>2221</v>
      </c>
    </row>
    <row r="383" spans="1:11">
      <c r="A383">
        <v>5</v>
      </c>
      <c r="B383" t="s">
        <v>887</v>
      </c>
      <c r="C383" s="127" t="s">
        <v>139</v>
      </c>
      <c r="E383" s="75">
        <v>1</v>
      </c>
      <c r="G383" s="1">
        <v>888.4</v>
      </c>
      <c r="H383" t="s">
        <v>3223</v>
      </c>
      <c r="I383" t="s">
        <v>3224</v>
      </c>
      <c r="J383" s="6">
        <v>43252</v>
      </c>
      <c r="K383" t="s">
        <v>2221</v>
      </c>
    </row>
    <row r="384" spans="1:11">
      <c r="A384">
        <v>6</v>
      </c>
      <c r="B384" t="s">
        <v>928</v>
      </c>
      <c r="C384" s="25" t="s">
        <v>266</v>
      </c>
      <c r="E384">
        <v>2</v>
      </c>
      <c r="F384" t="s">
        <v>2406</v>
      </c>
      <c r="G384" s="1">
        <v>389.2</v>
      </c>
      <c r="H384" t="s">
        <v>3225</v>
      </c>
      <c r="I384" t="s">
        <v>3226</v>
      </c>
      <c r="J384" s="6">
        <v>43252</v>
      </c>
      <c r="K384" t="s">
        <v>3227</v>
      </c>
    </row>
    <row r="385" spans="1:13">
      <c r="A385">
        <v>7</v>
      </c>
      <c r="B385" t="s">
        <v>962</v>
      </c>
      <c r="C385" s="25" t="s">
        <v>135</v>
      </c>
      <c r="E385">
        <v>47</v>
      </c>
      <c r="G385" s="1">
        <v>2906.48</v>
      </c>
      <c r="H385" t="s">
        <v>3228</v>
      </c>
      <c r="I385" t="s">
        <v>3229</v>
      </c>
      <c r="J385" s="6">
        <v>43256</v>
      </c>
      <c r="K385" t="s">
        <v>3230</v>
      </c>
    </row>
    <row r="386" spans="1:13">
      <c r="A386">
        <v>8</v>
      </c>
      <c r="B386" t="s">
        <v>868</v>
      </c>
      <c r="C386" s="25" t="s">
        <v>3231</v>
      </c>
      <c r="E386">
        <v>24</v>
      </c>
      <c r="F386" t="s">
        <v>2406</v>
      </c>
      <c r="G386" s="1">
        <v>14803.43</v>
      </c>
      <c r="H386" t="s">
        <v>3232</v>
      </c>
      <c r="I386" t="s">
        <v>3233</v>
      </c>
      <c r="J386" s="6">
        <v>43256</v>
      </c>
      <c r="K386" t="s">
        <v>3234</v>
      </c>
    </row>
    <row r="387" spans="1:13">
      <c r="A387">
        <v>9</v>
      </c>
      <c r="B387" t="s">
        <v>1107</v>
      </c>
      <c r="C387" s="25" t="s">
        <v>606</v>
      </c>
      <c r="E387">
        <v>1</v>
      </c>
      <c r="G387" s="1">
        <v>484.96</v>
      </c>
      <c r="H387" t="s">
        <v>3235</v>
      </c>
      <c r="I387" t="s">
        <v>3236</v>
      </c>
      <c r="J387" s="6">
        <v>43256</v>
      </c>
      <c r="K387" t="s">
        <v>2221</v>
      </c>
    </row>
    <row r="388" spans="1:13">
      <c r="A388">
        <v>10</v>
      </c>
      <c r="B388" t="s">
        <v>865</v>
      </c>
      <c r="C388" s="25" t="s">
        <v>3231</v>
      </c>
      <c r="E388">
        <v>1</v>
      </c>
      <c r="F388" t="s">
        <v>2406</v>
      </c>
      <c r="G388" s="1">
        <v>616.79999999999995</v>
      </c>
      <c r="H388" t="s">
        <v>3237</v>
      </c>
      <c r="I388" t="s">
        <v>3238</v>
      </c>
      <c r="J388" s="6">
        <v>43256</v>
      </c>
      <c r="K388" t="s">
        <v>3239</v>
      </c>
    </row>
    <row r="389" spans="1:13">
      <c r="A389">
        <v>11</v>
      </c>
      <c r="B389" t="s">
        <v>684</v>
      </c>
      <c r="C389" s="92" t="s">
        <v>3240</v>
      </c>
      <c r="E389">
        <v>1</v>
      </c>
      <c r="G389" s="1">
        <v>2873.2</v>
      </c>
      <c r="H389" t="s">
        <v>3241</v>
      </c>
      <c r="I389" t="s">
        <v>3242</v>
      </c>
      <c r="J389" s="6">
        <v>43257</v>
      </c>
      <c r="L389" s="75" t="s">
        <v>3243</v>
      </c>
    </row>
    <row r="390" spans="1:13">
      <c r="A390">
        <v>12</v>
      </c>
      <c r="B390" t="s">
        <v>1033</v>
      </c>
      <c r="C390" s="25" t="s">
        <v>3244</v>
      </c>
      <c r="E390">
        <v>13</v>
      </c>
      <c r="G390" s="1">
        <v>1258.92</v>
      </c>
      <c r="H390" t="s">
        <v>3245</v>
      </c>
      <c r="I390" t="s">
        <v>3246</v>
      </c>
      <c r="J390" s="6">
        <v>43257</v>
      </c>
      <c r="K390" t="s">
        <v>3247</v>
      </c>
      <c r="M390" s="11"/>
    </row>
    <row r="391" spans="1:13">
      <c r="A391">
        <v>13</v>
      </c>
      <c r="B391" t="s">
        <v>1083</v>
      </c>
      <c r="C391" s="25" t="s">
        <v>3248</v>
      </c>
      <c r="E391">
        <v>4</v>
      </c>
      <c r="F391" s="75" t="s">
        <v>2406</v>
      </c>
      <c r="G391" s="1">
        <v>12110.56</v>
      </c>
      <c r="H391" t="s">
        <v>3249</v>
      </c>
      <c r="I391" t="s">
        <v>3250</v>
      </c>
      <c r="J391" s="6">
        <v>43257</v>
      </c>
      <c r="K391" t="s">
        <v>3251</v>
      </c>
    </row>
    <row r="392" spans="1:13">
      <c r="A392">
        <v>14</v>
      </c>
      <c r="B392" t="s">
        <v>967</v>
      </c>
      <c r="C392" s="25" t="s">
        <v>2990</v>
      </c>
      <c r="E392" s="7">
        <v>34</v>
      </c>
      <c r="F392" s="75" t="s">
        <v>2406</v>
      </c>
      <c r="G392" s="1">
        <v>9342.86</v>
      </c>
      <c r="H392" t="s">
        <v>3252</v>
      </c>
      <c r="I392" t="s">
        <v>3253</v>
      </c>
      <c r="J392" s="6">
        <v>43258</v>
      </c>
      <c r="K392" t="s">
        <v>3254</v>
      </c>
    </row>
    <row r="393" spans="1:13">
      <c r="A393">
        <v>15</v>
      </c>
      <c r="B393" t="s">
        <v>995</v>
      </c>
      <c r="C393" s="25" t="s">
        <v>129</v>
      </c>
      <c r="E393">
        <v>6</v>
      </c>
      <c r="G393" s="1">
        <v>8607.9599999999991</v>
      </c>
      <c r="H393" t="s">
        <v>3255</v>
      </c>
      <c r="I393" t="s">
        <v>3256</v>
      </c>
      <c r="J393" s="6">
        <v>43258</v>
      </c>
      <c r="K393" t="s">
        <v>3257</v>
      </c>
    </row>
    <row r="394" spans="1:13">
      <c r="A394">
        <v>16</v>
      </c>
      <c r="B394" t="s">
        <v>937</v>
      </c>
      <c r="C394" s="25" t="s">
        <v>129</v>
      </c>
      <c r="E394">
        <v>6</v>
      </c>
      <c r="G394" s="1">
        <v>5198.3999999999996</v>
      </c>
      <c r="H394" t="s">
        <v>3258</v>
      </c>
      <c r="I394" t="s">
        <v>3259</v>
      </c>
      <c r="J394" s="6">
        <v>43258</v>
      </c>
      <c r="K394" t="s">
        <v>3260</v>
      </c>
    </row>
    <row r="395" spans="1:13">
      <c r="A395">
        <v>17</v>
      </c>
      <c r="B395" t="s">
        <v>1065</v>
      </c>
      <c r="C395" s="25" t="s">
        <v>135</v>
      </c>
      <c r="E395">
        <v>15</v>
      </c>
      <c r="G395" s="1">
        <v>7495.2</v>
      </c>
      <c r="H395" t="s">
        <v>3261</v>
      </c>
      <c r="I395" t="s">
        <v>3262</v>
      </c>
      <c r="J395" s="6">
        <v>43259</v>
      </c>
      <c r="K395" t="s">
        <v>3263</v>
      </c>
    </row>
    <row r="396" spans="1:13">
      <c r="A396">
        <v>18</v>
      </c>
      <c r="B396" t="s">
        <v>991</v>
      </c>
      <c r="C396" s="25" t="s">
        <v>129</v>
      </c>
      <c r="E396">
        <v>3</v>
      </c>
      <c r="G396" s="1">
        <v>2636.82</v>
      </c>
      <c r="H396" t="s">
        <v>3264</v>
      </c>
      <c r="I396" t="s">
        <v>3265</v>
      </c>
      <c r="J396" s="6">
        <v>43262</v>
      </c>
      <c r="K396" t="s">
        <v>2221</v>
      </c>
    </row>
    <row r="397" spans="1:13">
      <c r="A397">
        <v>19</v>
      </c>
      <c r="B397" t="s">
        <v>877</v>
      </c>
      <c r="C397" s="25" t="s">
        <v>129</v>
      </c>
      <c r="E397">
        <v>1</v>
      </c>
      <c r="G397" s="1">
        <v>3611</v>
      </c>
      <c r="H397" t="s">
        <v>3266</v>
      </c>
      <c r="I397" t="s">
        <v>3267</v>
      </c>
      <c r="K397" t="s">
        <v>3268</v>
      </c>
    </row>
    <row r="398" spans="1:13">
      <c r="A398">
        <v>20</v>
      </c>
      <c r="B398" t="s">
        <v>1093</v>
      </c>
      <c r="C398" s="127" t="s">
        <v>606</v>
      </c>
      <c r="E398">
        <v>5</v>
      </c>
      <c r="G398" s="1">
        <v>1548</v>
      </c>
      <c r="H398" t="s">
        <v>3269</v>
      </c>
      <c r="I398" t="s">
        <v>3270</v>
      </c>
      <c r="K398" t="s">
        <v>3271</v>
      </c>
    </row>
    <row r="399" spans="1:13">
      <c r="A399">
        <v>21</v>
      </c>
      <c r="B399" t="s">
        <v>905</v>
      </c>
      <c r="C399" s="25" t="s">
        <v>223</v>
      </c>
      <c r="E399">
        <v>52</v>
      </c>
      <c r="F399" t="s">
        <v>2406</v>
      </c>
      <c r="G399" s="1">
        <v>10831.08</v>
      </c>
      <c r="H399" t="s">
        <v>3272</v>
      </c>
      <c r="I399" t="s">
        <v>3273</v>
      </c>
      <c r="J399" s="6">
        <v>43266</v>
      </c>
      <c r="K399" t="s">
        <v>3274</v>
      </c>
    </row>
    <row r="400" spans="1:13">
      <c r="A400">
        <v>22</v>
      </c>
      <c r="B400" t="s">
        <v>1079</v>
      </c>
      <c r="C400" s="25" t="s">
        <v>880</v>
      </c>
      <c r="E400">
        <v>1</v>
      </c>
      <c r="G400" s="1">
        <v>293.39999999999998</v>
      </c>
      <c r="H400" t="s">
        <v>3275</v>
      </c>
      <c r="I400" t="s">
        <v>3276</v>
      </c>
      <c r="J400" s="6">
        <v>43267</v>
      </c>
      <c r="K400" t="s">
        <v>3277</v>
      </c>
    </row>
    <row r="401" spans="1:12">
      <c r="A401">
        <v>23</v>
      </c>
      <c r="B401" t="s">
        <v>1133</v>
      </c>
      <c r="C401" s="25" t="s">
        <v>3278</v>
      </c>
      <c r="E401">
        <v>49</v>
      </c>
      <c r="G401" s="1">
        <v>1972.74</v>
      </c>
      <c r="H401" t="s">
        <v>3279</v>
      </c>
      <c r="I401" t="s">
        <v>3280</v>
      </c>
      <c r="J401" s="6">
        <v>43267</v>
      </c>
      <c r="K401" t="s">
        <v>3281</v>
      </c>
    </row>
    <row r="402" spans="1:12">
      <c r="A402">
        <v>24</v>
      </c>
      <c r="B402" s="10" t="s">
        <v>3282</v>
      </c>
      <c r="C402" s="25" t="s">
        <v>3278</v>
      </c>
      <c r="E402">
        <v>1</v>
      </c>
      <c r="G402" s="1">
        <v>99.94</v>
      </c>
      <c r="H402" t="s">
        <v>3283</v>
      </c>
      <c r="I402" t="s">
        <v>3284</v>
      </c>
      <c r="J402" s="6">
        <v>43267</v>
      </c>
      <c r="K402" t="s">
        <v>3285</v>
      </c>
    </row>
    <row r="403" spans="1:12">
      <c r="A403">
        <v>25</v>
      </c>
      <c r="B403" s="10" t="s">
        <v>3286</v>
      </c>
      <c r="C403" s="25" t="s">
        <v>135</v>
      </c>
      <c r="E403">
        <v>7</v>
      </c>
      <c r="G403" s="1">
        <v>692.16</v>
      </c>
      <c r="H403" t="s">
        <v>3287</v>
      </c>
      <c r="I403" t="s">
        <v>3288</v>
      </c>
      <c r="J403" s="6">
        <v>43267</v>
      </c>
      <c r="K403" t="s">
        <v>3289</v>
      </c>
    </row>
    <row r="404" spans="1:12">
      <c r="A404">
        <v>26</v>
      </c>
      <c r="B404" t="s">
        <v>1127</v>
      </c>
      <c r="C404" s="25" t="s">
        <v>946</v>
      </c>
      <c r="E404">
        <v>48</v>
      </c>
      <c r="G404" s="1">
        <v>8375.0400000000009</v>
      </c>
      <c r="H404" t="s">
        <v>3290</v>
      </c>
      <c r="I404" t="s">
        <v>3291</v>
      </c>
      <c r="J404" s="6">
        <v>43271</v>
      </c>
      <c r="K404" t="s">
        <v>3292</v>
      </c>
    </row>
    <row r="405" spans="1:12">
      <c r="A405">
        <v>27</v>
      </c>
      <c r="B405" t="s">
        <v>1114</v>
      </c>
      <c r="C405" s="25" t="s">
        <v>3293</v>
      </c>
      <c r="E405">
        <v>50</v>
      </c>
      <c r="G405" s="148">
        <v>5173</v>
      </c>
      <c r="H405" t="s">
        <v>3294</v>
      </c>
      <c r="I405" t="s">
        <v>3295</v>
      </c>
      <c r="J405" s="6">
        <v>43271</v>
      </c>
      <c r="K405" t="s">
        <v>2221</v>
      </c>
      <c r="L405" s="75" t="s">
        <v>3296</v>
      </c>
    </row>
    <row r="406" spans="1:12">
      <c r="A406">
        <v>28</v>
      </c>
      <c r="B406" t="s">
        <v>731</v>
      </c>
      <c r="C406" s="25" t="s">
        <v>1857</v>
      </c>
      <c r="E406">
        <v>6</v>
      </c>
      <c r="G406" s="1">
        <v>10473.84</v>
      </c>
      <c r="H406" t="s">
        <v>3297</v>
      </c>
      <c r="I406" t="s">
        <v>3298</v>
      </c>
      <c r="J406" s="6">
        <v>43271</v>
      </c>
      <c r="K406" t="s">
        <v>3299</v>
      </c>
    </row>
    <row r="407" spans="1:12">
      <c r="A407">
        <v>29</v>
      </c>
      <c r="B407" t="s">
        <v>933</v>
      </c>
      <c r="C407" s="25" t="s">
        <v>129</v>
      </c>
      <c r="E407">
        <v>6</v>
      </c>
      <c r="G407" s="1">
        <v>4310.28</v>
      </c>
      <c r="H407" t="s">
        <v>3300</v>
      </c>
      <c r="I407" t="s">
        <v>3301</v>
      </c>
      <c r="J407" s="6">
        <v>43271</v>
      </c>
      <c r="K407" t="s">
        <v>3302</v>
      </c>
    </row>
    <row r="408" spans="1:12">
      <c r="A408">
        <v>30</v>
      </c>
      <c r="B408" t="s">
        <v>1036</v>
      </c>
      <c r="C408" s="25" t="s">
        <v>315</v>
      </c>
      <c r="E408">
        <v>3</v>
      </c>
      <c r="G408" s="1">
        <v>8554.7999999999993</v>
      </c>
      <c r="H408" t="s">
        <v>3303</v>
      </c>
      <c r="I408" t="s">
        <v>3304</v>
      </c>
      <c r="J408" s="6">
        <v>43271</v>
      </c>
      <c r="K408" t="s">
        <v>3305</v>
      </c>
    </row>
    <row r="409" spans="1:12">
      <c r="A409">
        <v>31</v>
      </c>
      <c r="B409" t="s">
        <v>939</v>
      </c>
      <c r="C409" s="25" t="s">
        <v>129</v>
      </c>
      <c r="E409">
        <v>3</v>
      </c>
      <c r="G409" s="1">
        <v>7684.32</v>
      </c>
      <c r="H409" t="s">
        <v>3306</v>
      </c>
      <c r="I409" t="s">
        <v>3307</v>
      </c>
      <c r="J409" s="6">
        <v>43272</v>
      </c>
      <c r="K409" t="s">
        <v>3308</v>
      </c>
    </row>
    <row r="410" spans="1:12">
      <c r="A410">
        <v>32</v>
      </c>
      <c r="B410" t="s">
        <v>971</v>
      </c>
      <c r="C410" s="25" t="s">
        <v>129</v>
      </c>
      <c r="E410">
        <v>23</v>
      </c>
      <c r="G410" s="1">
        <v>21178.400000000001</v>
      </c>
      <c r="H410" t="s">
        <v>3309</v>
      </c>
      <c r="I410" t="s">
        <v>3310</v>
      </c>
      <c r="J410" s="6">
        <v>43272</v>
      </c>
      <c r="K410" t="s">
        <v>3311</v>
      </c>
    </row>
    <row r="411" spans="1:12">
      <c r="A411">
        <v>33</v>
      </c>
      <c r="B411" t="s">
        <v>1012</v>
      </c>
      <c r="C411" s="25" t="s">
        <v>135</v>
      </c>
      <c r="E411">
        <v>36</v>
      </c>
      <c r="F411" t="s">
        <v>2406</v>
      </c>
      <c r="G411" s="1">
        <v>3471.84</v>
      </c>
      <c r="H411" t="s">
        <v>3312</v>
      </c>
      <c r="I411" t="s">
        <v>3313</v>
      </c>
      <c r="J411" s="6">
        <v>43272</v>
      </c>
      <c r="K411" t="s">
        <v>3314</v>
      </c>
    </row>
    <row r="412" spans="1:12">
      <c r="A412">
        <v>34</v>
      </c>
      <c r="B412" t="s">
        <v>1103</v>
      </c>
      <c r="C412" s="25" t="s">
        <v>880</v>
      </c>
      <c r="E412">
        <v>2</v>
      </c>
      <c r="G412" s="1">
        <v>813.6</v>
      </c>
      <c r="H412" t="s">
        <v>3315</v>
      </c>
      <c r="I412" t="s">
        <v>3316</v>
      </c>
      <c r="J412" s="6">
        <v>43272</v>
      </c>
      <c r="K412" t="s">
        <v>3317</v>
      </c>
    </row>
    <row r="413" spans="1:12">
      <c r="A413">
        <v>35</v>
      </c>
      <c r="B413" t="s">
        <v>1129</v>
      </c>
      <c r="C413" s="25" t="s">
        <v>880</v>
      </c>
      <c r="E413">
        <v>6</v>
      </c>
      <c r="G413" s="1">
        <v>2419.08</v>
      </c>
      <c r="H413" t="s">
        <v>3318</v>
      </c>
      <c r="I413" t="s">
        <v>3319</v>
      </c>
      <c r="J413" s="6">
        <v>43272</v>
      </c>
      <c r="K413" t="s">
        <v>3320</v>
      </c>
    </row>
    <row r="414" spans="1:12">
      <c r="A414">
        <v>36</v>
      </c>
      <c r="B414" t="s">
        <v>3321</v>
      </c>
      <c r="C414" s="92" t="s">
        <v>3322</v>
      </c>
      <c r="E414" s="75">
        <v>81</v>
      </c>
      <c r="H414" t="s">
        <v>3323</v>
      </c>
      <c r="I414" t="s">
        <v>3324</v>
      </c>
      <c r="J414" s="6">
        <v>43274</v>
      </c>
      <c r="K414" t="s">
        <v>3325</v>
      </c>
    </row>
    <row r="415" spans="1:12">
      <c r="A415">
        <v>37</v>
      </c>
      <c r="B415" t="s">
        <v>1086</v>
      </c>
      <c r="C415" s="92" t="s">
        <v>3326</v>
      </c>
      <c r="E415" s="75">
        <v>4</v>
      </c>
      <c r="G415" s="1">
        <v>6837.6</v>
      </c>
      <c r="H415" t="s">
        <v>3327</v>
      </c>
      <c r="I415" t="s">
        <v>3328</v>
      </c>
      <c r="J415" s="6">
        <v>43274</v>
      </c>
      <c r="K415" t="s">
        <v>3329</v>
      </c>
    </row>
    <row r="416" spans="1:12">
      <c r="A416">
        <v>38</v>
      </c>
      <c r="B416" t="s">
        <v>1086</v>
      </c>
      <c r="C416" s="25" t="s">
        <v>139</v>
      </c>
      <c r="E416">
        <v>2</v>
      </c>
      <c r="G416" s="1">
        <v>2279.1999999999998</v>
      </c>
      <c r="H416" t="s">
        <v>3330</v>
      </c>
      <c r="I416" t="s">
        <v>3331</v>
      </c>
      <c r="J416" s="6">
        <v>43274</v>
      </c>
      <c r="K416" t="s">
        <v>3332</v>
      </c>
    </row>
    <row r="417" spans="1:11">
      <c r="A417">
        <v>39</v>
      </c>
      <c r="B417" t="s">
        <v>1049</v>
      </c>
      <c r="C417" s="73" t="s">
        <v>135</v>
      </c>
      <c r="E417" s="75">
        <v>18</v>
      </c>
      <c r="F417" t="s">
        <v>2406</v>
      </c>
      <c r="G417" s="1">
        <v>488.88</v>
      </c>
      <c r="H417" t="s">
        <v>3333</v>
      </c>
      <c r="I417" t="s">
        <v>3334</v>
      </c>
      <c r="J417" s="6">
        <v>43274</v>
      </c>
      <c r="K417" t="s">
        <v>3335</v>
      </c>
    </row>
    <row r="418" spans="1:11">
      <c r="A418">
        <v>40</v>
      </c>
      <c r="B418" t="s">
        <v>1086</v>
      </c>
      <c r="C418" s="25" t="s">
        <v>139</v>
      </c>
      <c r="E418">
        <v>4</v>
      </c>
      <c r="G418" s="1">
        <v>4558.3999999999996</v>
      </c>
      <c r="H418" t="s">
        <v>3336</v>
      </c>
      <c r="I418" t="s">
        <v>3337</v>
      </c>
      <c r="J418" s="6">
        <v>43274</v>
      </c>
      <c r="K418" t="s">
        <v>3329</v>
      </c>
    </row>
    <row r="419" spans="1:11">
      <c r="A419">
        <v>41</v>
      </c>
      <c r="B419" t="s">
        <v>690</v>
      </c>
      <c r="C419" s="25" t="s">
        <v>3338</v>
      </c>
      <c r="E419" s="75">
        <v>23</v>
      </c>
      <c r="G419" s="1">
        <v>12618.72</v>
      </c>
      <c r="H419" t="s">
        <v>3339</v>
      </c>
      <c r="I419" t="s">
        <v>3340</v>
      </c>
      <c r="J419" s="6">
        <v>43276</v>
      </c>
      <c r="K419" t="s">
        <v>3341</v>
      </c>
    </row>
    <row r="420" spans="1:11">
      <c r="A420">
        <v>42</v>
      </c>
      <c r="B420" t="s">
        <v>1018</v>
      </c>
      <c r="C420" s="25" t="s">
        <v>1019</v>
      </c>
      <c r="E420">
        <v>2</v>
      </c>
      <c r="F420" t="s">
        <v>2406</v>
      </c>
      <c r="G420" s="1">
        <v>2739.88</v>
      </c>
      <c r="H420" t="s">
        <v>3342</v>
      </c>
      <c r="I420" t="s">
        <v>3343</v>
      </c>
      <c r="J420" s="6">
        <v>43277</v>
      </c>
      <c r="K420" t="s">
        <v>2221</v>
      </c>
    </row>
    <row r="421" spans="1:11">
      <c r="A421">
        <v>43</v>
      </c>
      <c r="B421" t="s">
        <v>1135</v>
      </c>
      <c r="C421" s="127" t="s">
        <v>3344</v>
      </c>
      <c r="F421" t="s">
        <v>2406</v>
      </c>
      <c r="G421" s="1">
        <v>2259.62</v>
      </c>
      <c r="H421" t="s">
        <v>3345</v>
      </c>
      <c r="I421" t="s">
        <v>3346</v>
      </c>
      <c r="K421" t="s">
        <v>3347</v>
      </c>
    </row>
    <row r="422" spans="1:11">
      <c r="A422">
        <v>44</v>
      </c>
      <c r="B422" t="s">
        <v>3348</v>
      </c>
      <c r="C422" s="92" t="s">
        <v>3349</v>
      </c>
      <c r="H422" t="s">
        <v>3350</v>
      </c>
      <c r="I422" t="s">
        <v>3351</v>
      </c>
      <c r="K422" t="s">
        <v>3352</v>
      </c>
    </row>
    <row r="423" spans="1:11">
      <c r="A423">
        <v>45</v>
      </c>
      <c r="B423" t="s">
        <v>3353</v>
      </c>
      <c r="C423" s="25" t="s">
        <v>129</v>
      </c>
      <c r="E423" s="75">
        <v>2</v>
      </c>
      <c r="G423" s="1">
        <v>3148.6</v>
      </c>
      <c r="H423" t="s">
        <v>3354</v>
      </c>
      <c r="I423" t="s">
        <v>3355</v>
      </c>
      <c r="J423" s="6">
        <v>43279</v>
      </c>
      <c r="K423" t="s">
        <v>3356</v>
      </c>
    </row>
    <row r="424" spans="1:11">
      <c r="A424">
        <v>46</v>
      </c>
      <c r="B424" t="s">
        <v>910</v>
      </c>
      <c r="C424" s="25" t="s">
        <v>3357</v>
      </c>
      <c r="E424">
        <v>1</v>
      </c>
      <c r="G424" s="1">
        <v>2678.68</v>
      </c>
      <c r="H424" t="s">
        <v>3358</v>
      </c>
      <c r="I424" t="s">
        <v>3359</v>
      </c>
      <c r="J424" s="6">
        <v>43279</v>
      </c>
      <c r="K424" t="s">
        <v>3360</v>
      </c>
    </row>
    <row r="425" spans="1:11">
      <c r="A425">
        <v>47</v>
      </c>
      <c r="B425" t="s">
        <v>910</v>
      </c>
      <c r="C425" s="25" t="s">
        <v>3357</v>
      </c>
      <c r="E425">
        <v>1</v>
      </c>
      <c r="G425" s="1">
        <v>2678.68</v>
      </c>
      <c r="H425" t="s">
        <v>3361</v>
      </c>
      <c r="I425" t="s">
        <v>3362</v>
      </c>
      <c r="J425" s="6">
        <v>43279</v>
      </c>
      <c r="K425" t="s">
        <v>3363</v>
      </c>
    </row>
    <row r="426" spans="1:11">
      <c r="A426">
        <v>48</v>
      </c>
      <c r="B426" t="s">
        <v>964</v>
      </c>
      <c r="C426" s="25" t="s">
        <v>508</v>
      </c>
      <c r="E426">
        <v>10</v>
      </c>
      <c r="G426" s="1">
        <v>21899</v>
      </c>
      <c r="H426" t="s">
        <v>3364</v>
      </c>
      <c r="I426" t="s">
        <v>3365</v>
      </c>
      <c r="J426" s="6">
        <v>43280</v>
      </c>
      <c r="K426" t="s">
        <v>3366</v>
      </c>
    </row>
    <row r="427" spans="1:11">
      <c r="A427">
        <v>49</v>
      </c>
      <c r="B427" t="s">
        <v>910</v>
      </c>
      <c r="C427" s="25" t="s">
        <v>3357</v>
      </c>
      <c r="E427">
        <v>1</v>
      </c>
      <c r="G427" s="1">
        <v>2678.68</v>
      </c>
      <c r="H427" t="s">
        <v>3367</v>
      </c>
      <c r="I427" t="s">
        <v>3368</v>
      </c>
      <c r="J427" s="6">
        <v>43283</v>
      </c>
      <c r="K427" t="s">
        <v>3369</v>
      </c>
    </row>
    <row r="428" spans="1:11">
      <c r="A428">
        <v>50</v>
      </c>
      <c r="B428" t="s">
        <v>910</v>
      </c>
      <c r="C428" s="25" t="s">
        <v>3357</v>
      </c>
      <c r="E428">
        <v>1</v>
      </c>
      <c r="G428" s="1">
        <v>2678.68</v>
      </c>
      <c r="H428" t="s">
        <v>3370</v>
      </c>
      <c r="I428" t="s">
        <v>3371</v>
      </c>
      <c r="J428" s="6">
        <v>43283</v>
      </c>
      <c r="K428" t="s">
        <v>3372</v>
      </c>
    </row>
    <row r="429" spans="1:11">
      <c r="A429">
        <v>51</v>
      </c>
      <c r="B429" t="s">
        <v>910</v>
      </c>
      <c r="C429" s="25" t="s">
        <v>3357</v>
      </c>
      <c r="E429">
        <v>1</v>
      </c>
      <c r="G429" s="1">
        <v>2678.68</v>
      </c>
      <c r="H429" t="s">
        <v>3373</v>
      </c>
      <c r="I429" t="s">
        <v>3374</v>
      </c>
      <c r="J429" s="6">
        <v>43283</v>
      </c>
      <c r="K429" t="s">
        <v>3375</v>
      </c>
    </row>
    <row r="430" spans="1:11">
      <c r="A430">
        <v>52</v>
      </c>
      <c r="B430" t="s">
        <v>981</v>
      </c>
      <c r="C430" s="25" t="s">
        <v>129</v>
      </c>
      <c r="E430">
        <v>5</v>
      </c>
      <c r="G430" s="1">
        <v>8492</v>
      </c>
      <c r="H430" t="s">
        <v>3376</v>
      </c>
      <c r="I430" t="s">
        <v>3377</v>
      </c>
      <c r="J430" s="6">
        <v>43283</v>
      </c>
      <c r="K430" t="s">
        <v>3378</v>
      </c>
    </row>
    <row r="431" spans="1:11">
      <c r="A431">
        <v>53</v>
      </c>
      <c r="B431" t="s">
        <v>688</v>
      </c>
      <c r="C431" s="92" t="s">
        <v>633</v>
      </c>
      <c r="E431">
        <v>10</v>
      </c>
      <c r="G431" s="1">
        <v>7312.8</v>
      </c>
      <c r="H431" t="s">
        <v>3379</v>
      </c>
      <c r="I431" t="s">
        <v>3380</v>
      </c>
      <c r="J431" s="6">
        <v>43283</v>
      </c>
      <c r="K431" t="s">
        <v>3381</v>
      </c>
    </row>
    <row r="433" spans="1:11">
      <c r="A433">
        <v>1</v>
      </c>
      <c r="B433" t="s">
        <v>1131</v>
      </c>
      <c r="C433" s="25" t="s">
        <v>814</v>
      </c>
      <c r="E433">
        <v>4</v>
      </c>
      <c r="F433" t="s">
        <v>2406</v>
      </c>
      <c r="G433" s="1">
        <v>2152.96</v>
      </c>
      <c r="H433" t="s">
        <v>3382</v>
      </c>
      <c r="I433" t="s">
        <v>2223</v>
      </c>
      <c r="J433" s="6">
        <v>43284</v>
      </c>
      <c r="K433" t="s">
        <v>3383</v>
      </c>
    </row>
    <row r="434" spans="1:11">
      <c r="A434">
        <v>2</v>
      </c>
      <c r="B434" t="s">
        <v>1131</v>
      </c>
      <c r="C434" s="25" t="s">
        <v>814</v>
      </c>
      <c r="E434">
        <v>4</v>
      </c>
      <c r="F434" t="s">
        <v>2406</v>
      </c>
      <c r="G434" s="1">
        <v>2152.96</v>
      </c>
      <c r="H434" t="s">
        <v>2225</v>
      </c>
      <c r="I434" t="s">
        <v>2226</v>
      </c>
      <c r="J434" s="6">
        <v>43284</v>
      </c>
      <c r="K434" t="s">
        <v>3384</v>
      </c>
    </row>
    <row r="435" spans="1:11">
      <c r="A435">
        <v>3</v>
      </c>
      <c r="B435" t="s">
        <v>1111</v>
      </c>
      <c r="C435" s="25" t="s">
        <v>3385</v>
      </c>
      <c r="E435">
        <v>23</v>
      </c>
      <c r="G435" s="1">
        <v>2941.47</v>
      </c>
      <c r="H435" t="s">
        <v>3386</v>
      </c>
      <c r="I435" t="s">
        <v>2229</v>
      </c>
      <c r="J435" s="6">
        <v>43284</v>
      </c>
      <c r="K435" t="s">
        <v>3387</v>
      </c>
    </row>
    <row r="436" spans="1:11">
      <c r="A436">
        <v>4</v>
      </c>
      <c r="B436" t="s">
        <v>1216</v>
      </c>
      <c r="C436" s="25" t="s">
        <v>3385</v>
      </c>
      <c r="E436">
        <v>14</v>
      </c>
      <c r="G436" s="1">
        <v>1726.2</v>
      </c>
      <c r="H436" t="s">
        <v>3388</v>
      </c>
      <c r="I436" t="s">
        <v>2233</v>
      </c>
      <c r="J436" s="6">
        <v>43284</v>
      </c>
      <c r="K436" t="s">
        <v>3389</v>
      </c>
    </row>
    <row r="437" spans="1:11">
      <c r="A437">
        <v>5</v>
      </c>
      <c r="B437" t="s">
        <v>1210</v>
      </c>
      <c r="C437" s="25" t="s">
        <v>3385</v>
      </c>
      <c r="E437">
        <v>3</v>
      </c>
      <c r="G437" s="1">
        <v>757.95</v>
      </c>
      <c r="H437" t="s">
        <v>3390</v>
      </c>
      <c r="I437" t="s">
        <v>2236</v>
      </c>
      <c r="J437" s="6">
        <v>43284</v>
      </c>
      <c r="K437" t="s">
        <v>3391</v>
      </c>
    </row>
    <row r="438" spans="1:11">
      <c r="A438">
        <v>6</v>
      </c>
      <c r="B438" t="s">
        <v>1218</v>
      </c>
      <c r="C438" s="25" t="s">
        <v>3392</v>
      </c>
      <c r="E438">
        <v>3</v>
      </c>
      <c r="F438" t="s">
        <v>2406</v>
      </c>
      <c r="G438" s="1">
        <v>689.61</v>
      </c>
      <c r="H438" t="s">
        <v>3393</v>
      </c>
      <c r="I438" t="s">
        <v>2238</v>
      </c>
      <c r="J438" s="6">
        <v>43284</v>
      </c>
      <c r="K438" t="s">
        <v>3394</v>
      </c>
    </row>
    <row r="439" spans="1:11">
      <c r="A439">
        <v>7</v>
      </c>
      <c r="B439" t="s">
        <v>1168</v>
      </c>
      <c r="C439" s="25" t="s">
        <v>3392</v>
      </c>
      <c r="E439">
        <v>1</v>
      </c>
      <c r="F439" t="s">
        <v>2406</v>
      </c>
      <c r="G439" s="1">
        <v>447.8</v>
      </c>
      <c r="H439" t="s">
        <v>3395</v>
      </c>
      <c r="I439" t="s">
        <v>2242</v>
      </c>
      <c r="J439" s="6">
        <v>43284</v>
      </c>
      <c r="K439" t="s">
        <v>3396</v>
      </c>
    </row>
    <row r="440" spans="1:11">
      <c r="A440">
        <v>8</v>
      </c>
      <c r="B440" t="s">
        <v>559</v>
      </c>
      <c r="C440" s="25" t="s">
        <v>308</v>
      </c>
      <c r="E440">
        <v>1</v>
      </c>
      <c r="G440" s="1">
        <v>12163.45</v>
      </c>
      <c r="H440" t="s">
        <v>2244</v>
      </c>
      <c r="I440" t="s">
        <v>2245</v>
      </c>
      <c r="J440" s="6">
        <v>43290</v>
      </c>
      <c r="K440" t="s">
        <v>3397</v>
      </c>
    </row>
    <row r="441" spans="1:11">
      <c r="A441">
        <v>9</v>
      </c>
      <c r="B441" t="s">
        <v>559</v>
      </c>
      <c r="C441" s="25" t="s">
        <v>308</v>
      </c>
      <c r="E441">
        <v>1</v>
      </c>
      <c r="G441" s="1">
        <v>12163.45</v>
      </c>
      <c r="H441" t="s">
        <v>2248</v>
      </c>
      <c r="I441" t="s">
        <v>2249</v>
      </c>
      <c r="J441" s="6">
        <v>43290</v>
      </c>
      <c r="K441" t="s">
        <v>3398</v>
      </c>
    </row>
    <row r="442" spans="1:11">
      <c r="A442">
        <v>10</v>
      </c>
      <c r="B442" t="s">
        <v>714</v>
      </c>
      <c r="C442" s="25" t="s">
        <v>135</v>
      </c>
      <c r="E442">
        <v>12</v>
      </c>
      <c r="G442" s="1">
        <v>9739.68</v>
      </c>
      <c r="H442" t="s">
        <v>2250</v>
      </c>
      <c r="I442" t="s">
        <v>2251</v>
      </c>
      <c r="J442" s="6">
        <v>43290</v>
      </c>
      <c r="K442" t="s">
        <v>3399</v>
      </c>
    </row>
    <row r="443" spans="1:11">
      <c r="A443">
        <v>11</v>
      </c>
      <c r="B443" t="s">
        <v>1001</v>
      </c>
      <c r="C443" s="25" t="s">
        <v>129</v>
      </c>
      <c r="E443">
        <v>4</v>
      </c>
      <c r="G443" s="1">
        <v>5706.12</v>
      </c>
      <c r="H443" t="s">
        <v>2253</v>
      </c>
      <c r="I443" t="s">
        <v>2254</v>
      </c>
      <c r="J443" s="6">
        <v>43291</v>
      </c>
      <c r="K443" t="s">
        <v>3400</v>
      </c>
    </row>
    <row r="444" spans="1:11">
      <c r="A444">
        <v>12</v>
      </c>
      <c r="B444" t="s">
        <v>1001</v>
      </c>
      <c r="C444" s="25" t="s">
        <v>129</v>
      </c>
      <c r="E444">
        <v>4</v>
      </c>
      <c r="G444" s="1">
        <v>5706.12</v>
      </c>
      <c r="H444" t="s">
        <v>3401</v>
      </c>
      <c r="I444" t="s">
        <v>2257</v>
      </c>
      <c r="J444" s="6">
        <v>43291</v>
      </c>
      <c r="K444" t="s">
        <v>3402</v>
      </c>
    </row>
    <row r="445" spans="1:11">
      <c r="A445">
        <v>13</v>
      </c>
      <c r="B445" t="s">
        <v>1039</v>
      </c>
      <c r="C445" s="25" t="s">
        <v>135</v>
      </c>
      <c r="E445">
        <v>18</v>
      </c>
      <c r="G445" s="1"/>
      <c r="H445" t="s">
        <v>3403</v>
      </c>
      <c r="I445" t="s">
        <v>3404</v>
      </c>
      <c r="J445" s="6">
        <v>43291</v>
      </c>
      <c r="K445" t="s">
        <v>3405</v>
      </c>
    </row>
    <row r="446" spans="1:11">
      <c r="A446">
        <v>14</v>
      </c>
      <c r="B446" t="s">
        <v>690</v>
      </c>
      <c r="C446" s="25" t="s">
        <v>135</v>
      </c>
      <c r="E446">
        <v>48</v>
      </c>
      <c r="G446" s="1">
        <v>26334.720000000001</v>
      </c>
      <c r="H446" t="s">
        <v>3406</v>
      </c>
      <c r="I446" t="s">
        <v>3407</v>
      </c>
      <c r="J446" s="6">
        <v>43291</v>
      </c>
      <c r="K446" t="s">
        <v>3408</v>
      </c>
    </row>
    <row r="447" spans="1:11">
      <c r="A447">
        <v>15</v>
      </c>
      <c r="B447" t="s">
        <v>1068</v>
      </c>
      <c r="C447" s="25" t="s">
        <v>135</v>
      </c>
      <c r="E447">
        <v>15</v>
      </c>
      <c r="G447" s="1">
        <v>4947.3</v>
      </c>
      <c r="H447" t="s">
        <v>3409</v>
      </c>
      <c r="I447" t="s">
        <v>3410</v>
      </c>
      <c r="J447" s="6">
        <v>43292</v>
      </c>
      <c r="K447" t="s">
        <v>3411</v>
      </c>
    </row>
    <row r="448" spans="1:11">
      <c r="A448">
        <v>16</v>
      </c>
      <c r="B448" t="s">
        <v>1148</v>
      </c>
      <c r="C448" s="25" t="s">
        <v>135</v>
      </c>
      <c r="E448">
        <v>34</v>
      </c>
      <c r="G448" s="1">
        <v>4240.4799999999996</v>
      </c>
      <c r="H448" t="s">
        <v>3412</v>
      </c>
      <c r="I448" t="s">
        <v>3413</v>
      </c>
      <c r="J448" s="6">
        <v>43292</v>
      </c>
      <c r="K448" t="s">
        <v>3414</v>
      </c>
    </row>
    <row r="449" spans="1:11">
      <c r="A449">
        <v>17</v>
      </c>
      <c r="B449" t="s">
        <v>726</v>
      </c>
      <c r="C449" s="25" t="s">
        <v>1857</v>
      </c>
      <c r="E449">
        <v>1</v>
      </c>
      <c r="G449" s="1">
        <v>4069</v>
      </c>
      <c r="H449" t="s">
        <v>3415</v>
      </c>
      <c r="I449" t="s">
        <v>3416</v>
      </c>
      <c r="J449" s="6">
        <v>43297</v>
      </c>
    </row>
    <row r="450" spans="1:11">
      <c r="A450">
        <v>18</v>
      </c>
      <c r="B450" t="s">
        <v>983</v>
      </c>
      <c r="C450" s="25" t="s">
        <v>3417</v>
      </c>
      <c r="E450">
        <v>6</v>
      </c>
      <c r="F450" t="s">
        <v>2406</v>
      </c>
      <c r="G450" s="170">
        <v>1030.68</v>
      </c>
      <c r="H450" t="s">
        <v>3418</v>
      </c>
      <c r="I450" t="s">
        <v>3419</v>
      </c>
      <c r="J450" s="6">
        <v>43292</v>
      </c>
      <c r="K450" t="s">
        <v>3420</v>
      </c>
    </row>
    <row r="451" spans="1:11">
      <c r="A451">
        <v>19</v>
      </c>
      <c r="B451" t="s">
        <v>983</v>
      </c>
      <c r="C451" s="25" t="s">
        <v>3417</v>
      </c>
      <c r="E451">
        <v>5</v>
      </c>
      <c r="F451" t="s">
        <v>2406</v>
      </c>
      <c r="G451" s="1">
        <v>858.9</v>
      </c>
      <c r="H451" t="s">
        <v>3421</v>
      </c>
      <c r="I451" t="s">
        <v>3422</v>
      </c>
      <c r="J451" s="6">
        <v>43292</v>
      </c>
      <c r="K451" t="s">
        <v>3423</v>
      </c>
    </row>
    <row r="452" spans="1:11">
      <c r="A452">
        <v>20</v>
      </c>
      <c r="B452" t="s">
        <v>1155</v>
      </c>
      <c r="C452" s="25" t="s">
        <v>135</v>
      </c>
      <c r="E452">
        <v>7</v>
      </c>
      <c r="G452" s="1">
        <v>1914.36</v>
      </c>
      <c r="H452" t="s">
        <v>3424</v>
      </c>
      <c r="I452" t="s">
        <v>3425</v>
      </c>
      <c r="J452" s="6">
        <v>43298</v>
      </c>
      <c r="K452" t="s">
        <v>3426</v>
      </c>
    </row>
    <row r="453" spans="1:11">
      <c r="A453">
        <v>21</v>
      </c>
      <c r="B453" t="s">
        <v>1269</v>
      </c>
      <c r="C453" s="25" t="s">
        <v>135</v>
      </c>
      <c r="E453">
        <v>9</v>
      </c>
      <c r="G453" s="1">
        <v>1881</v>
      </c>
      <c r="H453" t="s">
        <v>3427</v>
      </c>
      <c r="I453" t="s">
        <v>3428</v>
      </c>
      <c r="J453" s="6">
        <v>43298</v>
      </c>
      <c r="K453" t="s">
        <v>3426</v>
      </c>
    </row>
    <row r="454" spans="1:11">
      <c r="A454">
        <v>22</v>
      </c>
      <c r="B454" t="s">
        <v>979</v>
      </c>
      <c r="C454" s="25" t="s">
        <v>129</v>
      </c>
      <c r="E454">
        <v>6</v>
      </c>
      <c r="G454" s="1">
        <v>7266</v>
      </c>
      <c r="H454" t="s">
        <v>3429</v>
      </c>
      <c r="I454" t="s">
        <v>3430</v>
      </c>
      <c r="J454" s="6">
        <v>43298</v>
      </c>
      <c r="K454" t="s">
        <v>3431</v>
      </c>
    </row>
    <row r="455" spans="1:11">
      <c r="A455">
        <v>23</v>
      </c>
      <c r="B455" t="s">
        <v>1081</v>
      </c>
      <c r="C455" s="25" t="s">
        <v>139</v>
      </c>
      <c r="E455">
        <v>2</v>
      </c>
      <c r="G455" s="1">
        <v>1136.76</v>
      </c>
      <c r="H455" t="s">
        <v>3432</v>
      </c>
      <c r="I455" t="s">
        <v>3433</v>
      </c>
      <c r="J455" s="6">
        <v>43298</v>
      </c>
      <c r="K455" t="s">
        <v>3434</v>
      </c>
    </row>
    <row r="456" spans="1:11">
      <c r="A456">
        <v>24</v>
      </c>
      <c r="B456" t="s">
        <v>1054</v>
      </c>
      <c r="C456" s="25" t="s">
        <v>139</v>
      </c>
      <c r="E456" s="75">
        <v>2</v>
      </c>
      <c r="G456" s="1">
        <v>1138</v>
      </c>
      <c r="H456" t="s">
        <v>3435</v>
      </c>
      <c r="I456" t="s">
        <v>3436</v>
      </c>
      <c r="J456" s="6">
        <v>43299</v>
      </c>
      <c r="K456" t="s">
        <v>3437</v>
      </c>
    </row>
    <row r="457" spans="1:11">
      <c r="A457">
        <v>25</v>
      </c>
      <c r="B457" t="s">
        <v>1287</v>
      </c>
      <c r="C457" s="25" t="s">
        <v>1062</v>
      </c>
      <c r="E457">
        <v>1</v>
      </c>
      <c r="G457" s="1">
        <v>866.82</v>
      </c>
      <c r="H457" t="s">
        <v>3438</v>
      </c>
      <c r="I457" t="s">
        <v>3439</v>
      </c>
      <c r="J457" s="6">
        <v>43299</v>
      </c>
      <c r="K457" t="s">
        <v>3440</v>
      </c>
    </row>
    <row r="458" spans="1:11">
      <c r="A458">
        <v>26</v>
      </c>
      <c r="B458" t="s">
        <v>1229</v>
      </c>
      <c r="C458" s="25" t="s">
        <v>1062</v>
      </c>
      <c r="E458">
        <v>1</v>
      </c>
      <c r="G458" s="1">
        <v>299.49</v>
      </c>
      <c r="H458" t="s">
        <v>3441</v>
      </c>
      <c r="I458" t="s">
        <v>3442</v>
      </c>
      <c r="J458" s="6">
        <v>43299</v>
      </c>
      <c r="K458" t="s">
        <v>104</v>
      </c>
    </row>
    <row r="459" spans="1:11">
      <c r="A459">
        <v>27</v>
      </c>
      <c r="B459" t="s">
        <v>696</v>
      </c>
      <c r="C459" s="25" t="s">
        <v>633</v>
      </c>
      <c r="E459">
        <v>10</v>
      </c>
      <c r="G459" s="1">
        <v>6147.8</v>
      </c>
      <c r="H459" t="s">
        <v>3443</v>
      </c>
      <c r="I459" t="s">
        <v>3444</v>
      </c>
      <c r="J459" s="6">
        <v>43299</v>
      </c>
      <c r="K459" t="s">
        <v>3445</v>
      </c>
    </row>
    <row r="460" spans="1:11">
      <c r="A460">
        <v>28</v>
      </c>
      <c r="B460" t="s">
        <v>844</v>
      </c>
      <c r="C460" s="25" t="s">
        <v>3446</v>
      </c>
      <c r="E460">
        <v>6</v>
      </c>
      <c r="F460" t="s">
        <v>2406</v>
      </c>
      <c r="G460" s="1">
        <v>1222.92</v>
      </c>
      <c r="H460" t="s">
        <v>3447</v>
      </c>
      <c r="I460" t="s">
        <v>3448</v>
      </c>
      <c r="J460" s="6">
        <v>43299</v>
      </c>
      <c r="K460" t="s">
        <v>3449</v>
      </c>
    </row>
    <row r="461" spans="1:11">
      <c r="A461">
        <v>29</v>
      </c>
      <c r="B461" t="s">
        <v>844</v>
      </c>
      <c r="C461" s="25" t="s">
        <v>3446</v>
      </c>
      <c r="E461">
        <v>1</v>
      </c>
      <c r="F461" t="s">
        <v>2406</v>
      </c>
      <c r="G461" s="1">
        <v>230.8</v>
      </c>
      <c r="H461" t="s">
        <v>3450</v>
      </c>
      <c r="I461" t="s">
        <v>3451</v>
      </c>
      <c r="J461" s="6">
        <v>43299</v>
      </c>
      <c r="K461" t="s">
        <v>3452</v>
      </c>
    </row>
    <row r="462" spans="1:11">
      <c r="A462">
        <v>30</v>
      </c>
      <c r="B462" t="s">
        <v>1224</v>
      </c>
      <c r="C462" s="25" t="s">
        <v>672</v>
      </c>
      <c r="E462">
        <v>49</v>
      </c>
      <c r="F462" t="s">
        <v>2406</v>
      </c>
      <c r="G462" s="1">
        <v>464.03</v>
      </c>
      <c r="H462" t="s">
        <v>3453</v>
      </c>
      <c r="I462" t="s">
        <v>3454</v>
      </c>
      <c r="J462" s="6">
        <v>43304</v>
      </c>
      <c r="K462" t="s">
        <v>3455</v>
      </c>
    </row>
    <row r="463" spans="1:11">
      <c r="A463">
        <v>31</v>
      </c>
      <c r="B463" t="s">
        <v>1188</v>
      </c>
      <c r="C463" s="25" t="s">
        <v>672</v>
      </c>
      <c r="E463">
        <v>11</v>
      </c>
      <c r="F463" t="s">
        <v>2406</v>
      </c>
      <c r="G463" s="1">
        <v>152.79</v>
      </c>
      <c r="H463" t="s">
        <v>3456</v>
      </c>
      <c r="I463" t="s">
        <v>3457</v>
      </c>
      <c r="J463" s="6">
        <v>43304</v>
      </c>
      <c r="K463" t="s">
        <v>3458</v>
      </c>
    </row>
    <row r="464" spans="1:11">
      <c r="A464">
        <v>32</v>
      </c>
      <c r="B464" t="s">
        <v>1233</v>
      </c>
      <c r="C464" s="25" t="s">
        <v>1234</v>
      </c>
      <c r="E464">
        <v>6</v>
      </c>
      <c r="F464" t="s">
        <v>2406</v>
      </c>
      <c r="G464" s="1">
        <v>5986.08</v>
      </c>
      <c r="H464" t="s">
        <v>3459</v>
      </c>
      <c r="I464" t="s">
        <v>3460</v>
      </c>
      <c r="J464" s="6">
        <v>43304</v>
      </c>
      <c r="K464" t="s">
        <v>3461</v>
      </c>
    </row>
    <row r="465" spans="1:11">
      <c r="A465">
        <v>33</v>
      </c>
      <c r="B465" t="s">
        <v>951</v>
      </c>
      <c r="C465" s="25" t="s">
        <v>129</v>
      </c>
      <c r="E465" s="75">
        <v>1</v>
      </c>
      <c r="G465" s="1">
        <v>3611</v>
      </c>
      <c r="H465" t="s">
        <v>3462</v>
      </c>
      <c r="I465" t="s">
        <v>3463</v>
      </c>
      <c r="J465" s="6">
        <v>43304</v>
      </c>
      <c r="K465" t="s">
        <v>3464</v>
      </c>
    </row>
    <row r="466" spans="1:11">
      <c r="A466">
        <v>34</v>
      </c>
      <c r="B466" t="s">
        <v>690</v>
      </c>
      <c r="C466" s="25" t="s">
        <v>135</v>
      </c>
      <c r="E466">
        <v>19</v>
      </c>
      <c r="G466" s="1">
        <v>10424.16</v>
      </c>
      <c r="H466" t="s">
        <v>3465</v>
      </c>
      <c r="I466" t="s">
        <v>3466</v>
      </c>
      <c r="J466" s="6">
        <v>43305</v>
      </c>
      <c r="K466" t="s">
        <v>3467</v>
      </c>
    </row>
    <row r="467" spans="1:11">
      <c r="A467">
        <v>35</v>
      </c>
      <c r="B467" t="s">
        <v>819</v>
      </c>
      <c r="C467" s="25" t="s">
        <v>135</v>
      </c>
      <c r="E467">
        <v>12</v>
      </c>
      <c r="G467" s="1">
        <v>10852.56</v>
      </c>
      <c r="H467" t="s">
        <v>3468</v>
      </c>
      <c r="I467" t="s">
        <v>3469</v>
      </c>
      <c r="J467" s="6">
        <v>43305</v>
      </c>
      <c r="K467" t="s">
        <v>3470</v>
      </c>
    </row>
    <row r="468" spans="1:11">
      <c r="A468">
        <v>36</v>
      </c>
      <c r="B468" t="s">
        <v>1073</v>
      </c>
      <c r="C468" s="25" t="s">
        <v>135</v>
      </c>
      <c r="E468">
        <v>36</v>
      </c>
      <c r="G468" s="1">
        <v>1385.64</v>
      </c>
      <c r="H468" t="s">
        <v>3471</v>
      </c>
      <c r="I468" t="s">
        <v>3472</v>
      </c>
      <c r="J468" s="6">
        <v>43306</v>
      </c>
      <c r="K468" t="s">
        <v>3473</v>
      </c>
    </row>
    <row r="469" spans="1:11">
      <c r="A469">
        <v>37</v>
      </c>
      <c r="B469" t="s">
        <v>957</v>
      </c>
      <c r="C469" s="25" t="s">
        <v>135</v>
      </c>
      <c r="E469">
        <v>91</v>
      </c>
      <c r="G469" s="9">
        <v>6766.76</v>
      </c>
      <c r="H469" t="s">
        <v>3474</v>
      </c>
      <c r="I469" t="s">
        <v>3475</v>
      </c>
      <c r="J469" s="6">
        <v>43308</v>
      </c>
      <c r="K469" t="s">
        <v>3476</v>
      </c>
    </row>
    <row r="470" spans="1:11">
      <c r="A470">
        <v>38</v>
      </c>
      <c r="B470" t="s">
        <v>1146</v>
      </c>
      <c r="C470" s="25" t="s">
        <v>814</v>
      </c>
      <c r="E470">
        <v>12</v>
      </c>
      <c r="G470" s="1">
        <v>2592</v>
      </c>
      <c r="H470" t="s">
        <v>3477</v>
      </c>
      <c r="I470" t="s">
        <v>3478</v>
      </c>
      <c r="J470" s="6">
        <v>43308</v>
      </c>
      <c r="K470" t="s">
        <v>3479</v>
      </c>
    </row>
    <row r="471" spans="1:11">
      <c r="A471">
        <v>39</v>
      </c>
      <c r="B471" t="s">
        <v>1193</v>
      </c>
      <c r="C471" s="25" t="s">
        <v>606</v>
      </c>
      <c r="E471">
        <v>24</v>
      </c>
      <c r="G471" s="170">
        <v>10673.28</v>
      </c>
      <c r="H471" t="s">
        <v>3477</v>
      </c>
      <c r="I471" t="s">
        <v>3480</v>
      </c>
      <c r="J471" s="6">
        <v>43308</v>
      </c>
      <c r="K471" t="s">
        <v>3481</v>
      </c>
    </row>
    <row r="472" spans="1:11">
      <c r="A472">
        <v>40</v>
      </c>
      <c r="B472" t="s">
        <v>1077</v>
      </c>
      <c r="C472" s="25" t="s">
        <v>532</v>
      </c>
      <c r="E472">
        <v>124</v>
      </c>
      <c r="G472" s="1">
        <v>1943.08</v>
      </c>
      <c r="H472" t="s">
        <v>3482</v>
      </c>
      <c r="I472" t="s">
        <v>3483</v>
      </c>
      <c r="J472" s="6">
        <v>43308</v>
      </c>
      <c r="K472" t="s">
        <v>3484</v>
      </c>
    </row>
    <row r="473" spans="1:11">
      <c r="A473">
        <v>41</v>
      </c>
      <c r="B473" t="s">
        <v>842</v>
      </c>
      <c r="C473" s="25" t="s">
        <v>1047</v>
      </c>
      <c r="E473">
        <v>1</v>
      </c>
      <c r="G473" s="1">
        <v>7061.62</v>
      </c>
      <c r="H473" t="s">
        <v>3485</v>
      </c>
      <c r="I473" t="s">
        <v>3486</v>
      </c>
      <c r="J473" s="6">
        <v>43311</v>
      </c>
      <c r="K473" t="s">
        <v>3487</v>
      </c>
    </row>
    <row r="474" spans="1:11">
      <c r="A474">
        <v>42</v>
      </c>
      <c r="B474" t="s">
        <v>842</v>
      </c>
      <c r="C474" s="25" t="s">
        <v>1047</v>
      </c>
      <c r="E474">
        <v>1</v>
      </c>
      <c r="G474" s="1">
        <v>7061.62</v>
      </c>
      <c r="H474" t="s">
        <v>3488</v>
      </c>
      <c r="I474" t="s">
        <v>3489</v>
      </c>
      <c r="J474" s="6">
        <v>43311</v>
      </c>
      <c r="K474" t="s">
        <v>3490</v>
      </c>
    </row>
    <row r="475" spans="1:11">
      <c r="A475">
        <v>43</v>
      </c>
      <c r="B475" t="s">
        <v>1195</v>
      </c>
      <c r="C475" s="25" t="s">
        <v>135</v>
      </c>
      <c r="E475">
        <v>42</v>
      </c>
      <c r="G475" s="1">
        <v>7504.98</v>
      </c>
      <c r="H475" t="s">
        <v>3491</v>
      </c>
      <c r="I475" t="s">
        <v>3492</v>
      </c>
      <c r="J475" s="6">
        <v>43311</v>
      </c>
      <c r="K475" t="s">
        <v>3493</v>
      </c>
    </row>
    <row r="476" spans="1:11">
      <c r="A476">
        <v>44</v>
      </c>
      <c r="B476" t="s">
        <v>1275</v>
      </c>
      <c r="C476" s="25" t="s">
        <v>347</v>
      </c>
      <c r="E476">
        <v>4</v>
      </c>
      <c r="G476" s="1">
        <v>2732.52</v>
      </c>
      <c r="H476" t="s">
        <v>3494</v>
      </c>
      <c r="I476" t="s">
        <v>3495</v>
      </c>
      <c r="J476" s="6">
        <v>43312</v>
      </c>
      <c r="K476" t="s">
        <v>3496</v>
      </c>
    </row>
    <row r="477" spans="1:11">
      <c r="A477">
        <v>45</v>
      </c>
      <c r="B477" t="s">
        <v>1275</v>
      </c>
      <c r="C477" s="25" t="s">
        <v>347</v>
      </c>
      <c r="E477">
        <v>4</v>
      </c>
      <c r="G477" s="1">
        <v>2732.52</v>
      </c>
      <c r="H477" t="s">
        <v>3497</v>
      </c>
      <c r="I477" t="s">
        <v>3498</v>
      </c>
      <c r="J477" s="6">
        <v>43312</v>
      </c>
      <c r="K477" t="s">
        <v>3499</v>
      </c>
    </row>
    <row r="478" spans="1:11">
      <c r="A478">
        <v>46</v>
      </c>
      <c r="B478" t="s">
        <v>1275</v>
      </c>
      <c r="C478" s="25" t="s">
        <v>347</v>
      </c>
      <c r="E478">
        <v>4</v>
      </c>
      <c r="G478" s="1">
        <v>2732.52</v>
      </c>
      <c r="H478" t="s">
        <v>3500</v>
      </c>
      <c r="I478" t="s">
        <v>3501</v>
      </c>
      <c r="J478" s="6">
        <v>43312</v>
      </c>
      <c r="K478" t="s">
        <v>3502</v>
      </c>
    </row>
    <row r="480" spans="1:11">
      <c r="A480">
        <v>1</v>
      </c>
      <c r="B480" t="s">
        <v>1181</v>
      </c>
      <c r="C480" s="25" t="s">
        <v>129</v>
      </c>
      <c r="E480" s="75">
        <v>16</v>
      </c>
      <c r="G480" s="1">
        <v>9737.1200000000008</v>
      </c>
      <c r="H480" t="s">
        <v>3503</v>
      </c>
      <c r="I480" t="s">
        <v>2260</v>
      </c>
      <c r="J480" s="6">
        <v>43313</v>
      </c>
      <c r="K480" t="s">
        <v>3504</v>
      </c>
    </row>
    <row r="481" spans="1:11">
      <c r="A481">
        <v>2</v>
      </c>
      <c r="B481" t="s">
        <v>1095</v>
      </c>
      <c r="C481" s="92" t="s">
        <v>694</v>
      </c>
      <c r="E481" s="75">
        <v>12</v>
      </c>
      <c r="G481" s="1">
        <v>215.28</v>
      </c>
      <c r="H481" t="s">
        <v>3505</v>
      </c>
      <c r="I481" t="s">
        <v>2263</v>
      </c>
      <c r="J481" s="6">
        <v>43313</v>
      </c>
      <c r="K481" t="s">
        <v>3506</v>
      </c>
    </row>
    <row r="482" spans="1:11">
      <c r="A482">
        <v>3</v>
      </c>
      <c r="B482" t="s">
        <v>804</v>
      </c>
      <c r="C482" s="25" t="s">
        <v>508</v>
      </c>
      <c r="E482">
        <v>60</v>
      </c>
      <c r="G482" s="1">
        <v>2031.6</v>
      </c>
      <c r="H482" t="s">
        <v>3507</v>
      </c>
      <c r="I482" t="s">
        <v>2267</v>
      </c>
      <c r="J482" s="6">
        <v>43313</v>
      </c>
      <c r="K482" t="s">
        <v>3508</v>
      </c>
    </row>
    <row r="483" spans="1:11">
      <c r="A483">
        <v>4</v>
      </c>
      <c r="B483" t="s">
        <v>1298</v>
      </c>
      <c r="C483" s="25" t="s">
        <v>3509</v>
      </c>
      <c r="E483">
        <v>14</v>
      </c>
      <c r="G483" s="1">
        <v>156.52000000000001</v>
      </c>
      <c r="H483" t="s">
        <v>3510</v>
      </c>
      <c r="I483" t="s">
        <v>2270</v>
      </c>
      <c r="J483" s="6">
        <v>43313</v>
      </c>
      <c r="K483" t="s">
        <v>3511</v>
      </c>
    </row>
    <row r="484" spans="1:11">
      <c r="A484">
        <v>5</v>
      </c>
      <c r="B484" t="s">
        <v>1280</v>
      </c>
      <c r="C484" s="25" t="s">
        <v>129</v>
      </c>
      <c r="E484">
        <v>14</v>
      </c>
      <c r="G484" s="1">
        <v>10697.26</v>
      </c>
      <c r="H484" t="s">
        <v>3510</v>
      </c>
      <c r="I484" t="s">
        <v>2273</v>
      </c>
      <c r="J484" s="6">
        <v>43314</v>
      </c>
      <c r="K484" t="s">
        <v>3512</v>
      </c>
    </row>
    <row r="485" spans="1:11">
      <c r="A485">
        <v>6</v>
      </c>
      <c r="B485" t="s">
        <v>960</v>
      </c>
      <c r="C485" s="25" t="s">
        <v>532</v>
      </c>
      <c r="E485">
        <v>500</v>
      </c>
      <c r="G485" s="1">
        <v>10970</v>
      </c>
      <c r="H485" t="s">
        <v>3513</v>
      </c>
      <c r="I485" t="s">
        <v>2276</v>
      </c>
      <c r="J485" s="6">
        <v>43315</v>
      </c>
      <c r="K485" t="s">
        <v>3514</v>
      </c>
    </row>
    <row r="486" spans="1:11">
      <c r="A486">
        <v>7</v>
      </c>
      <c r="B486" t="s">
        <v>959</v>
      </c>
      <c r="C486" s="25" t="s">
        <v>135</v>
      </c>
      <c r="E486">
        <v>22</v>
      </c>
      <c r="G486" s="1">
        <v>6362.84</v>
      </c>
      <c r="H486" t="s">
        <v>3515</v>
      </c>
      <c r="I486" t="s">
        <v>2279</v>
      </c>
      <c r="J486" s="6">
        <v>43315</v>
      </c>
      <c r="K486" t="s">
        <v>3516</v>
      </c>
    </row>
    <row r="487" spans="1:11">
      <c r="A487">
        <v>8</v>
      </c>
      <c r="B487" t="s">
        <v>897</v>
      </c>
      <c r="C487" s="25" t="s">
        <v>135</v>
      </c>
      <c r="E487">
        <v>37</v>
      </c>
      <c r="G487" s="1">
        <v>7952.58</v>
      </c>
      <c r="H487" t="s">
        <v>3517</v>
      </c>
      <c r="I487" t="s">
        <v>2282</v>
      </c>
      <c r="J487" s="6">
        <v>43315</v>
      </c>
      <c r="K487" t="s">
        <v>3518</v>
      </c>
    </row>
    <row r="488" spans="1:11">
      <c r="A488">
        <v>9</v>
      </c>
      <c r="B488" t="s">
        <v>733</v>
      </c>
      <c r="C488" s="25" t="s">
        <v>135</v>
      </c>
      <c r="E488">
        <v>10</v>
      </c>
      <c r="G488" s="1">
        <v>8116.4</v>
      </c>
      <c r="H488" t="s">
        <v>3519</v>
      </c>
      <c r="I488" t="s">
        <v>2285</v>
      </c>
      <c r="J488" s="6">
        <v>43315</v>
      </c>
      <c r="K488" t="s">
        <v>3520</v>
      </c>
    </row>
    <row r="489" spans="1:11">
      <c r="A489">
        <v>10</v>
      </c>
      <c r="B489" t="s">
        <v>1171</v>
      </c>
      <c r="C489" s="25" t="s">
        <v>129</v>
      </c>
      <c r="E489" s="75">
        <v>18</v>
      </c>
      <c r="G489" s="1">
        <v>16642.439999999999</v>
      </c>
      <c r="H489" t="s">
        <v>3521</v>
      </c>
      <c r="I489" t="s">
        <v>2289</v>
      </c>
      <c r="J489" s="6">
        <v>43315</v>
      </c>
      <c r="K489" t="s">
        <v>3522</v>
      </c>
    </row>
    <row r="490" spans="1:11">
      <c r="A490">
        <v>11</v>
      </c>
      <c r="B490" t="s">
        <v>1183</v>
      </c>
      <c r="C490" s="25" t="s">
        <v>3523</v>
      </c>
      <c r="E490">
        <v>70</v>
      </c>
      <c r="G490" s="1">
        <v>18461.8</v>
      </c>
      <c r="H490" t="s">
        <v>3524</v>
      </c>
      <c r="I490" t="s">
        <v>2293</v>
      </c>
      <c r="J490" s="6">
        <v>43318</v>
      </c>
      <c r="K490" t="s">
        <v>3525</v>
      </c>
    </row>
    <row r="491" spans="1:11">
      <c r="A491">
        <v>12</v>
      </c>
      <c r="B491" t="s">
        <v>763</v>
      </c>
      <c r="C491" s="25" t="s">
        <v>129</v>
      </c>
      <c r="E491" s="75">
        <v>4</v>
      </c>
      <c r="G491" s="1">
        <v>2851.52</v>
      </c>
      <c r="H491" t="s">
        <v>2295</v>
      </c>
      <c r="I491" t="s">
        <v>2296</v>
      </c>
      <c r="J491" s="6">
        <v>43318</v>
      </c>
      <c r="K491" t="s">
        <v>3526</v>
      </c>
    </row>
    <row r="492" spans="1:11">
      <c r="A492">
        <v>13</v>
      </c>
      <c r="B492" t="s">
        <v>763</v>
      </c>
      <c r="C492" s="25" t="s">
        <v>129</v>
      </c>
      <c r="E492" s="75">
        <v>4</v>
      </c>
      <c r="G492" s="1">
        <v>2851.52</v>
      </c>
      <c r="H492" t="s">
        <v>2298</v>
      </c>
      <c r="I492" t="s">
        <v>2299</v>
      </c>
      <c r="J492" s="6">
        <v>43318</v>
      </c>
      <c r="K492" t="s">
        <v>3527</v>
      </c>
    </row>
    <row r="493" spans="1:11">
      <c r="A493">
        <v>14</v>
      </c>
      <c r="B493" t="s">
        <v>763</v>
      </c>
      <c r="C493" s="25" t="s">
        <v>129</v>
      </c>
      <c r="E493" s="75">
        <v>5</v>
      </c>
      <c r="G493" s="170">
        <v>3564.4</v>
      </c>
      <c r="H493" t="s">
        <v>3528</v>
      </c>
      <c r="I493" t="s">
        <v>2302</v>
      </c>
      <c r="J493" s="6">
        <v>43318</v>
      </c>
      <c r="K493" t="s">
        <v>3529</v>
      </c>
    </row>
    <row r="494" spans="1:11">
      <c r="A494">
        <v>15</v>
      </c>
      <c r="B494" t="s">
        <v>714</v>
      </c>
      <c r="C494" s="25" t="s">
        <v>135</v>
      </c>
      <c r="E494">
        <v>3</v>
      </c>
      <c r="G494" s="1">
        <v>2434.92</v>
      </c>
      <c r="H494" t="s">
        <v>3530</v>
      </c>
      <c r="I494" t="s">
        <v>2305</v>
      </c>
      <c r="J494" s="6">
        <v>43318</v>
      </c>
      <c r="K494" t="s">
        <v>3531</v>
      </c>
    </row>
    <row r="495" spans="1:11">
      <c r="A495">
        <v>16</v>
      </c>
      <c r="B495" t="s">
        <v>1289</v>
      </c>
      <c r="C495" s="25" t="s">
        <v>694</v>
      </c>
      <c r="E495">
        <v>12</v>
      </c>
      <c r="G495" s="1">
        <v>213.12</v>
      </c>
      <c r="H495" t="s">
        <v>3532</v>
      </c>
      <c r="I495" t="s">
        <v>2308</v>
      </c>
      <c r="J495" s="6">
        <v>43318</v>
      </c>
      <c r="K495" t="s">
        <v>3533</v>
      </c>
    </row>
    <row r="496" spans="1:11">
      <c r="A496">
        <v>17</v>
      </c>
      <c r="B496" t="s">
        <v>1231</v>
      </c>
      <c r="C496" s="25" t="s">
        <v>3534</v>
      </c>
      <c r="E496">
        <v>2</v>
      </c>
      <c r="G496" s="1">
        <v>92.4</v>
      </c>
      <c r="H496" t="s">
        <v>3535</v>
      </c>
      <c r="I496" t="s">
        <v>2311</v>
      </c>
      <c r="J496" s="6">
        <v>43320</v>
      </c>
      <c r="K496" s="75" t="s">
        <v>3536</v>
      </c>
    </row>
    <row r="497" spans="1:11">
      <c r="A497">
        <v>18</v>
      </c>
      <c r="B497" t="s">
        <v>1088</v>
      </c>
      <c r="C497" s="25" t="s">
        <v>931</v>
      </c>
      <c r="E497">
        <v>6</v>
      </c>
      <c r="G497" s="1">
        <v>7658.88</v>
      </c>
      <c r="H497" t="s">
        <v>3537</v>
      </c>
      <c r="I497" t="s">
        <v>2315</v>
      </c>
      <c r="J497" s="6">
        <v>43320</v>
      </c>
      <c r="K497" t="s">
        <v>3538</v>
      </c>
    </row>
    <row r="498" spans="1:11">
      <c r="A498">
        <v>19</v>
      </c>
      <c r="B498" t="s">
        <v>1059</v>
      </c>
      <c r="C498" s="25" t="s">
        <v>931</v>
      </c>
      <c r="E498">
        <v>1</v>
      </c>
      <c r="G498" s="170">
        <v>742.89</v>
      </c>
      <c r="H498" t="s">
        <v>3539</v>
      </c>
      <c r="I498" t="s">
        <v>2318</v>
      </c>
      <c r="J498" s="6">
        <v>43320</v>
      </c>
      <c r="K498" t="s">
        <v>3540</v>
      </c>
    </row>
    <row r="499" spans="1:11">
      <c r="A499">
        <v>20</v>
      </c>
      <c r="B499" t="s">
        <v>1026</v>
      </c>
      <c r="C499" s="25" t="s">
        <v>368</v>
      </c>
      <c r="E499">
        <v>1</v>
      </c>
      <c r="G499" s="170">
        <v>3194.63</v>
      </c>
      <c r="H499" t="s">
        <v>3541</v>
      </c>
      <c r="I499" t="s">
        <v>2321</v>
      </c>
      <c r="J499" s="6">
        <v>43320</v>
      </c>
      <c r="K499" t="s">
        <v>3542</v>
      </c>
    </row>
    <row r="500" spans="1:11">
      <c r="A500">
        <v>21</v>
      </c>
      <c r="B500" t="s">
        <v>1010</v>
      </c>
      <c r="C500" s="25" t="s">
        <v>129</v>
      </c>
      <c r="E500" s="75">
        <v>4</v>
      </c>
      <c r="G500" s="170">
        <v>13433.6</v>
      </c>
      <c r="H500" t="s">
        <v>3543</v>
      </c>
      <c r="I500" t="s">
        <v>2324</v>
      </c>
      <c r="J500" s="6">
        <v>43320</v>
      </c>
      <c r="K500" t="s">
        <v>3544</v>
      </c>
    </row>
    <row r="501" spans="1:11">
      <c r="A501">
        <v>22</v>
      </c>
      <c r="B501" t="s">
        <v>1152</v>
      </c>
      <c r="C501" s="25" t="s">
        <v>2048</v>
      </c>
      <c r="E501">
        <v>2</v>
      </c>
      <c r="G501" s="170">
        <v>1225.68</v>
      </c>
      <c r="H501" t="s">
        <v>3545</v>
      </c>
      <c r="I501" t="s">
        <v>2327</v>
      </c>
      <c r="J501" s="6">
        <v>43322</v>
      </c>
      <c r="K501" t="s">
        <v>3546</v>
      </c>
    </row>
    <row r="502" spans="1:11">
      <c r="A502">
        <v>23</v>
      </c>
      <c r="B502" t="s">
        <v>789</v>
      </c>
      <c r="C502" s="25" t="s">
        <v>3349</v>
      </c>
      <c r="E502">
        <v>174</v>
      </c>
      <c r="G502" s="170">
        <v>0</v>
      </c>
      <c r="H502" t="s">
        <v>3547</v>
      </c>
      <c r="I502" t="s">
        <v>2329</v>
      </c>
      <c r="J502" s="6">
        <v>43322</v>
      </c>
      <c r="K502" t="s">
        <v>3548</v>
      </c>
    </row>
    <row r="503" spans="1:11">
      <c r="A503">
        <v>24</v>
      </c>
      <c r="B503" t="s">
        <v>1101</v>
      </c>
      <c r="C503" s="25" t="s">
        <v>129</v>
      </c>
      <c r="E503" s="75">
        <v>1</v>
      </c>
      <c r="H503" t="s">
        <v>2331</v>
      </c>
      <c r="I503" t="s">
        <v>2332</v>
      </c>
      <c r="J503" s="6">
        <v>43322</v>
      </c>
      <c r="K503" t="s">
        <v>3549</v>
      </c>
    </row>
    <row r="504" spans="1:11">
      <c r="A504">
        <v>25</v>
      </c>
      <c r="B504" t="s">
        <v>1101</v>
      </c>
      <c r="C504" s="25" t="s">
        <v>129</v>
      </c>
      <c r="E504" s="75">
        <v>2</v>
      </c>
      <c r="G504" s="170">
        <v>15458.98</v>
      </c>
      <c r="H504" t="s">
        <v>3550</v>
      </c>
      <c r="I504" t="s">
        <v>3551</v>
      </c>
      <c r="J504" s="6">
        <v>43322</v>
      </c>
      <c r="K504" t="s">
        <v>3552</v>
      </c>
    </row>
    <row r="505" spans="1:11">
      <c r="A505">
        <v>26</v>
      </c>
      <c r="B505" t="s">
        <v>1101</v>
      </c>
      <c r="C505" s="25" t="s">
        <v>129</v>
      </c>
      <c r="E505" s="75">
        <v>2</v>
      </c>
      <c r="G505" s="170">
        <v>15458.98</v>
      </c>
      <c r="H505" t="s">
        <v>3553</v>
      </c>
      <c r="I505" t="s">
        <v>3554</v>
      </c>
      <c r="J505" s="6">
        <v>43322</v>
      </c>
      <c r="K505" t="s">
        <v>3555</v>
      </c>
    </row>
    <row r="506" spans="1:11">
      <c r="A506">
        <v>27</v>
      </c>
      <c r="B506" t="s">
        <v>1215</v>
      </c>
      <c r="C506" s="25" t="s">
        <v>2048</v>
      </c>
      <c r="E506">
        <v>5</v>
      </c>
      <c r="G506" s="170">
        <v>2864.6</v>
      </c>
      <c r="H506" t="s">
        <v>3556</v>
      </c>
      <c r="I506" t="s">
        <v>3557</v>
      </c>
      <c r="J506" s="6">
        <v>43322</v>
      </c>
      <c r="K506" t="s">
        <v>3546</v>
      </c>
    </row>
    <row r="507" spans="1:11">
      <c r="A507">
        <v>28</v>
      </c>
      <c r="B507" t="s">
        <v>1042</v>
      </c>
      <c r="C507" s="25" t="s">
        <v>135</v>
      </c>
      <c r="E507">
        <v>75</v>
      </c>
      <c r="G507" s="170">
        <v>6122.25</v>
      </c>
      <c r="H507" t="s">
        <v>3558</v>
      </c>
      <c r="I507" t="s">
        <v>3559</v>
      </c>
      <c r="J507" s="6">
        <v>43328</v>
      </c>
      <c r="K507" t="s">
        <v>3560</v>
      </c>
    </row>
    <row r="508" spans="1:11">
      <c r="A508">
        <v>29</v>
      </c>
      <c r="B508" t="s">
        <v>1337</v>
      </c>
      <c r="C508" s="25" t="s">
        <v>3509</v>
      </c>
      <c r="E508">
        <v>30</v>
      </c>
      <c r="G508" s="170">
        <v>233.4</v>
      </c>
      <c r="H508" t="s">
        <v>3561</v>
      </c>
      <c r="I508" t="s">
        <v>3562</v>
      </c>
      <c r="J508" s="6">
        <v>43328</v>
      </c>
    </row>
    <row r="509" spans="1:11">
      <c r="A509">
        <v>30</v>
      </c>
      <c r="B509" t="s">
        <v>1340</v>
      </c>
      <c r="C509" s="25" t="s">
        <v>1946</v>
      </c>
      <c r="E509">
        <v>50</v>
      </c>
      <c r="G509" s="170">
        <v>3584</v>
      </c>
      <c r="H509" t="s">
        <v>3563</v>
      </c>
      <c r="I509" t="s">
        <v>3564</v>
      </c>
      <c r="J509" s="6">
        <v>43328</v>
      </c>
      <c r="K509" t="s">
        <v>3565</v>
      </c>
    </row>
    <row r="510" spans="1:11">
      <c r="A510">
        <v>31</v>
      </c>
      <c r="B510" t="s">
        <v>1340</v>
      </c>
      <c r="C510" s="25" t="s">
        <v>1946</v>
      </c>
      <c r="E510">
        <v>50</v>
      </c>
      <c r="G510" s="170">
        <v>3584</v>
      </c>
      <c r="H510" t="s">
        <v>3566</v>
      </c>
      <c r="I510" t="s">
        <v>3567</v>
      </c>
      <c r="J510" s="6">
        <v>43328</v>
      </c>
      <c r="K510" t="s">
        <v>3568</v>
      </c>
    </row>
    <row r="511" spans="1:11">
      <c r="A511">
        <v>32</v>
      </c>
      <c r="B511" t="s">
        <v>1340</v>
      </c>
      <c r="C511" s="25" t="s">
        <v>1946</v>
      </c>
      <c r="E511">
        <v>74</v>
      </c>
      <c r="G511" s="170">
        <v>5304.32</v>
      </c>
      <c r="H511" t="s">
        <v>3569</v>
      </c>
      <c r="I511" t="s">
        <v>3570</v>
      </c>
      <c r="J511" s="6">
        <v>43328</v>
      </c>
      <c r="K511" t="s">
        <v>3571</v>
      </c>
    </row>
    <row r="512" spans="1:11">
      <c r="A512">
        <v>33</v>
      </c>
      <c r="B512" t="s">
        <v>1213</v>
      </c>
      <c r="C512" s="25" t="s">
        <v>129</v>
      </c>
      <c r="E512" s="75">
        <v>5</v>
      </c>
      <c r="G512" s="170">
        <v>7158.7</v>
      </c>
      <c r="H512" t="s">
        <v>3572</v>
      </c>
      <c r="I512" t="s">
        <v>3573</v>
      </c>
      <c r="J512" s="6">
        <v>43329</v>
      </c>
      <c r="K512" t="s">
        <v>3574</v>
      </c>
    </row>
    <row r="513" spans="1:11">
      <c r="A513">
        <v>34</v>
      </c>
      <c r="B513" t="s">
        <v>1213</v>
      </c>
      <c r="C513" s="25" t="s">
        <v>129</v>
      </c>
      <c r="E513" s="75">
        <v>5</v>
      </c>
      <c r="G513" s="170">
        <v>7158.7</v>
      </c>
      <c r="H513" t="s">
        <v>3575</v>
      </c>
      <c r="I513" t="s">
        <v>3576</v>
      </c>
      <c r="J513" s="6">
        <v>43329</v>
      </c>
      <c r="K513" t="s">
        <v>3577</v>
      </c>
    </row>
    <row r="514" spans="1:11">
      <c r="A514">
        <v>35</v>
      </c>
      <c r="B514" t="s">
        <v>370</v>
      </c>
      <c r="C514" s="25" t="s">
        <v>371</v>
      </c>
      <c r="E514">
        <v>1</v>
      </c>
      <c r="G514" s="170">
        <v>0</v>
      </c>
      <c r="H514" t="s">
        <v>3578</v>
      </c>
      <c r="I514" t="s">
        <v>3579</v>
      </c>
      <c r="J514" s="6">
        <v>43329</v>
      </c>
      <c r="K514" t="s">
        <v>3546</v>
      </c>
    </row>
    <row r="515" spans="1:11">
      <c r="A515">
        <v>36</v>
      </c>
      <c r="B515" t="s">
        <v>1371</v>
      </c>
      <c r="C515" s="25" t="s">
        <v>3580</v>
      </c>
      <c r="E515">
        <v>1</v>
      </c>
      <c r="G515" s="170">
        <v>189.36</v>
      </c>
      <c r="H515" t="s">
        <v>3581</v>
      </c>
      <c r="I515" t="s">
        <v>3582</v>
      </c>
      <c r="J515" s="6">
        <v>43329</v>
      </c>
      <c r="K515" t="s">
        <v>3583</v>
      </c>
    </row>
    <row r="516" spans="1:11">
      <c r="A516">
        <v>37</v>
      </c>
      <c r="B516" t="s">
        <v>849</v>
      </c>
      <c r="C516" s="25" t="s">
        <v>508</v>
      </c>
      <c r="E516">
        <v>47</v>
      </c>
      <c r="G516" s="170">
        <v>4590.96</v>
      </c>
      <c r="H516" t="s">
        <v>3584</v>
      </c>
      <c r="I516" t="s">
        <v>3585</v>
      </c>
      <c r="J516" s="6">
        <v>43333</v>
      </c>
      <c r="K516" t="s">
        <v>3586</v>
      </c>
    </row>
    <row r="517" spans="1:11">
      <c r="A517">
        <v>38</v>
      </c>
      <c r="B517" t="s">
        <v>1125</v>
      </c>
      <c r="C517" s="25" t="s">
        <v>129</v>
      </c>
      <c r="E517" s="75">
        <v>7</v>
      </c>
      <c r="G517" s="170">
        <v>7093.66</v>
      </c>
      <c r="H517" t="s">
        <v>3587</v>
      </c>
      <c r="I517" t="s">
        <v>3588</v>
      </c>
      <c r="J517" s="6">
        <v>43333</v>
      </c>
      <c r="K517" t="s">
        <v>3589</v>
      </c>
    </row>
    <row r="518" spans="1:11">
      <c r="A518">
        <v>39</v>
      </c>
      <c r="B518" t="s">
        <v>1185</v>
      </c>
      <c r="C518" s="25" t="s">
        <v>129</v>
      </c>
      <c r="E518" s="75">
        <v>5</v>
      </c>
      <c r="G518" s="170">
        <v>2618.1</v>
      </c>
      <c r="H518" t="s">
        <v>3590</v>
      </c>
      <c r="I518" t="s">
        <v>3591</v>
      </c>
      <c r="J518" s="6">
        <v>43336</v>
      </c>
      <c r="K518" t="s">
        <v>3592</v>
      </c>
    </row>
    <row r="519" spans="1:11">
      <c r="A519">
        <v>40</v>
      </c>
      <c r="B519" t="s">
        <v>1292</v>
      </c>
      <c r="C519" s="25" t="s">
        <v>3593</v>
      </c>
      <c r="E519" s="75">
        <v>194</v>
      </c>
      <c r="G519" s="170">
        <v>1616.02</v>
      </c>
      <c r="H519" t="s">
        <v>3594</v>
      </c>
      <c r="I519" t="s">
        <v>3595</v>
      </c>
      <c r="J519" s="6">
        <v>43336</v>
      </c>
      <c r="K519" t="s">
        <v>3596</v>
      </c>
    </row>
    <row r="520" spans="1:11">
      <c r="A520">
        <v>41</v>
      </c>
      <c r="B520" t="s">
        <v>1090</v>
      </c>
      <c r="C520" s="25" t="s">
        <v>1352</v>
      </c>
      <c r="E520" s="75">
        <v>9</v>
      </c>
      <c r="G520" s="170">
        <v>5694.66</v>
      </c>
      <c r="H520" t="s">
        <v>3597</v>
      </c>
      <c r="I520" t="s">
        <v>3598</v>
      </c>
      <c r="J520" s="6">
        <v>43339</v>
      </c>
      <c r="K520" t="s">
        <v>3599</v>
      </c>
    </row>
    <row r="521" spans="1:11">
      <c r="A521">
        <v>42</v>
      </c>
      <c r="B521" t="s">
        <v>1240</v>
      </c>
      <c r="C521" s="25" t="s">
        <v>1352</v>
      </c>
      <c r="E521" s="75">
        <v>3</v>
      </c>
      <c r="G521" s="170">
        <v>1868.22</v>
      </c>
      <c r="H521" t="s">
        <v>3600</v>
      </c>
      <c r="I521" t="s">
        <v>3601</v>
      </c>
      <c r="J521" s="6">
        <v>43339</v>
      </c>
      <c r="K521" t="s">
        <v>3602</v>
      </c>
    </row>
    <row r="522" spans="1:11">
      <c r="A522">
        <v>43</v>
      </c>
      <c r="B522" t="s">
        <v>1303</v>
      </c>
      <c r="C522" s="25" t="s">
        <v>135</v>
      </c>
      <c r="E522" s="75">
        <v>109</v>
      </c>
      <c r="G522" s="170">
        <v>5383.51</v>
      </c>
      <c r="H522" t="s">
        <v>3603</v>
      </c>
      <c r="I522" t="s">
        <v>3604</v>
      </c>
      <c r="J522" s="6">
        <v>43339</v>
      </c>
      <c r="K522" t="s">
        <v>3605</v>
      </c>
    </row>
    <row r="523" spans="1:11">
      <c r="A523">
        <v>44</v>
      </c>
      <c r="B523" t="s">
        <v>1157</v>
      </c>
      <c r="C523" s="25" t="s">
        <v>135</v>
      </c>
      <c r="E523" s="75">
        <v>68</v>
      </c>
      <c r="G523" s="170">
        <v>2800.92</v>
      </c>
      <c r="H523" t="s">
        <v>3606</v>
      </c>
      <c r="I523" t="s">
        <v>3607</v>
      </c>
      <c r="J523" s="6">
        <v>43340</v>
      </c>
      <c r="K523" t="s">
        <v>3608</v>
      </c>
    </row>
    <row r="524" spans="1:11">
      <c r="A524">
        <v>45</v>
      </c>
      <c r="B524" t="s">
        <v>1251</v>
      </c>
      <c r="C524" s="92" t="s">
        <v>129</v>
      </c>
      <c r="E524" s="75">
        <v>17</v>
      </c>
      <c r="G524" s="170">
        <v>8369.7800000000007</v>
      </c>
      <c r="H524" t="s">
        <v>3609</v>
      </c>
      <c r="I524" t="s">
        <v>3610</v>
      </c>
      <c r="J524" s="6">
        <v>43341</v>
      </c>
      <c r="K524" t="s">
        <v>3611</v>
      </c>
    </row>
    <row r="525" spans="1:11">
      <c r="A525">
        <v>46</v>
      </c>
      <c r="B525" t="s">
        <v>1251</v>
      </c>
      <c r="C525" s="92" t="s">
        <v>129</v>
      </c>
      <c r="E525" s="75">
        <v>18</v>
      </c>
      <c r="G525" s="170">
        <v>8862.1200000000008</v>
      </c>
      <c r="H525" t="s">
        <v>3612</v>
      </c>
      <c r="I525" t="s">
        <v>3613</v>
      </c>
      <c r="J525" s="6">
        <v>43341</v>
      </c>
      <c r="K525" t="s">
        <v>3614</v>
      </c>
    </row>
    <row r="526" spans="1:11">
      <c r="A526">
        <v>47</v>
      </c>
      <c r="B526" t="s">
        <v>1075</v>
      </c>
      <c r="C526" s="25" t="s">
        <v>508</v>
      </c>
      <c r="E526" s="75">
        <v>34</v>
      </c>
      <c r="G526" s="180">
        <v>29226.400000000001</v>
      </c>
      <c r="H526" t="s">
        <v>3615</v>
      </c>
      <c r="J526" s="6">
        <v>43341</v>
      </c>
      <c r="K526" t="s">
        <v>3616</v>
      </c>
    </row>
    <row r="527" spans="1:11">
      <c r="A527">
        <v>47</v>
      </c>
      <c r="B527" t="s">
        <v>913</v>
      </c>
      <c r="C527" s="25" t="s">
        <v>606</v>
      </c>
      <c r="E527" s="75">
        <v>1</v>
      </c>
      <c r="G527" s="170">
        <v>3137</v>
      </c>
      <c r="H527" t="s">
        <v>3617</v>
      </c>
      <c r="I527" t="s">
        <v>3618</v>
      </c>
      <c r="J527" s="6">
        <v>43341</v>
      </c>
    </row>
    <row r="528" spans="1:11">
      <c r="A528">
        <v>48</v>
      </c>
      <c r="B528" t="s">
        <v>1253</v>
      </c>
      <c r="C528" s="25" t="s">
        <v>121</v>
      </c>
      <c r="E528">
        <v>35</v>
      </c>
      <c r="G528" s="170">
        <v>10646.3</v>
      </c>
      <c r="H528" t="s">
        <v>3619</v>
      </c>
      <c r="I528" t="s">
        <v>3620</v>
      </c>
      <c r="J528" s="6">
        <v>43341</v>
      </c>
      <c r="K528" t="s">
        <v>3621</v>
      </c>
    </row>
    <row r="529" spans="1:11">
      <c r="A529">
        <v>49</v>
      </c>
      <c r="B529" t="s">
        <v>1090</v>
      </c>
      <c r="C529" s="25" t="s">
        <v>1352</v>
      </c>
      <c r="E529" s="75">
        <v>14</v>
      </c>
      <c r="G529" s="170">
        <v>8858.36</v>
      </c>
      <c r="H529" t="s">
        <v>3622</v>
      </c>
      <c r="I529" t="s">
        <v>3623</v>
      </c>
      <c r="J529" s="6">
        <v>43341</v>
      </c>
      <c r="K529" t="s">
        <v>3624</v>
      </c>
    </row>
    <row r="530" spans="1:11">
      <c r="A530">
        <v>50</v>
      </c>
      <c r="B530" t="s">
        <v>1277</v>
      </c>
      <c r="C530" s="25" t="s">
        <v>3625</v>
      </c>
      <c r="E530">
        <v>5</v>
      </c>
      <c r="G530" s="170">
        <v>98.45</v>
      </c>
      <c r="H530" t="s">
        <v>3626</v>
      </c>
      <c r="I530" t="s">
        <v>3627</v>
      </c>
      <c r="J530" s="6">
        <v>43341</v>
      </c>
      <c r="K530" t="s">
        <v>3628</v>
      </c>
    </row>
    <row r="531" spans="1:11">
      <c r="A531">
        <v>51</v>
      </c>
      <c r="B531" t="s">
        <v>1279</v>
      </c>
      <c r="C531" s="25" t="s">
        <v>3625</v>
      </c>
      <c r="E531">
        <v>20</v>
      </c>
      <c r="G531" s="170">
        <v>2884</v>
      </c>
      <c r="H531" t="s">
        <v>3629</v>
      </c>
      <c r="I531" t="s">
        <v>3630</v>
      </c>
      <c r="J531" s="6">
        <v>43341</v>
      </c>
      <c r="K531" t="s">
        <v>3631</v>
      </c>
    </row>
    <row r="532" spans="1:11">
      <c r="A532">
        <v>52</v>
      </c>
      <c r="B532" t="s">
        <v>1161</v>
      </c>
      <c r="C532" s="25" t="s">
        <v>135</v>
      </c>
      <c r="E532" s="75">
        <v>90</v>
      </c>
      <c r="G532" s="170">
        <v>3808.8</v>
      </c>
      <c r="H532" t="s">
        <v>3632</v>
      </c>
      <c r="I532" t="s">
        <v>3633</v>
      </c>
      <c r="J532" s="6">
        <v>43342</v>
      </c>
      <c r="K532" t="s">
        <v>3634</v>
      </c>
    </row>
    <row r="533" spans="1:11">
      <c r="A533">
        <v>53</v>
      </c>
      <c r="B533" t="s">
        <v>1236</v>
      </c>
      <c r="C533" s="25" t="s">
        <v>347</v>
      </c>
      <c r="E533">
        <v>1</v>
      </c>
      <c r="G533" s="170">
        <v>11617.9</v>
      </c>
      <c r="H533" t="s">
        <v>3635</v>
      </c>
      <c r="I533" t="s">
        <v>3636</v>
      </c>
      <c r="J533" s="6">
        <v>43342</v>
      </c>
      <c r="K533" t="s">
        <v>3637</v>
      </c>
    </row>
    <row r="536" spans="1:11">
      <c r="A536">
        <v>1</v>
      </c>
      <c r="B536" t="s">
        <v>1173</v>
      </c>
      <c r="C536" s="25" t="s">
        <v>135</v>
      </c>
      <c r="E536" s="75">
        <v>12</v>
      </c>
      <c r="G536" s="1">
        <v>4427.04</v>
      </c>
      <c r="H536" t="s">
        <v>3638</v>
      </c>
      <c r="I536" t="s">
        <v>2335</v>
      </c>
      <c r="J536" s="6">
        <v>43349</v>
      </c>
      <c r="K536" t="s">
        <v>3639</v>
      </c>
    </row>
    <row r="537" spans="1:11">
      <c r="A537">
        <v>2</v>
      </c>
      <c r="B537" t="s">
        <v>902</v>
      </c>
      <c r="C537" s="25" t="s">
        <v>135</v>
      </c>
      <c r="E537" s="75">
        <v>19</v>
      </c>
      <c r="G537" s="1">
        <v>8147.96</v>
      </c>
      <c r="H537" t="s">
        <v>3640</v>
      </c>
      <c r="I537" t="s">
        <v>2338</v>
      </c>
      <c r="J537" s="6">
        <v>43355</v>
      </c>
      <c r="K537" t="s">
        <v>3641</v>
      </c>
    </row>
    <row r="538" spans="1:11">
      <c r="A538">
        <v>3</v>
      </c>
      <c r="B538" t="s">
        <v>1070</v>
      </c>
      <c r="C538" s="25" t="s">
        <v>135</v>
      </c>
      <c r="E538" s="75">
        <v>5</v>
      </c>
      <c r="G538" s="1">
        <v>2244.6999999999998</v>
      </c>
      <c r="H538" t="s">
        <v>3642</v>
      </c>
      <c r="I538" t="s">
        <v>2341</v>
      </c>
      <c r="J538" s="6">
        <v>43351</v>
      </c>
      <c r="K538" t="s">
        <v>3643</v>
      </c>
    </row>
    <row r="539" spans="1:11">
      <c r="A539">
        <v>4</v>
      </c>
      <c r="B539" t="s">
        <v>1163</v>
      </c>
      <c r="C539" s="25" t="s">
        <v>3644</v>
      </c>
      <c r="E539" s="75">
        <v>8</v>
      </c>
      <c r="G539" s="1">
        <v>2979.2</v>
      </c>
      <c r="H539" t="s">
        <v>2343</v>
      </c>
      <c r="I539" t="s">
        <v>2344</v>
      </c>
      <c r="J539" s="6">
        <v>43351</v>
      </c>
      <c r="K539" t="s">
        <v>3645</v>
      </c>
    </row>
    <row r="540" spans="1:11">
      <c r="A540">
        <v>5</v>
      </c>
      <c r="B540" t="s">
        <v>1163</v>
      </c>
      <c r="C540" s="25" t="s">
        <v>3644</v>
      </c>
      <c r="E540" s="75">
        <v>12</v>
      </c>
      <c r="G540" s="1">
        <v>4468.8</v>
      </c>
      <c r="H540" t="s">
        <v>3646</v>
      </c>
      <c r="I540" t="s">
        <v>2347</v>
      </c>
      <c r="J540" s="6">
        <v>43351</v>
      </c>
      <c r="K540" t="s">
        <v>3645</v>
      </c>
    </row>
    <row r="541" spans="1:11">
      <c r="A541">
        <v>6</v>
      </c>
      <c r="B541" t="s">
        <v>1305</v>
      </c>
      <c r="C541" s="25" t="s">
        <v>135</v>
      </c>
      <c r="E541" s="75">
        <v>14</v>
      </c>
      <c r="G541" s="1">
        <v>6080.2</v>
      </c>
      <c r="H541" t="s">
        <v>3647</v>
      </c>
      <c r="I541" t="s">
        <v>2351</v>
      </c>
      <c r="J541" s="6">
        <v>43351</v>
      </c>
      <c r="K541" t="s">
        <v>3648</v>
      </c>
    </row>
    <row r="542" spans="1:11">
      <c r="A542">
        <v>7</v>
      </c>
      <c r="B542" t="s">
        <v>1238</v>
      </c>
      <c r="C542" s="25" t="s">
        <v>3649</v>
      </c>
      <c r="E542">
        <v>2</v>
      </c>
      <c r="G542" s="1">
        <v>464.8</v>
      </c>
      <c r="H542" t="s">
        <v>3650</v>
      </c>
      <c r="I542" t="s">
        <v>2354</v>
      </c>
      <c r="J542" s="6">
        <v>43351</v>
      </c>
      <c r="K542" t="s">
        <v>3645</v>
      </c>
    </row>
    <row r="543" spans="1:11">
      <c r="A543">
        <v>8</v>
      </c>
      <c r="B543" t="s">
        <v>1294</v>
      </c>
      <c r="C543" s="25" t="s">
        <v>135</v>
      </c>
      <c r="E543">
        <v>1</v>
      </c>
      <c r="G543" s="1">
        <v>221.6</v>
      </c>
      <c r="H543" t="s">
        <v>3651</v>
      </c>
      <c r="I543" t="s">
        <v>2357</v>
      </c>
      <c r="J543" s="6">
        <v>43351</v>
      </c>
      <c r="K543" t="s">
        <v>104</v>
      </c>
    </row>
    <row r="544" spans="1:11">
      <c r="A544">
        <v>9</v>
      </c>
      <c r="B544" t="s">
        <v>3652</v>
      </c>
      <c r="C544" s="25" t="s">
        <v>371</v>
      </c>
      <c r="G544" s="1">
        <v>1902.48</v>
      </c>
      <c r="H544" t="s">
        <v>3653</v>
      </c>
      <c r="I544" t="s">
        <v>2361</v>
      </c>
    </row>
    <row r="545" spans="1:11">
      <c r="A545">
        <v>10</v>
      </c>
      <c r="B545" t="s">
        <v>1117</v>
      </c>
      <c r="C545" s="25" t="s">
        <v>315</v>
      </c>
      <c r="E545">
        <v>16</v>
      </c>
      <c r="G545" s="1">
        <v>15594.88</v>
      </c>
      <c r="H545" t="s">
        <v>3654</v>
      </c>
      <c r="I545" t="s">
        <v>2364</v>
      </c>
      <c r="K545" t="s">
        <v>3655</v>
      </c>
    </row>
    <row r="546" spans="1:11">
      <c r="A546">
        <v>11</v>
      </c>
      <c r="B546" t="s">
        <v>737</v>
      </c>
      <c r="C546" s="25" t="s">
        <v>694</v>
      </c>
      <c r="E546">
        <v>15</v>
      </c>
      <c r="G546" s="1">
        <v>8238.4500000000007</v>
      </c>
      <c r="H546" t="s">
        <v>3656</v>
      </c>
      <c r="I546" t="s">
        <v>2366</v>
      </c>
      <c r="J546" s="6">
        <v>43355</v>
      </c>
      <c r="K546" t="s">
        <v>3657</v>
      </c>
    </row>
    <row r="547" spans="1:11">
      <c r="A547">
        <v>12</v>
      </c>
      <c r="B547" t="s">
        <v>1190</v>
      </c>
      <c r="C547" s="25" t="s">
        <v>129</v>
      </c>
      <c r="E547">
        <v>1</v>
      </c>
      <c r="G547" s="1">
        <v>1372.8</v>
      </c>
      <c r="H547" t="s">
        <v>3658</v>
      </c>
      <c r="I547" t="s">
        <v>3659</v>
      </c>
      <c r="K547" t="s">
        <v>3660</v>
      </c>
    </row>
    <row r="548" spans="1:11">
      <c r="A548">
        <v>13</v>
      </c>
      <c r="B548" t="s">
        <v>1383</v>
      </c>
      <c r="C548" s="25" t="s">
        <v>1338</v>
      </c>
      <c r="E548">
        <v>1</v>
      </c>
      <c r="G548" s="1">
        <v>78</v>
      </c>
      <c r="H548" t="s">
        <v>3661</v>
      </c>
      <c r="I548" t="s">
        <v>3662</v>
      </c>
      <c r="K548" t="s">
        <v>3663</v>
      </c>
    </row>
    <row r="549" spans="1:11">
      <c r="A549">
        <v>14</v>
      </c>
      <c r="B549" t="s">
        <v>1316</v>
      </c>
      <c r="C549" s="25" t="s">
        <v>3664</v>
      </c>
      <c r="E549">
        <v>7</v>
      </c>
      <c r="G549" s="1">
        <v>1649.83</v>
      </c>
      <c r="H549" t="s">
        <v>2373</v>
      </c>
      <c r="I549" t="s">
        <v>3665</v>
      </c>
      <c r="K549" t="s">
        <v>3666</v>
      </c>
    </row>
    <row r="550" spans="1:11">
      <c r="A550">
        <v>15</v>
      </c>
      <c r="B550" t="s">
        <v>1316</v>
      </c>
      <c r="C550" s="25" t="s">
        <v>3664</v>
      </c>
      <c r="E550">
        <v>15</v>
      </c>
      <c r="G550" s="1">
        <v>3535.35</v>
      </c>
      <c r="H550" t="s">
        <v>3667</v>
      </c>
      <c r="I550" t="s">
        <v>3668</v>
      </c>
      <c r="K550" t="s">
        <v>3669</v>
      </c>
    </row>
    <row r="551" spans="1:11">
      <c r="A551">
        <v>16</v>
      </c>
      <c r="B551" t="s">
        <v>960</v>
      </c>
      <c r="C551" s="25" t="s">
        <v>3670</v>
      </c>
      <c r="E551">
        <v>500</v>
      </c>
      <c r="G551" s="1">
        <v>0</v>
      </c>
      <c r="H551" t="s">
        <v>3671</v>
      </c>
      <c r="I551" t="s">
        <v>3672</v>
      </c>
      <c r="J551" s="6">
        <v>43360</v>
      </c>
      <c r="K551" t="s">
        <v>3673</v>
      </c>
    </row>
    <row r="552" spans="1:11">
      <c r="A552">
        <v>17</v>
      </c>
      <c r="B552" t="s">
        <v>1150</v>
      </c>
      <c r="C552" s="25" t="s">
        <v>872</v>
      </c>
      <c r="E552">
        <v>14</v>
      </c>
      <c r="G552" s="1">
        <v>2159.92</v>
      </c>
      <c r="H552" t="s">
        <v>3674</v>
      </c>
      <c r="I552" t="s">
        <v>3675</v>
      </c>
      <c r="J552" s="6">
        <v>43360</v>
      </c>
      <c r="K552" t="s">
        <v>3676</v>
      </c>
    </row>
    <row r="553" spans="1:11">
      <c r="A553">
        <v>18</v>
      </c>
      <c r="B553" t="s">
        <v>1267</v>
      </c>
      <c r="C553" s="25" t="s">
        <v>135</v>
      </c>
      <c r="E553">
        <v>7</v>
      </c>
      <c r="G553" s="1">
        <v>647.29</v>
      </c>
      <c r="H553" t="s">
        <v>3674</v>
      </c>
      <c r="I553" t="s">
        <v>2379</v>
      </c>
      <c r="J553" s="6">
        <v>43360</v>
      </c>
      <c r="K553" t="s">
        <v>3677</v>
      </c>
    </row>
    <row r="554" spans="1:11">
      <c r="A554">
        <v>19</v>
      </c>
      <c r="B554" t="s">
        <v>1267</v>
      </c>
      <c r="C554" s="25" t="s">
        <v>135</v>
      </c>
      <c r="E554">
        <v>30</v>
      </c>
      <c r="G554" s="170">
        <v>2774.1</v>
      </c>
      <c r="H554" t="s">
        <v>2383</v>
      </c>
      <c r="I554" t="s">
        <v>3678</v>
      </c>
      <c r="J554" s="6">
        <v>43360</v>
      </c>
      <c r="K554" t="s">
        <v>3679</v>
      </c>
    </row>
    <row r="555" spans="1:11">
      <c r="A555">
        <v>20</v>
      </c>
      <c r="B555" t="s">
        <v>1257</v>
      </c>
      <c r="C555" s="25" t="s">
        <v>315</v>
      </c>
      <c r="E555">
        <v>10</v>
      </c>
      <c r="G555" s="170">
        <v>5273.8</v>
      </c>
      <c r="H555" t="s">
        <v>3680</v>
      </c>
      <c r="I555" t="s">
        <v>3681</v>
      </c>
      <c r="J555" s="6">
        <v>43360</v>
      </c>
      <c r="K555" t="s">
        <v>3682</v>
      </c>
    </row>
    <row r="556" spans="1:11">
      <c r="A556">
        <v>21</v>
      </c>
      <c r="B556" t="s">
        <v>1394</v>
      </c>
      <c r="C556" s="25" t="s">
        <v>135</v>
      </c>
      <c r="E556">
        <v>42</v>
      </c>
      <c r="G556" s="1">
        <v>4423.4399999999996</v>
      </c>
      <c r="H556" t="s">
        <v>3683</v>
      </c>
      <c r="I556" t="s">
        <v>3684</v>
      </c>
      <c r="J556" s="6">
        <v>43360</v>
      </c>
      <c r="K556" t="s">
        <v>3685</v>
      </c>
    </row>
    <row r="557" spans="1:11">
      <c r="A557">
        <v>22</v>
      </c>
      <c r="B557" t="s">
        <v>1421</v>
      </c>
      <c r="C557" s="25" t="s">
        <v>3644</v>
      </c>
      <c r="E557">
        <v>3</v>
      </c>
      <c r="G557" s="170">
        <v>916.83</v>
      </c>
      <c r="H557" t="s">
        <v>3686</v>
      </c>
      <c r="I557" t="s">
        <v>3687</v>
      </c>
      <c r="J557" s="6">
        <v>43360</v>
      </c>
      <c r="K557" t="s">
        <v>3688</v>
      </c>
    </row>
    <row r="558" spans="1:11">
      <c r="A558">
        <v>23</v>
      </c>
      <c r="B558" t="s">
        <v>1329</v>
      </c>
      <c r="C558" s="25" t="s">
        <v>135</v>
      </c>
      <c r="E558">
        <v>19</v>
      </c>
      <c r="G558" s="170">
        <v>3287</v>
      </c>
      <c r="H558" t="s">
        <v>3689</v>
      </c>
      <c r="I558" t="s">
        <v>3690</v>
      </c>
      <c r="J558" s="6">
        <v>43362</v>
      </c>
      <c r="K558" t="s">
        <v>3691</v>
      </c>
    </row>
    <row r="559" spans="1:11">
      <c r="A559">
        <v>24</v>
      </c>
      <c r="B559" t="s">
        <v>1204</v>
      </c>
      <c r="C559" s="25" t="s">
        <v>135</v>
      </c>
      <c r="E559">
        <v>8</v>
      </c>
      <c r="G559" s="170">
        <v>990.96</v>
      </c>
      <c r="H559" t="s">
        <v>3692</v>
      </c>
      <c r="I559" t="s">
        <v>3693</v>
      </c>
      <c r="J559" s="6">
        <v>43362</v>
      </c>
      <c r="K559" t="s">
        <v>3694</v>
      </c>
    </row>
    <row r="560" spans="1:11">
      <c r="A560">
        <v>25</v>
      </c>
      <c r="B560" t="s">
        <v>1331</v>
      </c>
      <c r="C560" s="25" t="s">
        <v>135</v>
      </c>
      <c r="E560">
        <v>20</v>
      </c>
      <c r="G560" s="181">
        <v>3036.4</v>
      </c>
      <c r="H560" t="s">
        <v>3695</v>
      </c>
      <c r="I560" t="s">
        <v>3696</v>
      </c>
      <c r="J560" s="6">
        <v>43362</v>
      </c>
      <c r="K560" t="s">
        <v>3697</v>
      </c>
    </row>
    <row r="561" spans="1:13">
      <c r="A561">
        <v>26</v>
      </c>
      <c r="B561" t="s">
        <v>1356</v>
      </c>
      <c r="C561" s="25" t="s">
        <v>315</v>
      </c>
      <c r="E561">
        <v>3</v>
      </c>
      <c r="G561" s="1">
        <v>1439.49</v>
      </c>
      <c r="H561" t="s">
        <v>3698</v>
      </c>
      <c r="I561" t="s">
        <v>3699</v>
      </c>
      <c r="J561" s="6"/>
      <c r="K561" t="s">
        <v>3700</v>
      </c>
    </row>
    <row r="562" spans="1:13">
      <c r="A562">
        <v>27</v>
      </c>
      <c r="B562" t="s">
        <v>1206</v>
      </c>
      <c r="C562" s="25" t="s">
        <v>129</v>
      </c>
      <c r="E562">
        <v>3</v>
      </c>
      <c r="G562" s="1">
        <v>6276.24</v>
      </c>
      <c r="H562" t="s">
        <v>3701</v>
      </c>
      <c r="I562" t="s">
        <v>3702</v>
      </c>
      <c r="J562" s="6">
        <v>43362</v>
      </c>
      <c r="K562" t="s">
        <v>3703</v>
      </c>
      <c r="M562" s="11">
        <f>+G547+G561</f>
        <v>2812.29</v>
      </c>
    </row>
    <row r="563" spans="1:13">
      <c r="A563">
        <v>28</v>
      </c>
      <c r="B563" t="s">
        <v>943</v>
      </c>
      <c r="C563" s="25" t="s">
        <v>633</v>
      </c>
      <c r="E563">
        <v>10</v>
      </c>
      <c r="G563" s="170">
        <v>12280.2</v>
      </c>
      <c r="H563" t="s">
        <v>3704</v>
      </c>
      <c r="I563" t="s">
        <v>3705</v>
      </c>
      <c r="J563" s="6">
        <v>43362</v>
      </c>
      <c r="K563" t="s">
        <v>3706</v>
      </c>
    </row>
    <row r="564" spans="1:13">
      <c r="A564">
        <v>29</v>
      </c>
      <c r="B564" t="s">
        <v>1226</v>
      </c>
      <c r="C564" s="25" t="s">
        <v>129</v>
      </c>
      <c r="E564">
        <v>4</v>
      </c>
      <c r="G564" s="1">
        <v>6538.4</v>
      </c>
      <c r="H564" t="s">
        <v>3707</v>
      </c>
      <c r="I564" t="s">
        <v>3708</v>
      </c>
      <c r="J564" s="6">
        <v>43363</v>
      </c>
      <c r="K564" t="s">
        <v>3709</v>
      </c>
    </row>
    <row r="565" spans="1:13">
      <c r="A565">
        <v>30</v>
      </c>
      <c r="B565" t="s">
        <v>1226</v>
      </c>
      <c r="C565" s="25" t="s">
        <v>129</v>
      </c>
      <c r="E565">
        <v>4</v>
      </c>
      <c r="G565" s="1">
        <v>6538.4</v>
      </c>
      <c r="H565" t="s">
        <v>3710</v>
      </c>
      <c r="I565" t="s">
        <v>3711</v>
      </c>
      <c r="J565" s="6">
        <v>43363</v>
      </c>
      <c r="K565" t="s">
        <v>3712</v>
      </c>
    </row>
    <row r="566" spans="1:13">
      <c r="A566">
        <v>31</v>
      </c>
      <c r="B566" t="s">
        <v>1358</v>
      </c>
      <c r="C566" s="25" t="s">
        <v>315</v>
      </c>
      <c r="E566">
        <v>3</v>
      </c>
      <c r="G566" s="1">
        <v>8553.5400000000009</v>
      </c>
      <c r="H566" t="s">
        <v>3713</v>
      </c>
      <c r="I566" t="s">
        <v>3714</v>
      </c>
      <c r="J566" s="6">
        <v>43367</v>
      </c>
      <c r="K566" t="s">
        <v>3715</v>
      </c>
    </row>
    <row r="567" spans="1:13">
      <c r="A567">
        <v>32</v>
      </c>
      <c r="B567" t="s">
        <v>1105</v>
      </c>
      <c r="C567" s="25" t="s">
        <v>954</v>
      </c>
      <c r="E567">
        <v>26</v>
      </c>
      <c r="G567" s="181">
        <v>2908.88</v>
      </c>
      <c r="H567" t="s">
        <v>3716</v>
      </c>
      <c r="I567" t="s">
        <v>3717</v>
      </c>
      <c r="J567" s="6">
        <v>43368</v>
      </c>
      <c r="K567" t="s">
        <v>3718</v>
      </c>
    </row>
    <row r="568" spans="1:13">
      <c r="A568">
        <v>33</v>
      </c>
      <c r="B568" t="s">
        <v>1109</v>
      </c>
      <c r="C568" s="25" t="s">
        <v>3649</v>
      </c>
      <c r="E568">
        <v>5</v>
      </c>
      <c r="G568" s="181">
        <v>3389</v>
      </c>
      <c r="H568" t="s">
        <v>3719</v>
      </c>
      <c r="I568" t="s">
        <v>3720</v>
      </c>
      <c r="J568" s="6">
        <v>43369</v>
      </c>
      <c r="K568" t="s">
        <v>104</v>
      </c>
    </row>
    <row r="569" spans="1:13">
      <c r="A569">
        <v>34</v>
      </c>
      <c r="B569" t="s">
        <v>1109</v>
      </c>
      <c r="C569" s="25" t="s">
        <v>3649</v>
      </c>
      <c r="E569">
        <v>5</v>
      </c>
      <c r="G569" s="181">
        <v>3389</v>
      </c>
      <c r="H569" t="s">
        <v>3721</v>
      </c>
      <c r="I569" t="s">
        <v>3722</v>
      </c>
      <c r="J569" s="6">
        <v>43369</v>
      </c>
      <c r="K569" t="s">
        <v>104</v>
      </c>
    </row>
    <row r="570" spans="1:13">
      <c r="A570">
        <v>35</v>
      </c>
      <c r="B570" t="s">
        <v>1109</v>
      </c>
      <c r="C570" s="25" t="s">
        <v>3649</v>
      </c>
      <c r="E570">
        <v>5</v>
      </c>
      <c r="G570" s="181">
        <v>3389</v>
      </c>
      <c r="H570" t="s">
        <v>3723</v>
      </c>
      <c r="I570" t="s">
        <v>3724</v>
      </c>
      <c r="J570" s="6">
        <v>43369</v>
      </c>
      <c r="K570" t="s">
        <v>104</v>
      </c>
    </row>
    <row r="571" spans="1:13">
      <c r="A571">
        <v>36</v>
      </c>
      <c r="B571" t="s">
        <v>1109</v>
      </c>
      <c r="C571" s="25" t="s">
        <v>3649</v>
      </c>
      <c r="E571">
        <v>6</v>
      </c>
      <c r="G571" s="1">
        <v>4066.8</v>
      </c>
      <c r="H571" t="s">
        <v>3725</v>
      </c>
      <c r="I571" t="s">
        <v>3726</v>
      </c>
      <c r="J571" s="6">
        <v>43369</v>
      </c>
      <c r="K571" t="s">
        <v>104</v>
      </c>
    </row>
    <row r="572" spans="1:13">
      <c r="A572">
        <v>37</v>
      </c>
      <c r="B572" t="s">
        <v>1385</v>
      </c>
      <c r="C572" s="25" t="s">
        <v>135</v>
      </c>
      <c r="E572">
        <v>8</v>
      </c>
      <c r="G572" s="1">
        <v>3691.04</v>
      </c>
      <c r="H572" t="s">
        <v>3727</v>
      </c>
      <c r="I572" t="s">
        <v>3728</v>
      </c>
      <c r="J572" s="6">
        <v>43369</v>
      </c>
      <c r="K572" t="s">
        <v>3729</v>
      </c>
    </row>
    <row r="573" spans="1:13">
      <c r="A573">
        <v>38</v>
      </c>
      <c r="B573" t="s">
        <v>1321</v>
      </c>
      <c r="C573" s="25" t="s">
        <v>139</v>
      </c>
      <c r="E573" s="75">
        <v>2</v>
      </c>
      <c r="G573" s="1">
        <v>6328</v>
      </c>
      <c r="H573" t="s">
        <v>3730</v>
      </c>
      <c r="I573" t="s">
        <v>3731</v>
      </c>
      <c r="K573" t="s">
        <v>104</v>
      </c>
    </row>
    <row r="574" spans="1:13">
      <c r="A574">
        <v>39</v>
      </c>
      <c r="B574" t="s">
        <v>1505</v>
      </c>
      <c r="C574" s="25" t="s">
        <v>1506</v>
      </c>
      <c r="E574">
        <v>25</v>
      </c>
      <c r="G574" s="1">
        <v>1244.5</v>
      </c>
      <c r="H574" t="s">
        <v>3732</v>
      </c>
      <c r="I574" t="s">
        <v>3733</v>
      </c>
      <c r="J574" s="6">
        <v>43370</v>
      </c>
      <c r="K574" t="s">
        <v>3734</v>
      </c>
    </row>
    <row r="575" spans="1:13">
      <c r="A575">
        <v>40</v>
      </c>
      <c r="B575" t="s">
        <v>1222</v>
      </c>
      <c r="C575" s="25" t="s">
        <v>129</v>
      </c>
      <c r="E575">
        <v>3</v>
      </c>
      <c r="G575" s="1">
        <v>10799.46</v>
      </c>
      <c r="H575" t="s">
        <v>3735</v>
      </c>
      <c r="I575" t="s">
        <v>3736</v>
      </c>
      <c r="J575" s="6">
        <v>43370</v>
      </c>
      <c r="K575" t="s">
        <v>3737</v>
      </c>
    </row>
    <row r="576" spans="1:13">
      <c r="A576">
        <v>41</v>
      </c>
      <c r="B576" t="s">
        <v>1140</v>
      </c>
      <c r="C576" s="25" t="s">
        <v>1141</v>
      </c>
      <c r="E576">
        <v>106</v>
      </c>
      <c r="G576" s="1">
        <v>23359.22</v>
      </c>
      <c r="H576" t="s">
        <v>3738</v>
      </c>
      <c r="I576" t="s">
        <v>3739</v>
      </c>
      <c r="J576" s="6">
        <v>43370</v>
      </c>
      <c r="K576" t="s">
        <v>3740</v>
      </c>
    </row>
    <row r="577" spans="1:11">
      <c r="A577">
        <v>42</v>
      </c>
      <c r="B577" t="s">
        <v>1524</v>
      </c>
      <c r="C577" s="25" t="s">
        <v>501</v>
      </c>
      <c r="E577">
        <v>25</v>
      </c>
      <c r="G577" s="1">
        <v>16047.25</v>
      </c>
      <c r="H577" t="s">
        <v>3741</v>
      </c>
      <c r="I577" t="s">
        <v>3742</v>
      </c>
      <c r="J577" s="6">
        <v>43371</v>
      </c>
      <c r="K577" t="s">
        <v>3743</v>
      </c>
    </row>
    <row r="578" spans="1:11">
      <c r="A578">
        <v>43</v>
      </c>
      <c r="B578" t="s">
        <v>1468</v>
      </c>
      <c r="C578" s="25" t="s">
        <v>135</v>
      </c>
      <c r="E578">
        <v>5</v>
      </c>
      <c r="G578" s="1">
        <v>1282.1500000000001</v>
      </c>
      <c r="H578" t="s">
        <v>3744</v>
      </c>
      <c r="I578" t="s">
        <v>3745</v>
      </c>
      <c r="J578" s="6">
        <v>43371</v>
      </c>
      <c r="K578" t="s">
        <v>3746</v>
      </c>
    </row>
    <row r="579" spans="1:11">
      <c r="A579">
        <v>44</v>
      </c>
      <c r="B579" t="s">
        <v>3747</v>
      </c>
      <c r="C579" s="25" t="s">
        <v>135</v>
      </c>
      <c r="E579">
        <v>1</v>
      </c>
      <c r="G579" s="1">
        <v>289.77999999999997</v>
      </c>
      <c r="H579" t="s">
        <v>3748</v>
      </c>
      <c r="I579" t="s">
        <v>3749</v>
      </c>
      <c r="J579" s="6">
        <v>43371</v>
      </c>
      <c r="K579" t="s">
        <v>3750</v>
      </c>
    </row>
    <row r="580" spans="1:11">
      <c r="A580">
        <v>45</v>
      </c>
      <c r="B580" t="s">
        <v>1510</v>
      </c>
      <c r="C580" s="25" t="s">
        <v>135</v>
      </c>
      <c r="E580">
        <v>1</v>
      </c>
      <c r="G580" s="1">
        <v>549.41999999999996</v>
      </c>
      <c r="H580" t="s">
        <v>3751</v>
      </c>
      <c r="I580" t="s">
        <v>3752</v>
      </c>
      <c r="J580" s="6">
        <v>43371</v>
      </c>
    </row>
    <row r="581" spans="1:11">
      <c r="G581" s="26">
        <f>SUM(G536:G580)</f>
        <v>207275.6</v>
      </c>
    </row>
    <row r="583" spans="1:11">
      <c r="A583">
        <v>1</v>
      </c>
      <c r="B583" t="s">
        <v>884</v>
      </c>
      <c r="C583" s="25" t="s">
        <v>954</v>
      </c>
      <c r="E583">
        <v>61</v>
      </c>
      <c r="G583" s="1">
        <v>7294.38</v>
      </c>
      <c r="H583" t="s">
        <v>3753</v>
      </c>
      <c r="I583" t="s">
        <v>3754</v>
      </c>
      <c r="J583" s="6">
        <v>43375</v>
      </c>
      <c r="K583" t="s">
        <v>3755</v>
      </c>
    </row>
    <row r="584" spans="1:11">
      <c r="A584">
        <v>2</v>
      </c>
      <c r="B584" t="s">
        <v>953</v>
      </c>
      <c r="C584" s="25" t="s">
        <v>954</v>
      </c>
      <c r="E584">
        <v>65</v>
      </c>
      <c r="G584" s="1">
        <v>13611</v>
      </c>
      <c r="H584" t="s">
        <v>3756</v>
      </c>
      <c r="I584" t="s">
        <v>3757</v>
      </c>
      <c r="J584" s="6">
        <v>43375</v>
      </c>
      <c r="K584" t="s">
        <v>3758</v>
      </c>
    </row>
    <row r="585" spans="1:11">
      <c r="A585">
        <v>3</v>
      </c>
      <c r="B585" t="s">
        <v>1542</v>
      </c>
      <c r="C585" t="s">
        <v>3759</v>
      </c>
      <c r="G585" s="1">
        <v>959.31</v>
      </c>
      <c r="H585" t="s">
        <v>3760</v>
      </c>
      <c r="I585" t="s">
        <v>3761</v>
      </c>
      <c r="J585" s="6">
        <v>43377</v>
      </c>
      <c r="K585" t="s">
        <v>3762</v>
      </c>
    </row>
    <row r="586" spans="1:11">
      <c r="A586">
        <v>4</v>
      </c>
      <c r="B586" t="s">
        <v>1099</v>
      </c>
      <c r="C586" s="25" t="s">
        <v>954</v>
      </c>
      <c r="E586">
        <v>20</v>
      </c>
      <c r="G586" s="170">
        <v>4072.8</v>
      </c>
      <c r="H586" t="s">
        <v>3763</v>
      </c>
      <c r="I586" t="s">
        <v>3764</v>
      </c>
      <c r="J586" s="6">
        <v>43377</v>
      </c>
      <c r="K586" t="s">
        <v>3765</v>
      </c>
    </row>
    <row r="587" spans="1:11">
      <c r="A587">
        <v>5</v>
      </c>
      <c r="B587" t="s">
        <v>1308</v>
      </c>
      <c r="C587" s="25" t="s">
        <v>129</v>
      </c>
      <c r="E587">
        <v>1</v>
      </c>
      <c r="G587" s="61">
        <v>2956.6</v>
      </c>
      <c r="H587" t="s">
        <v>3766</v>
      </c>
      <c r="I587" t="s">
        <v>3767</v>
      </c>
      <c r="J587" s="6">
        <v>43378</v>
      </c>
    </row>
    <row r="588" spans="1:11">
      <c r="A588">
        <v>6</v>
      </c>
      <c r="B588" t="s">
        <v>1199</v>
      </c>
      <c r="C588" s="75"/>
      <c r="E588">
        <v>9</v>
      </c>
      <c r="G588" s="1"/>
      <c r="H588" t="s">
        <v>3768</v>
      </c>
      <c r="I588" t="s">
        <v>3769</v>
      </c>
      <c r="J588" s="6">
        <v>43378</v>
      </c>
      <c r="K588" t="s">
        <v>3022</v>
      </c>
    </row>
    <row r="589" spans="1:11">
      <c r="A589">
        <v>7</v>
      </c>
      <c r="B589" t="s">
        <v>1545</v>
      </c>
      <c r="C589" s="25" t="s">
        <v>3770</v>
      </c>
      <c r="E589">
        <v>69</v>
      </c>
      <c r="G589" s="1">
        <v>129.03</v>
      </c>
      <c r="H589" t="s">
        <v>3771</v>
      </c>
      <c r="I589" t="s">
        <v>3772</v>
      </c>
      <c r="J589" s="6">
        <v>43378</v>
      </c>
    </row>
    <row r="590" spans="1:11">
      <c r="A590">
        <v>8</v>
      </c>
      <c r="B590" t="s">
        <v>1404</v>
      </c>
      <c r="C590" s="25" t="s">
        <v>1047</v>
      </c>
      <c r="E590">
        <v>31</v>
      </c>
      <c r="G590" s="1">
        <v>1729.49</v>
      </c>
      <c r="H590" t="s">
        <v>3773</v>
      </c>
      <c r="I590" t="s">
        <v>3774</v>
      </c>
      <c r="J590" s="6">
        <v>43378</v>
      </c>
      <c r="K590" t="s">
        <v>3775</v>
      </c>
    </row>
    <row r="591" spans="1:11">
      <c r="A591">
        <v>9</v>
      </c>
      <c r="B591" t="s">
        <v>1199</v>
      </c>
      <c r="C591" s="25" t="s">
        <v>129</v>
      </c>
      <c r="E591">
        <v>3</v>
      </c>
      <c r="G591" s="1">
        <v>5299.65</v>
      </c>
      <c r="H591" t="s">
        <v>2417</v>
      </c>
      <c r="I591" t="s">
        <v>3776</v>
      </c>
      <c r="J591" s="6">
        <v>43378</v>
      </c>
      <c r="K591" t="s">
        <v>3777</v>
      </c>
    </row>
    <row r="592" spans="1:11">
      <c r="A592">
        <v>10</v>
      </c>
      <c r="B592" t="s">
        <v>1199</v>
      </c>
      <c r="C592" s="25" t="s">
        <v>129</v>
      </c>
      <c r="E592">
        <v>3</v>
      </c>
      <c r="G592" s="1">
        <v>5299.65</v>
      </c>
      <c r="H592" t="s">
        <v>2420</v>
      </c>
      <c r="I592" t="s">
        <v>3778</v>
      </c>
      <c r="J592" s="6">
        <v>43378</v>
      </c>
      <c r="K592" t="s">
        <v>3779</v>
      </c>
    </row>
    <row r="593" spans="1:11">
      <c r="A593">
        <v>11</v>
      </c>
      <c r="B593" t="s">
        <v>1199</v>
      </c>
      <c r="C593" s="25" t="s">
        <v>129</v>
      </c>
      <c r="E593">
        <v>3</v>
      </c>
      <c r="G593" s="1">
        <v>5299.65</v>
      </c>
      <c r="H593" t="s">
        <v>3780</v>
      </c>
      <c r="I593" t="s">
        <v>3781</v>
      </c>
      <c r="J593" s="6">
        <v>43378</v>
      </c>
      <c r="K593" t="s">
        <v>3782</v>
      </c>
    </row>
    <row r="594" spans="1:11">
      <c r="A594">
        <v>12</v>
      </c>
      <c r="B594" t="s">
        <v>1247</v>
      </c>
      <c r="C594" s="25" t="s">
        <v>954</v>
      </c>
      <c r="E594">
        <v>677</v>
      </c>
      <c r="G594" s="1">
        <v>19693.93</v>
      </c>
      <c r="H594" t="s">
        <v>3783</v>
      </c>
      <c r="I594" t="s">
        <v>3784</v>
      </c>
      <c r="J594" s="6">
        <v>43382</v>
      </c>
      <c r="K594" t="s">
        <v>3785</v>
      </c>
    </row>
    <row r="595" spans="1:11">
      <c r="A595">
        <v>13</v>
      </c>
      <c r="B595" t="s">
        <v>3786</v>
      </c>
      <c r="C595" s="25" t="s">
        <v>880</v>
      </c>
      <c r="E595">
        <v>27</v>
      </c>
      <c r="G595" s="1">
        <v>3323.7</v>
      </c>
      <c r="H595" t="s">
        <v>3787</v>
      </c>
      <c r="I595" t="s">
        <v>3788</v>
      </c>
      <c r="J595" s="6">
        <v>43382</v>
      </c>
      <c r="K595" t="s">
        <v>3789</v>
      </c>
    </row>
    <row r="596" spans="1:11">
      <c r="A596">
        <v>14</v>
      </c>
      <c r="B596" t="s">
        <v>1539</v>
      </c>
      <c r="C596" s="25" t="s">
        <v>3790</v>
      </c>
      <c r="E596">
        <v>3</v>
      </c>
      <c r="G596" s="181">
        <v>311.64</v>
      </c>
      <c r="H596" t="s">
        <v>3791</v>
      </c>
      <c r="I596" t="s">
        <v>3792</v>
      </c>
      <c r="J596" s="6">
        <v>43382</v>
      </c>
      <c r="K596" t="s">
        <v>3793</v>
      </c>
    </row>
    <row r="597" spans="1:11">
      <c r="A597">
        <v>15</v>
      </c>
      <c r="B597" t="s">
        <v>1378</v>
      </c>
      <c r="C597" s="25" t="s">
        <v>135</v>
      </c>
      <c r="E597">
        <v>37</v>
      </c>
      <c r="G597" s="1">
        <v>11629.84</v>
      </c>
      <c r="H597" t="s">
        <v>3794</v>
      </c>
      <c r="I597" t="s">
        <v>3795</v>
      </c>
      <c r="J597" s="6">
        <v>43382</v>
      </c>
      <c r="K597" t="s">
        <v>3796</v>
      </c>
    </row>
    <row r="598" spans="1:11">
      <c r="A598">
        <v>16</v>
      </c>
      <c r="B598" t="s">
        <v>1333</v>
      </c>
      <c r="C598" s="25" t="s">
        <v>129</v>
      </c>
      <c r="E598">
        <v>4</v>
      </c>
      <c r="G598" s="1">
        <v>24715.360000000001</v>
      </c>
      <c r="H598" t="s">
        <v>3797</v>
      </c>
      <c r="I598" t="s">
        <v>3798</v>
      </c>
      <c r="J598" s="6">
        <v>43385</v>
      </c>
      <c r="K598" t="s">
        <v>3799</v>
      </c>
    </row>
    <row r="599" spans="1:11">
      <c r="A599">
        <v>17</v>
      </c>
      <c r="B599" t="s">
        <v>1574</v>
      </c>
      <c r="C599" s="25" t="s">
        <v>606</v>
      </c>
      <c r="E599">
        <v>1</v>
      </c>
      <c r="G599" s="181">
        <v>2418.7399999999998</v>
      </c>
      <c r="H599" t="s">
        <v>3800</v>
      </c>
      <c r="I599" t="s">
        <v>3801</v>
      </c>
      <c r="J599" s="6">
        <v>43388</v>
      </c>
      <c r="K599" t="s">
        <v>3802</v>
      </c>
    </row>
    <row r="600" spans="1:11">
      <c r="A600">
        <v>18</v>
      </c>
      <c r="B600" t="s">
        <v>1325</v>
      </c>
      <c r="C600" s="25" t="s">
        <v>129</v>
      </c>
      <c r="E600">
        <v>5</v>
      </c>
      <c r="G600" s="1">
        <v>15937.1</v>
      </c>
      <c r="H600" t="s">
        <v>3803</v>
      </c>
      <c r="I600" t="s">
        <v>3804</v>
      </c>
      <c r="J600" s="6">
        <v>43388</v>
      </c>
      <c r="K600" t="s">
        <v>3805</v>
      </c>
    </row>
    <row r="601" spans="1:11">
      <c r="A601">
        <v>19</v>
      </c>
      <c r="B601" t="s">
        <v>1458</v>
      </c>
      <c r="C601" s="25" t="s">
        <v>1459</v>
      </c>
      <c r="E601">
        <v>10</v>
      </c>
      <c r="G601" s="1">
        <v>2169.3000000000002</v>
      </c>
      <c r="H601" t="s">
        <v>3806</v>
      </c>
      <c r="I601" t="s">
        <v>3807</v>
      </c>
      <c r="J601" s="6">
        <v>43390</v>
      </c>
      <c r="K601" t="s">
        <v>3808</v>
      </c>
    </row>
    <row r="602" spans="1:11">
      <c r="A602">
        <v>20</v>
      </c>
      <c r="B602" t="s">
        <v>1242</v>
      </c>
      <c r="C602" s="25" t="s">
        <v>3809</v>
      </c>
      <c r="E602">
        <v>1</v>
      </c>
      <c r="G602" s="1">
        <v>3042.55</v>
      </c>
      <c r="H602" t="s">
        <v>3810</v>
      </c>
      <c r="I602" t="s">
        <v>3811</v>
      </c>
      <c r="J602" s="6">
        <v>43390</v>
      </c>
      <c r="K602" t="s">
        <v>3812</v>
      </c>
    </row>
    <row r="603" spans="1:11">
      <c r="A603">
        <v>21</v>
      </c>
      <c r="B603" t="s">
        <v>1389</v>
      </c>
      <c r="C603" s="25" t="s">
        <v>135</v>
      </c>
      <c r="E603">
        <v>95</v>
      </c>
      <c r="G603" s="1">
        <v>6931.2</v>
      </c>
      <c r="H603" t="s">
        <v>3813</v>
      </c>
      <c r="I603" t="s">
        <v>3814</v>
      </c>
      <c r="J603" s="6">
        <v>43391</v>
      </c>
      <c r="K603" t="s">
        <v>3815</v>
      </c>
    </row>
    <row r="604" spans="1:11">
      <c r="A604">
        <v>22</v>
      </c>
      <c r="B604" t="s">
        <v>1432</v>
      </c>
      <c r="C604" s="25" t="s">
        <v>129</v>
      </c>
      <c r="E604">
        <v>14</v>
      </c>
      <c r="G604" s="1">
        <v>11667.6</v>
      </c>
      <c r="H604" t="s">
        <v>3816</v>
      </c>
      <c r="I604" t="s">
        <v>3817</v>
      </c>
      <c r="J604" s="6">
        <v>43391</v>
      </c>
      <c r="K604" t="s">
        <v>3818</v>
      </c>
    </row>
    <row r="605" spans="1:11">
      <c r="A605">
        <v>23</v>
      </c>
      <c r="B605" t="s">
        <v>1323</v>
      </c>
      <c r="C605" s="25" t="s">
        <v>129</v>
      </c>
      <c r="E605">
        <v>7</v>
      </c>
      <c r="G605" s="1">
        <v>8258.4599999999991</v>
      </c>
      <c r="H605" t="s">
        <v>3819</v>
      </c>
      <c r="I605" t="s">
        <v>3820</v>
      </c>
      <c r="J605" s="6">
        <v>43391</v>
      </c>
      <c r="K605" t="s">
        <v>3821</v>
      </c>
    </row>
    <row r="606" spans="1:11">
      <c r="A606">
        <v>24</v>
      </c>
      <c r="B606" t="s">
        <v>1122</v>
      </c>
      <c r="C606" s="25" t="s">
        <v>954</v>
      </c>
      <c r="E606">
        <v>20</v>
      </c>
      <c r="G606" s="9">
        <v>1484.2</v>
      </c>
      <c r="H606" t="s">
        <v>3822</v>
      </c>
      <c r="I606" t="s">
        <v>3823</v>
      </c>
      <c r="J606" s="6">
        <v>43395</v>
      </c>
      <c r="K606" t="s">
        <v>3824</v>
      </c>
    </row>
    <row r="607" spans="1:11">
      <c r="A607">
        <v>25</v>
      </c>
      <c r="B607" t="s">
        <v>1179</v>
      </c>
      <c r="C607" s="25" t="s">
        <v>576</v>
      </c>
      <c r="E607" s="7">
        <v>114</v>
      </c>
      <c r="G607" s="1">
        <v>26436.6</v>
      </c>
      <c r="H607" t="s">
        <v>3825</v>
      </c>
      <c r="I607" t="s">
        <v>3826</v>
      </c>
      <c r="J607" s="6">
        <v>43396</v>
      </c>
      <c r="K607" t="s">
        <v>3827</v>
      </c>
    </row>
    <row r="608" spans="1:11">
      <c r="A608">
        <v>26</v>
      </c>
      <c r="B608" t="s">
        <v>889</v>
      </c>
      <c r="C608" s="25" t="s">
        <v>508</v>
      </c>
      <c r="E608" s="7">
        <v>2</v>
      </c>
      <c r="G608" s="1">
        <v>2189.2800000000002</v>
      </c>
      <c r="H608" t="s">
        <v>3828</v>
      </c>
      <c r="I608" t="s">
        <v>3829</v>
      </c>
      <c r="J608" s="6">
        <v>43396</v>
      </c>
      <c r="K608" t="s">
        <v>3830</v>
      </c>
    </row>
    <row r="609" spans="1:11">
      <c r="A609">
        <v>27</v>
      </c>
      <c r="B609" t="s">
        <v>1282</v>
      </c>
      <c r="C609" s="25" t="s">
        <v>3392</v>
      </c>
      <c r="E609">
        <v>5</v>
      </c>
      <c r="G609" s="1">
        <v>2147.1</v>
      </c>
      <c r="H609" t="s">
        <v>3831</v>
      </c>
      <c r="I609" t="s">
        <v>3832</v>
      </c>
      <c r="J609" s="6">
        <v>43396</v>
      </c>
      <c r="K609" t="s">
        <v>3833</v>
      </c>
    </row>
    <row r="610" spans="1:11">
      <c r="A610">
        <v>28</v>
      </c>
      <c r="B610" t="s">
        <v>1512</v>
      </c>
      <c r="C610" s="25" t="s">
        <v>135</v>
      </c>
      <c r="G610" s="1">
        <v>3370.72</v>
      </c>
      <c r="H610" t="s">
        <v>3834</v>
      </c>
      <c r="I610" t="s">
        <v>3835</v>
      </c>
      <c r="K610" t="s">
        <v>3836</v>
      </c>
    </row>
    <row r="611" spans="1:11">
      <c r="A611">
        <v>29</v>
      </c>
      <c r="B611" t="s">
        <v>1408</v>
      </c>
      <c r="C611" s="25" t="s">
        <v>1037</v>
      </c>
      <c r="E611">
        <v>1</v>
      </c>
      <c r="G611" s="170">
        <v>1462.46</v>
      </c>
      <c r="H611" t="s">
        <v>3837</v>
      </c>
      <c r="I611" t="s">
        <v>3838</v>
      </c>
    </row>
    <row r="612" spans="1:11">
      <c r="A612">
        <v>30</v>
      </c>
      <c r="B612" t="s">
        <v>1427</v>
      </c>
      <c r="C612" s="25" t="s">
        <v>135</v>
      </c>
      <c r="E612">
        <v>384</v>
      </c>
      <c r="G612" s="1">
        <v>6923.52</v>
      </c>
      <c r="H612" t="s">
        <v>3837</v>
      </c>
      <c r="I612" t="s">
        <v>3839</v>
      </c>
      <c r="J612" s="6">
        <v>43402</v>
      </c>
      <c r="K612" t="s">
        <v>3840</v>
      </c>
    </row>
    <row r="613" spans="1:11">
      <c r="A613">
        <v>31</v>
      </c>
      <c r="B613" t="s">
        <v>1412</v>
      </c>
      <c r="C613" s="25" t="s">
        <v>814</v>
      </c>
      <c r="E613">
        <v>4</v>
      </c>
      <c r="G613" s="1">
        <v>1671.32</v>
      </c>
      <c r="H613" t="s">
        <v>3841</v>
      </c>
      <c r="I613" t="s">
        <v>3842</v>
      </c>
      <c r="J613" s="6">
        <v>43402</v>
      </c>
      <c r="K613" t="s">
        <v>3843</v>
      </c>
    </row>
    <row r="614" spans="1:11">
      <c r="A614">
        <v>32</v>
      </c>
      <c r="B614" t="s">
        <v>1245</v>
      </c>
      <c r="C614" s="25" t="s">
        <v>3392</v>
      </c>
      <c r="E614">
        <v>19</v>
      </c>
      <c r="G614" s="1">
        <v>1470.6</v>
      </c>
      <c r="H614" t="s">
        <v>3844</v>
      </c>
      <c r="I614" t="s">
        <v>3845</v>
      </c>
      <c r="K614" t="s">
        <v>3846</v>
      </c>
    </row>
    <row r="615" spans="1:11">
      <c r="A615">
        <v>33</v>
      </c>
      <c r="B615" t="s">
        <v>1335</v>
      </c>
      <c r="C615" s="25" t="s">
        <v>129</v>
      </c>
      <c r="E615">
        <v>1</v>
      </c>
      <c r="G615" s="1">
        <v>1058</v>
      </c>
      <c r="H615" t="s">
        <v>3847</v>
      </c>
      <c r="I615" t="s">
        <v>3848</v>
      </c>
      <c r="J615" s="6">
        <v>43402</v>
      </c>
      <c r="K615" t="s">
        <v>3849</v>
      </c>
    </row>
    <row r="616" spans="1:11">
      <c r="A616">
        <v>34</v>
      </c>
      <c r="B616" t="s">
        <v>1306</v>
      </c>
      <c r="C616" s="25" t="s">
        <v>135</v>
      </c>
      <c r="E616">
        <v>15</v>
      </c>
      <c r="F616" s="7"/>
      <c r="G616" s="1">
        <v>5769</v>
      </c>
      <c r="H616" t="s">
        <v>3850</v>
      </c>
      <c r="I616" t="s">
        <v>3851</v>
      </c>
      <c r="J616" s="6">
        <v>43402</v>
      </c>
      <c r="K616" t="s">
        <v>3852</v>
      </c>
    </row>
    <row r="617" spans="1:11">
      <c r="A617">
        <v>35</v>
      </c>
      <c r="B617" t="s">
        <v>1448</v>
      </c>
      <c r="C617" s="25" t="s">
        <v>814</v>
      </c>
      <c r="E617">
        <v>3</v>
      </c>
      <c r="G617" s="1">
        <v>1669.29</v>
      </c>
      <c r="H617" t="s">
        <v>3853</v>
      </c>
      <c r="I617" t="s">
        <v>3854</v>
      </c>
      <c r="J617" s="6">
        <v>43402</v>
      </c>
      <c r="K617" t="s">
        <v>3855</v>
      </c>
    </row>
    <row r="618" spans="1:11">
      <c r="A618">
        <v>36</v>
      </c>
      <c r="B618" t="s">
        <v>1364</v>
      </c>
      <c r="C618" s="25" t="s">
        <v>1365</v>
      </c>
      <c r="E618">
        <v>12</v>
      </c>
      <c r="G618" s="1">
        <v>8140.68</v>
      </c>
      <c r="H618" t="s">
        <v>3856</v>
      </c>
      <c r="I618" t="s">
        <v>3857</v>
      </c>
      <c r="J618" s="6">
        <v>43403</v>
      </c>
      <c r="K618" t="s">
        <v>3858</v>
      </c>
    </row>
    <row r="619" spans="1:11">
      <c r="A619">
        <v>37</v>
      </c>
      <c r="B619" t="s">
        <v>889</v>
      </c>
      <c r="C619" s="25" t="s">
        <v>508</v>
      </c>
      <c r="E619">
        <v>13</v>
      </c>
      <c r="G619" s="1">
        <v>14230.32</v>
      </c>
      <c r="H619" t="s">
        <v>3859</v>
      </c>
      <c r="I619" t="s">
        <v>3860</v>
      </c>
      <c r="J619" s="6">
        <v>43403</v>
      </c>
      <c r="K619" t="s">
        <v>3861</v>
      </c>
    </row>
    <row r="620" spans="1:11">
      <c r="A620">
        <v>38</v>
      </c>
      <c r="B620" t="s">
        <v>1437</v>
      </c>
      <c r="C620" s="25" t="s">
        <v>135</v>
      </c>
      <c r="E620">
        <v>13</v>
      </c>
      <c r="G620" s="1">
        <v>4694.82</v>
      </c>
      <c r="H620" t="s">
        <v>3862</v>
      </c>
      <c r="I620" t="s">
        <v>3863</v>
      </c>
      <c r="J620" s="6">
        <v>43403</v>
      </c>
      <c r="K620" t="s">
        <v>3864</v>
      </c>
    </row>
    <row r="621" spans="1:11">
      <c r="A621">
        <v>39</v>
      </c>
      <c r="B621" t="s">
        <v>1137</v>
      </c>
      <c r="C621" s="25" t="s">
        <v>954</v>
      </c>
      <c r="E621">
        <v>59</v>
      </c>
      <c r="G621" s="1">
        <v>6409.76</v>
      </c>
      <c r="H621" t="s">
        <v>3865</v>
      </c>
      <c r="I621" t="s">
        <v>3866</v>
      </c>
      <c r="J621" s="6">
        <v>43403</v>
      </c>
      <c r="K621" t="s">
        <v>3867</v>
      </c>
    </row>
    <row r="622" spans="1:11">
      <c r="A622">
        <v>40</v>
      </c>
      <c r="B622" t="s">
        <v>1367</v>
      </c>
      <c r="C622" s="25" t="s">
        <v>1595</v>
      </c>
      <c r="E622">
        <v>11</v>
      </c>
      <c r="G622" s="181">
        <v>6450.29</v>
      </c>
      <c r="H622" t="s">
        <v>3868</v>
      </c>
      <c r="I622" t="s">
        <v>3869</v>
      </c>
      <c r="J622" s="6">
        <v>43403</v>
      </c>
      <c r="K622" t="s">
        <v>3870</v>
      </c>
    </row>
    <row r="623" spans="1:11">
      <c r="A623">
        <v>41</v>
      </c>
      <c r="B623" t="s">
        <v>1419</v>
      </c>
      <c r="C623" s="25" t="s">
        <v>129</v>
      </c>
      <c r="E623">
        <v>6</v>
      </c>
      <c r="G623" s="1">
        <v>9345.48</v>
      </c>
      <c r="H623" t="s">
        <v>3871</v>
      </c>
      <c r="I623" t="s">
        <v>3872</v>
      </c>
      <c r="J623" s="6">
        <v>43404</v>
      </c>
      <c r="K623" t="s">
        <v>3873</v>
      </c>
    </row>
    <row r="624" spans="1:11">
      <c r="G624" s="5">
        <f>SUM(G583:G623)</f>
        <v>261674.42000000007</v>
      </c>
      <c r="J624" s="6"/>
    </row>
    <row r="625" spans="1:11">
      <c r="A625">
        <v>1</v>
      </c>
      <c r="B625" t="s">
        <v>1429</v>
      </c>
      <c r="C625" s="25" t="s">
        <v>135</v>
      </c>
      <c r="E625">
        <v>32</v>
      </c>
      <c r="G625" s="1">
        <v>2029.76</v>
      </c>
      <c r="H625" t="s">
        <v>3874</v>
      </c>
      <c r="I625" t="s">
        <v>3875</v>
      </c>
      <c r="J625" s="6">
        <v>43405</v>
      </c>
      <c r="K625" t="s">
        <v>3876</v>
      </c>
    </row>
    <row r="626" spans="1:11">
      <c r="A626">
        <v>2</v>
      </c>
      <c r="B626" t="s">
        <v>1454</v>
      </c>
      <c r="C626" s="25" t="s">
        <v>135</v>
      </c>
      <c r="E626">
        <v>40</v>
      </c>
      <c r="G626" s="1">
        <v>5266.8</v>
      </c>
      <c r="H626" t="s">
        <v>3877</v>
      </c>
      <c r="I626" t="s">
        <v>3878</v>
      </c>
      <c r="J626" s="6">
        <v>43406</v>
      </c>
      <c r="K626" t="s">
        <v>3879</v>
      </c>
    </row>
    <row r="627" spans="1:11">
      <c r="A627">
        <v>3</v>
      </c>
      <c r="B627" t="s">
        <v>1327</v>
      </c>
      <c r="C627" s="25" t="s">
        <v>129</v>
      </c>
      <c r="E627">
        <v>7</v>
      </c>
      <c r="G627" s="1">
        <v>12240.69</v>
      </c>
      <c r="H627" t="s">
        <v>3880</v>
      </c>
      <c r="I627" t="s">
        <v>3881</v>
      </c>
      <c r="J627" s="6">
        <v>43406</v>
      </c>
      <c r="K627" t="s">
        <v>3882</v>
      </c>
    </row>
    <row r="628" spans="1:11">
      <c r="A628">
        <v>4</v>
      </c>
      <c r="B628" t="s">
        <v>1375</v>
      </c>
      <c r="C628" s="25" t="s">
        <v>135</v>
      </c>
      <c r="E628">
        <v>1</v>
      </c>
      <c r="G628" s="1">
        <v>519.64</v>
      </c>
      <c r="H628" t="s">
        <v>3883</v>
      </c>
      <c r="I628" t="s">
        <v>3884</v>
      </c>
      <c r="J628" s="6">
        <v>43406</v>
      </c>
      <c r="K628" t="s">
        <v>3885</v>
      </c>
    </row>
    <row r="629" spans="1:11">
      <c r="A629">
        <v>5</v>
      </c>
      <c r="B629" t="s">
        <v>1468</v>
      </c>
      <c r="C629" s="25" t="s">
        <v>135</v>
      </c>
      <c r="E629">
        <v>5</v>
      </c>
      <c r="G629" s="181">
        <v>1282.1500000000001</v>
      </c>
      <c r="H629" t="s">
        <v>3886</v>
      </c>
      <c r="I629" t="s">
        <v>3887</v>
      </c>
      <c r="J629" s="6">
        <v>43406</v>
      </c>
      <c r="K629" t="s">
        <v>3888</v>
      </c>
    </row>
    <row r="630" spans="1:11">
      <c r="A630">
        <v>6</v>
      </c>
      <c r="B630" t="s">
        <v>1640</v>
      </c>
      <c r="C630" s="25" t="s">
        <v>135</v>
      </c>
      <c r="E630">
        <v>17</v>
      </c>
      <c r="G630" s="1">
        <v>5026.7299999999996</v>
      </c>
      <c r="H630" t="s">
        <v>3889</v>
      </c>
      <c r="I630" t="s">
        <v>3890</v>
      </c>
      <c r="J630" s="6">
        <v>43406</v>
      </c>
      <c r="K630" t="s">
        <v>3891</v>
      </c>
    </row>
    <row r="631" spans="1:11">
      <c r="A631">
        <v>7</v>
      </c>
      <c r="B631" t="s">
        <v>1528</v>
      </c>
      <c r="C631" s="25" t="s">
        <v>279</v>
      </c>
      <c r="E631">
        <v>10</v>
      </c>
      <c r="G631" s="1">
        <v>8682.4</v>
      </c>
      <c r="H631" t="s">
        <v>3892</v>
      </c>
      <c r="I631" t="s">
        <v>3893</v>
      </c>
      <c r="J631" s="6">
        <v>43411</v>
      </c>
      <c r="K631" t="s">
        <v>3894</v>
      </c>
    </row>
    <row r="632" spans="1:11">
      <c r="A632">
        <v>8</v>
      </c>
      <c r="B632" t="s">
        <v>1441</v>
      </c>
      <c r="C632" s="25" t="s">
        <v>135</v>
      </c>
      <c r="E632">
        <v>5</v>
      </c>
      <c r="G632" s="1">
        <v>2492.9</v>
      </c>
      <c r="H632" t="s">
        <v>3895</v>
      </c>
      <c r="I632" t="s">
        <v>2451</v>
      </c>
      <c r="J632" s="6">
        <v>43411</v>
      </c>
      <c r="K632" t="s">
        <v>3896</v>
      </c>
    </row>
    <row r="633" spans="1:11">
      <c r="A633">
        <v>9</v>
      </c>
      <c r="B633" t="s">
        <v>1273</v>
      </c>
      <c r="C633" s="25" t="s">
        <v>508</v>
      </c>
      <c r="E633">
        <v>74</v>
      </c>
      <c r="G633" s="1">
        <v>1710.14</v>
      </c>
      <c r="H633" t="s">
        <v>3897</v>
      </c>
      <c r="I633" t="s">
        <v>2454</v>
      </c>
      <c r="J633" s="6">
        <v>43411</v>
      </c>
      <c r="K633" t="s">
        <v>3898</v>
      </c>
    </row>
    <row r="634" spans="1:11">
      <c r="A634">
        <v>10</v>
      </c>
      <c r="B634" t="s">
        <v>1580</v>
      </c>
      <c r="C634" s="25" t="s">
        <v>606</v>
      </c>
      <c r="E634">
        <v>1</v>
      </c>
      <c r="G634" s="1">
        <v>298</v>
      </c>
      <c r="H634" t="s">
        <v>3899</v>
      </c>
      <c r="I634" t="s">
        <v>2456</v>
      </c>
      <c r="J634" s="6">
        <v>43411</v>
      </c>
      <c r="K634" t="s">
        <v>3900</v>
      </c>
    </row>
    <row r="635" spans="1:11">
      <c r="A635">
        <v>11</v>
      </c>
      <c r="B635" t="s">
        <v>1398</v>
      </c>
      <c r="C635" s="25" t="s">
        <v>508</v>
      </c>
      <c r="E635">
        <v>19</v>
      </c>
      <c r="G635" s="1">
        <v>15534.97</v>
      </c>
      <c r="H635" t="s">
        <v>2458</v>
      </c>
      <c r="I635" t="s">
        <v>2459</v>
      </c>
      <c r="J635" s="6">
        <v>43412</v>
      </c>
      <c r="K635" t="s">
        <v>3900</v>
      </c>
    </row>
    <row r="636" spans="1:11">
      <c r="A636">
        <v>12</v>
      </c>
      <c r="B636" t="s">
        <v>1500</v>
      </c>
      <c r="C636" s="25" t="s">
        <v>121</v>
      </c>
      <c r="E636">
        <v>21</v>
      </c>
      <c r="G636" s="1">
        <v>16672.740000000002</v>
      </c>
      <c r="H636" t="s">
        <v>3901</v>
      </c>
      <c r="I636" t="s">
        <v>2462</v>
      </c>
      <c r="J636" s="6">
        <v>43413</v>
      </c>
      <c r="K636" t="s">
        <v>3902</v>
      </c>
    </row>
    <row r="637" spans="1:11">
      <c r="A637">
        <v>13</v>
      </c>
      <c r="B637" t="s">
        <v>1434</v>
      </c>
      <c r="C637" s="25" t="s">
        <v>315</v>
      </c>
      <c r="E637">
        <v>6</v>
      </c>
      <c r="G637" s="1">
        <v>4273.68</v>
      </c>
      <c r="H637" t="s">
        <v>3903</v>
      </c>
      <c r="I637" t="s">
        <v>2464</v>
      </c>
      <c r="J637" s="6">
        <v>43415</v>
      </c>
      <c r="K637" t="s">
        <v>3904</v>
      </c>
    </row>
    <row r="638" spans="1:11">
      <c r="A638">
        <v>14</v>
      </c>
      <c r="B638" t="s">
        <v>1406</v>
      </c>
      <c r="C638" s="25" t="s">
        <v>129</v>
      </c>
      <c r="E638">
        <v>20</v>
      </c>
      <c r="G638" s="1">
        <v>23617.599999999999</v>
      </c>
      <c r="H638" t="s">
        <v>3905</v>
      </c>
      <c r="I638" t="s">
        <v>2467</v>
      </c>
      <c r="J638" s="6">
        <v>43415</v>
      </c>
      <c r="K638" t="s">
        <v>3906</v>
      </c>
    </row>
    <row r="639" spans="1:11">
      <c r="A639">
        <v>15</v>
      </c>
      <c r="B639" t="s">
        <v>1531</v>
      </c>
      <c r="C639" s="25" t="s">
        <v>135</v>
      </c>
      <c r="E639">
        <v>44</v>
      </c>
      <c r="G639" s="1">
        <v>7868.52</v>
      </c>
      <c r="H639" t="s">
        <v>2470</v>
      </c>
      <c r="I639" t="s">
        <v>2471</v>
      </c>
      <c r="J639" s="6">
        <v>43416</v>
      </c>
      <c r="K639" t="s">
        <v>3907</v>
      </c>
    </row>
    <row r="640" spans="1:11">
      <c r="A640">
        <v>16</v>
      </c>
      <c r="B640" t="s">
        <v>1602</v>
      </c>
      <c r="C640" s="25" t="s">
        <v>3644</v>
      </c>
      <c r="E640">
        <v>5</v>
      </c>
      <c r="G640" s="1">
        <v>1629.45</v>
      </c>
      <c r="H640" t="s">
        <v>3908</v>
      </c>
      <c r="I640" t="s">
        <v>2473</v>
      </c>
      <c r="J640" s="6">
        <v>43418</v>
      </c>
      <c r="K640" t="s">
        <v>3909</v>
      </c>
    </row>
    <row r="641" spans="1:12">
      <c r="A641">
        <v>17</v>
      </c>
      <c r="B641" t="s">
        <v>1456</v>
      </c>
      <c r="C641" s="25" t="s">
        <v>3910</v>
      </c>
      <c r="E641" s="83">
        <v>100</v>
      </c>
      <c r="G641" s="1">
        <v>6109</v>
      </c>
      <c r="H641" t="s">
        <v>3911</v>
      </c>
      <c r="I641" t="s">
        <v>2476</v>
      </c>
      <c r="J641" s="6">
        <v>43418</v>
      </c>
      <c r="K641" t="s">
        <v>3912</v>
      </c>
    </row>
    <row r="642" spans="1:12">
      <c r="A642">
        <v>18</v>
      </c>
      <c r="B642" t="s">
        <v>1072</v>
      </c>
      <c r="C642" s="25" t="s">
        <v>508</v>
      </c>
      <c r="E642" s="83">
        <v>15</v>
      </c>
      <c r="G642" s="1">
        <v>16026</v>
      </c>
      <c r="H642" t="s">
        <v>2478</v>
      </c>
      <c r="I642" t="s">
        <v>2479</v>
      </c>
      <c r="J642" s="6">
        <v>43419</v>
      </c>
      <c r="K642" t="s">
        <v>3913</v>
      </c>
    </row>
    <row r="643" spans="1:12">
      <c r="A643">
        <v>19</v>
      </c>
      <c r="B643" t="s">
        <v>833</v>
      </c>
      <c r="C643" s="25" t="s">
        <v>1047</v>
      </c>
      <c r="E643" s="83">
        <v>1</v>
      </c>
      <c r="G643" s="1">
        <v>11493.76</v>
      </c>
      <c r="H643" t="s">
        <v>2481</v>
      </c>
      <c r="I643" t="s">
        <v>2482</v>
      </c>
      <c r="J643" s="6">
        <v>43423</v>
      </c>
      <c r="K643" t="s">
        <v>3914</v>
      </c>
    </row>
    <row r="644" spans="1:12">
      <c r="A644">
        <v>20</v>
      </c>
      <c r="B644" t="s">
        <v>833</v>
      </c>
      <c r="C644" s="25" t="s">
        <v>1047</v>
      </c>
      <c r="E644" s="83">
        <v>1</v>
      </c>
      <c r="G644" s="1">
        <v>11493.76</v>
      </c>
      <c r="H644" t="s">
        <v>2483</v>
      </c>
      <c r="I644" t="s">
        <v>3915</v>
      </c>
      <c r="J644" s="6">
        <v>43430</v>
      </c>
      <c r="K644" t="s">
        <v>3916</v>
      </c>
    </row>
    <row r="645" spans="1:12">
      <c r="A645">
        <v>21</v>
      </c>
      <c r="B645" t="s">
        <v>833</v>
      </c>
      <c r="C645" s="25" t="s">
        <v>1047</v>
      </c>
      <c r="E645" s="83">
        <v>1</v>
      </c>
      <c r="G645" s="1">
        <v>11493.76</v>
      </c>
      <c r="H645" t="s">
        <v>2486</v>
      </c>
      <c r="I645" t="s">
        <v>3917</v>
      </c>
      <c r="J645" s="6">
        <v>43430</v>
      </c>
      <c r="K645" t="s">
        <v>3918</v>
      </c>
    </row>
    <row r="646" spans="1:12">
      <c r="A646">
        <v>22</v>
      </c>
      <c r="B646" t="s">
        <v>833</v>
      </c>
      <c r="C646" s="25" t="s">
        <v>1047</v>
      </c>
      <c r="E646" s="83">
        <v>1</v>
      </c>
      <c r="G646" s="1">
        <v>11493.76</v>
      </c>
      <c r="H646" t="s">
        <v>3919</v>
      </c>
      <c r="I646" t="s">
        <v>3920</v>
      </c>
      <c r="J646" s="6">
        <v>43430</v>
      </c>
      <c r="K646" t="s">
        <v>3921</v>
      </c>
    </row>
    <row r="647" spans="1:12">
      <c r="A647">
        <v>23</v>
      </c>
      <c r="B647" t="s">
        <v>1290</v>
      </c>
      <c r="C647" s="25" t="s">
        <v>3593</v>
      </c>
      <c r="E647" s="83">
        <v>151</v>
      </c>
      <c r="G647" s="1">
        <v>1389.2</v>
      </c>
      <c r="H647" t="s">
        <v>3922</v>
      </c>
      <c r="I647" t="s">
        <v>2484</v>
      </c>
      <c r="J647" s="6">
        <v>43423</v>
      </c>
      <c r="K647" t="s">
        <v>3923</v>
      </c>
      <c r="L647" s="11">
        <f>+G660+G660</f>
        <v>2907.84</v>
      </c>
    </row>
    <row r="648" spans="1:12">
      <c r="A648">
        <v>24</v>
      </c>
      <c r="B648" t="s">
        <v>1584</v>
      </c>
      <c r="C648" s="25" t="s">
        <v>347</v>
      </c>
      <c r="E648">
        <v>30</v>
      </c>
      <c r="G648" s="1">
        <v>3746.4</v>
      </c>
      <c r="H648" t="s">
        <v>3924</v>
      </c>
      <c r="I648" t="s">
        <v>2487</v>
      </c>
      <c r="J648" s="6">
        <v>43423</v>
      </c>
      <c r="K648" t="s">
        <v>3925</v>
      </c>
    </row>
    <row r="649" spans="1:12">
      <c r="A649">
        <v>25</v>
      </c>
      <c r="B649" t="s">
        <v>1584</v>
      </c>
      <c r="C649" s="25" t="s">
        <v>347</v>
      </c>
      <c r="E649">
        <v>24</v>
      </c>
      <c r="G649" s="1">
        <v>2997.12</v>
      </c>
      <c r="H649" t="s">
        <v>3926</v>
      </c>
      <c r="I649" t="s">
        <v>3927</v>
      </c>
      <c r="J649" s="6">
        <v>43423</v>
      </c>
      <c r="K649" t="s">
        <v>3928</v>
      </c>
    </row>
    <row r="650" spans="1:12">
      <c r="A650">
        <v>26</v>
      </c>
      <c r="B650" t="s">
        <v>1584</v>
      </c>
      <c r="C650" s="25" t="s">
        <v>347</v>
      </c>
      <c r="E650">
        <v>24</v>
      </c>
      <c r="G650" s="1">
        <v>2997.12</v>
      </c>
      <c r="H650" t="s">
        <v>3929</v>
      </c>
      <c r="I650" t="s">
        <v>3930</v>
      </c>
      <c r="J650" s="6">
        <v>43423</v>
      </c>
      <c r="K650" t="s">
        <v>3931</v>
      </c>
    </row>
    <row r="651" spans="1:12">
      <c r="A651">
        <v>27</v>
      </c>
      <c r="B651" t="s">
        <v>1410</v>
      </c>
      <c r="C651" s="25" t="s">
        <v>129</v>
      </c>
      <c r="E651">
        <v>6</v>
      </c>
      <c r="G651" s="1">
        <v>5558.4</v>
      </c>
      <c r="H651" t="s">
        <v>3932</v>
      </c>
      <c r="I651" t="s">
        <v>3933</v>
      </c>
      <c r="J651" s="6">
        <v>43423</v>
      </c>
      <c r="K651" t="s">
        <v>3934</v>
      </c>
    </row>
    <row r="652" spans="1:12">
      <c r="A652">
        <v>28</v>
      </c>
      <c r="B652" t="s">
        <v>1425</v>
      </c>
      <c r="C652" s="25" t="s">
        <v>129</v>
      </c>
      <c r="E652">
        <v>1</v>
      </c>
      <c r="G652" s="1">
        <v>4366</v>
      </c>
      <c r="H652" t="s">
        <v>3935</v>
      </c>
      <c r="I652" t="s">
        <v>3936</v>
      </c>
      <c r="J652" s="6">
        <v>43423</v>
      </c>
      <c r="K652" t="s">
        <v>3937</v>
      </c>
    </row>
    <row r="653" spans="1:12">
      <c r="A653">
        <v>29</v>
      </c>
      <c r="B653" t="s">
        <v>1247</v>
      </c>
      <c r="C653" s="25" t="s">
        <v>954</v>
      </c>
      <c r="E653">
        <v>138</v>
      </c>
      <c r="G653" s="1">
        <v>4014.42</v>
      </c>
      <c r="H653" t="s">
        <v>3938</v>
      </c>
      <c r="I653" t="s">
        <v>3939</v>
      </c>
      <c r="J653" s="6">
        <v>43424</v>
      </c>
      <c r="K653" t="s">
        <v>3940</v>
      </c>
    </row>
    <row r="654" spans="1:12">
      <c r="A654">
        <v>30</v>
      </c>
      <c r="B654" t="s">
        <v>1576</v>
      </c>
      <c r="C654" s="25" t="s">
        <v>1506</v>
      </c>
      <c r="E654">
        <v>1</v>
      </c>
      <c r="G654" s="1">
        <v>2326.84</v>
      </c>
      <c r="H654" t="s">
        <v>3941</v>
      </c>
      <c r="I654" t="s">
        <v>3942</v>
      </c>
      <c r="J654" s="6">
        <v>43424</v>
      </c>
      <c r="K654" t="s">
        <v>3943</v>
      </c>
    </row>
    <row r="655" spans="1:12">
      <c r="A655">
        <v>31</v>
      </c>
      <c r="B655" t="s">
        <v>1503</v>
      </c>
      <c r="C655" s="25" t="s">
        <v>135</v>
      </c>
      <c r="E655">
        <v>259</v>
      </c>
      <c r="G655" s="1">
        <v>14864.01</v>
      </c>
      <c r="H655" t="s">
        <v>3944</v>
      </c>
      <c r="I655" t="s">
        <v>3945</v>
      </c>
      <c r="K655" t="s">
        <v>3946</v>
      </c>
    </row>
    <row r="656" spans="1:12">
      <c r="A656">
        <v>32</v>
      </c>
      <c r="B656" t="s">
        <v>1318</v>
      </c>
      <c r="C656" s="25" t="s">
        <v>625</v>
      </c>
      <c r="E656">
        <v>32</v>
      </c>
      <c r="G656" s="1">
        <v>21623.360000000001</v>
      </c>
      <c r="H656" t="s">
        <v>3947</v>
      </c>
      <c r="I656" t="s">
        <v>3948</v>
      </c>
      <c r="J656" s="6">
        <v>43431</v>
      </c>
      <c r="K656" t="s">
        <v>3949</v>
      </c>
    </row>
    <row r="657" spans="1:11">
      <c r="A657">
        <v>33</v>
      </c>
      <c r="B657" t="s">
        <v>1072</v>
      </c>
      <c r="C657" s="25" t="s">
        <v>508</v>
      </c>
      <c r="E657">
        <v>10</v>
      </c>
      <c r="G657" s="1">
        <v>10684</v>
      </c>
      <c r="H657" t="s">
        <v>3950</v>
      </c>
      <c r="I657" t="s">
        <v>3951</v>
      </c>
      <c r="J657" s="6">
        <v>43431</v>
      </c>
      <c r="K657" t="s">
        <v>3952</v>
      </c>
    </row>
    <row r="658" spans="1:11">
      <c r="A658">
        <v>34</v>
      </c>
      <c r="B658" t="s">
        <v>889</v>
      </c>
      <c r="C658" s="25" t="s">
        <v>508</v>
      </c>
      <c r="E658">
        <v>5</v>
      </c>
      <c r="G658" s="1">
        <v>5473.2</v>
      </c>
      <c r="H658" t="s">
        <v>3953</v>
      </c>
      <c r="I658" t="s">
        <v>3954</v>
      </c>
      <c r="J658" s="6">
        <v>43431</v>
      </c>
      <c r="K658" t="s">
        <v>3955</v>
      </c>
    </row>
    <row r="659" spans="1:11">
      <c r="A659">
        <v>35</v>
      </c>
      <c r="B659" t="s">
        <v>3956</v>
      </c>
      <c r="C659" s="25" t="s">
        <v>135</v>
      </c>
      <c r="E659">
        <v>14</v>
      </c>
      <c r="G659" s="1">
        <v>2503.62</v>
      </c>
      <c r="H659" t="s">
        <v>3957</v>
      </c>
      <c r="I659" t="s">
        <v>3958</v>
      </c>
      <c r="J659" s="6">
        <v>43431</v>
      </c>
      <c r="K659" t="s">
        <v>3959</v>
      </c>
    </row>
    <row r="660" spans="1:11">
      <c r="A660">
        <v>36</v>
      </c>
      <c r="B660" t="s">
        <v>1284</v>
      </c>
      <c r="C660" s="25" t="s">
        <v>3593</v>
      </c>
      <c r="E660">
        <v>233</v>
      </c>
      <c r="G660" s="1">
        <v>1453.92</v>
      </c>
      <c r="H660" t="s">
        <v>3960</v>
      </c>
      <c r="I660" t="s">
        <v>3961</v>
      </c>
      <c r="J660" s="6">
        <v>43431</v>
      </c>
      <c r="K660" t="s">
        <v>3962</v>
      </c>
    </row>
    <row r="661" spans="1:11">
      <c r="A661">
        <v>37</v>
      </c>
      <c r="B661" t="s">
        <v>1632</v>
      </c>
      <c r="C661" s="25" t="s">
        <v>625</v>
      </c>
      <c r="E661">
        <v>62</v>
      </c>
      <c r="G661" s="1">
        <v>4288.54</v>
      </c>
      <c r="H661" t="s">
        <v>3963</v>
      </c>
      <c r="I661" t="s">
        <v>3964</v>
      </c>
      <c r="J661" s="6">
        <v>43432</v>
      </c>
      <c r="K661" t="s">
        <v>3536</v>
      </c>
    </row>
    <row r="662" spans="1:11">
      <c r="A662">
        <v>37</v>
      </c>
      <c r="B662" t="s">
        <v>1314</v>
      </c>
      <c r="C662" s="25" t="s">
        <v>135</v>
      </c>
      <c r="E662">
        <v>42</v>
      </c>
      <c r="F662" s="131"/>
      <c r="G662" s="1">
        <v>19978.560000000001</v>
      </c>
      <c r="H662" t="s">
        <v>3965</v>
      </c>
      <c r="I662" t="s">
        <v>3966</v>
      </c>
      <c r="J662" s="6">
        <v>43432</v>
      </c>
      <c r="K662" t="s">
        <v>3967</v>
      </c>
    </row>
    <row r="663" spans="1:11">
      <c r="A663">
        <v>38</v>
      </c>
      <c r="B663" t="s">
        <v>1521</v>
      </c>
      <c r="C663" s="25" t="s">
        <v>135</v>
      </c>
      <c r="E663">
        <v>9</v>
      </c>
      <c r="G663" s="1">
        <v>3893.13</v>
      </c>
      <c r="H663" t="s">
        <v>3968</v>
      </c>
      <c r="I663" t="s">
        <v>3969</v>
      </c>
      <c r="J663" s="6">
        <v>43432</v>
      </c>
      <c r="K663" t="s">
        <v>3970</v>
      </c>
    </row>
    <row r="664" spans="1:11">
      <c r="A664">
        <v>39</v>
      </c>
      <c r="B664" t="s">
        <v>1526</v>
      </c>
      <c r="C664" s="92" t="s">
        <v>3971</v>
      </c>
      <c r="E664">
        <v>15</v>
      </c>
      <c r="G664" s="1">
        <v>2248.35</v>
      </c>
      <c r="H664" t="s">
        <v>3972</v>
      </c>
      <c r="I664" t="s">
        <v>3973</v>
      </c>
      <c r="J664" s="6">
        <v>43432</v>
      </c>
      <c r="K664" t="s">
        <v>3974</v>
      </c>
    </row>
    <row r="665" spans="1:11">
      <c r="A665">
        <v>40</v>
      </c>
      <c r="B665" t="s">
        <v>1563</v>
      </c>
      <c r="C665" s="25" t="s">
        <v>625</v>
      </c>
      <c r="E665">
        <v>45</v>
      </c>
      <c r="G665" s="1">
        <v>6362.1</v>
      </c>
      <c r="H665" t="s">
        <v>3975</v>
      </c>
      <c r="I665" t="s">
        <v>3976</v>
      </c>
      <c r="J665" s="6">
        <v>43433</v>
      </c>
      <c r="K665" t="s">
        <v>3777</v>
      </c>
    </row>
    <row r="666" spans="1:11">
      <c r="A666">
        <v>41</v>
      </c>
      <c r="B666" t="s">
        <v>1621</v>
      </c>
      <c r="C666" s="25" t="s">
        <v>129</v>
      </c>
      <c r="E666">
        <v>4</v>
      </c>
      <c r="G666" s="1">
        <v>16672</v>
      </c>
      <c r="H666" t="s">
        <v>3977</v>
      </c>
      <c r="I666" t="s">
        <v>3978</v>
      </c>
      <c r="J666" s="6">
        <v>43433</v>
      </c>
      <c r="K666" t="s">
        <v>3979</v>
      </c>
    </row>
    <row r="667" spans="1:11">
      <c r="A667">
        <v>42</v>
      </c>
      <c r="B667" t="s">
        <v>1621</v>
      </c>
      <c r="C667" s="25" t="s">
        <v>129</v>
      </c>
      <c r="E667">
        <v>4</v>
      </c>
      <c r="G667" s="1">
        <v>16672</v>
      </c>
      <c r="H667" t="s">
        <v>3980</v>
      </c>
      <c r="I667" t="s">
        <v>3981</v>
      </c>
      <c r="J667" s="6">
        <v>43433</v>
      </c>
      <c r="K667" t="s">
        <v>3982</v>
      </c>
    </row>
    <row r="668" spans="1:11">
      <c r="G668" s="5">
        <f>SUM(G625:G667)</f>
        <v>331368.50000000006</v>
      </c>
    </row>
    <row r="669" spans="1:11">
      <c r="A669">
        <v>1</v>
      </c>
      <c r="B669" t="s">
        <v>1550</v>
      </c>
      <c r="C669" s="25" t="s">
        <v>946</v>
      </c>
      <c r="E669">
        <v>18</v>
      </c>
      <c r="G669" s="1">
        <v>4623.66</v>
      </c>
      <c r="H669" t="s">
        <v>3983</v>
      </c>
      <c r="I669" t="s">
        <v>3984</v>
      </c>
      <c r="J669" s="6">
        <v>43437</v>
      </c>
      <c r="K669" t="s">
        <v>3985</v>
      </c>
    </row>
    <row r="670" spans="1:11">
      <c r="A670">
        <v>2</v>
      </c>
      <c r="B670" t="s">
        <v>1550</v>
      </c>
      <c r="C670" s="25" t="s">
        <v>946</v>
      </c>
      <c r="E670">
        <v>18</v>
      </c>
      <c r="G670" s="1">
        <v>4623.66</v>
      </c>
      <c r="H670" t="s">
        <v>3986</v>
      </c>
      <c r="I670" t="s">
        <v>3987</v>
      </c>
      <c r="J670" s="6">
        <v>43437</v>
      </c>
      <c r="K670" t="s">
        <v>3988</v>
      </c>
    </row>
    <row r="671" spans="1:11">
      <c r="A671">
        <v>3</v>
      </c>
      <c r="B671" t="s">
        <v>1518</v>
      </c>
      <c r="C671" s="25" t="s">
        <v>135</v>
      </c>
      <c r="E671">
        <v>7</v>
      </c>
      <c r="G671" s="1">
        <v>5837.28</v>
      </c>
      <c r="H671" t="s">
        <v>3989</v>
      </c>
      <c r="I671" t="s">
        <v>3990</v>
      </c>
      <c r="J671" s="6">
        <v>43437</v>
      </c>
      <c r="K671" t="s">
        <v>3991</v>
      </c>
    </row>
    <row r="672" spans="1:11">
      <c r="A672">
        <v>4</v>
      </c>
      <c r="B672" t="s">
        <v>1348</v>
      </c>
      <c r="C672" s="25" t="s">
        <v>315</v>
      </c>
      <c r="E672">
        <v>8</v>
      </c>
      <c r="G672" s="1">
        <v>1471.04</v>
      </c>
      <c r="H672" t="s">
        <v>3992</v>
      </c>
      <c r="I672" t="s">
        <v>3993</v>
      </c>
      <c r="J672" s="6">
        <v>43438</v>
      </c>
      <c r="K672" t="s">
        <v>3645</v>
      </c>
    </row>
    <row r="673" spans="1:11">
      <c r="A673">
        <v>5</v>
      </c>
      <c r="B673" t="s">
        <v>3994</v>
      </c>
      <c r="C673" s="25" t="s">
        <v>135</v>
      </c>
      <c r="E673" s="75">
        <v>65</v>
      </c>
      <c r="G673" s="1">
        <v>1941.55</v>
      </c>
      <c r="H673" t="s">
        <v>3995</v>
      </c>
      <c r="I673" t="s">
        <v>3996</v>
      </c>
      <c r="J673" s="6">
        <v>43440</v>
      </c>
      <c r="K673" t="s">
        <v>3997</v>
      </c>
    </row>
    <row r="674" spans="1:11">
      <c r="A674">
        <v>6</v>
      </c>
      <c r="B674" t="s">
        <v>1678</v>
      </c>
      <c r="C674" s="25" t="s">
        <v>1679</v>
      </c>
      <c r="E674">
        <v>4</v>
      </c>
      <c r="G674" s="1">
        <v>1051.3599999999999</v>
      </c>
      <c r="H674" t="s">
        <v>3998</v>
      </c>
      <c r="I674" t="s">
        <v>3999</v>
      </c>
      <c r="J674" s="6">
        <v>43440</v>
      </c>
      <c r="K674" t="s">
        <v>104</v>
      </c>
    </row>
    <row r="675" spans="1:11">
      <c r="A675">
        <v>7</v>
      </c>
      <c r="B675" t="s">
        <v>1473</v>
      </c>
      <c r="C675" s="25" t="s">
        <v>135</v>
      </c>
      <c r="E675">
        <v>119</v>
      </c>
      <c r="G675" s="1">
        <v>25219.67</v>
      </c>
      <c r="H675" t="s">
        <v>4000</v>
      </c>
      <c r="I675" t="s">
        <v>4001</v>
      </c>
      <c r="J675" s="6">
        <v>43441</v>
      </c>
      <c r="K675" t="s">
        <v>4002</v>
      </c>
    </row>
    <row r="676" spans="1:11">
      <c r="A676">
        <v>8</v>
      </c>
      <c r="B676" t="s">
        <v>4003</v>
      </c>
      <c r="C676" s="25" t="s">
        <v>1047</v>
      </c>
      <c r="E676">
        <v>2</v>
      </c>
      <c r="G676" s="1">
        <v>10125.64</v>
      </c>
      <c r="H676" t="s">
        <v>4004</v>
      </c>
      <c r="I676" t="s">
        <v>4005</v>
      </c>
      <c r="J676" s="6">
        <v>43441</v>
      </c>
      <c r="K676" t="s">
        <v>4006</v>
      </c>
    </row>
    <row r="677" spans="1:11">
      <c r="A677">
        <v>9</v>
      </c>
      <c r="B677" t="s">
        <v>1475</v>
      </c>
      <c r="C677" s="25" t="s">
        <v>135</v>
      </c>
      <c r="E677" s="75">
        <v>302</v>
      </c>
      <c r="G677" s="1">
        <v>7311.42</v>
      </c>
      <c r="H677" t="s">
        <v>4007</v>
      </c>
      <c r="I677" t="s">
        <v>4008</v>
      </c>
      <c r="J677" s="6">
        <v>43441</v>
      </c>
      <c r="K677" t="s">
        <v>4009</v>
      </c>
    </row>
    <row r="678" spans="1:11">
      <c r="A678">
        <v>10</v>
      </c>
      <c r="B678" t="s">
        <v>1046</v>
      </c>
      <c r="C678" s="25" t="s">
        <v>399</v>
      </c>
      <c r="E678">
        <v>4</v>
      </c>
      <c r="G678" s="1">
        <v>15310.88</v>
      </c>
      <c r="H678" t="s">
        <v>4010</v>
      </c>
      <c r="I678" t="s">
        <v>4011</v>
      </c>
      <c r="J678" s="6">
        <v>43441</v>
      </c>
      <c r="K678" t="s">
        <v>4012</v>
      </c>
    </row>
    <row r="679" spans="1:11">
      <c r="A679">
        <v>11</v>
      </c>
      <c r="B679" s="75" t="s">
        <v>750</v>
      </c>
      <c r="C679" s="25" t="s">
        <v>347</v>
      </c>
      <c r="E679">
        <v>1</v>
      </c>
      <c r="G679" s="1">
        <v>17.57</v>
      </c>
      <c r="H679" t="s">
        <v>4013</v>
      </c>
      <c r="I679" t="s">
        <v>4014</v>
      </c>
      <c r="K679" t="s">
        <v>4015</v>
      </c>
    </row>
    <row r="680" spans="1:11">
      <c r="A680">
        <v>12</v>
      </c>
      <c r="B680" t="s">
        <v>1594</v>
      </c>
      <c r="C680" s="25" t="s">
        <v>4016</v>
      </c>
      <c r="E680">
        <v>1</v>
      </c>
      <c r="G680" s="1">
        <v>2121.87</v>
      </c>
      <c r="H680" t="s">
        <v>4017</v>
      </c>
      <c r="I680" t="s">
        <v>4018</v>
      </c>
      <c r="J680" s="6">
        <v>43445</v>
      </c>
    </row>
    <row r="681" spans="1:11">
      <c r="A681">
        <v>13</v>
      </c>
      <c r="B681" t="s">
        <v>1714</v>
      </c>
      <c r="C681" s="25" t="s">
        <v>606</v>
      </c>
      <c r="E681" s="75">
        <v>1</v>
      </c>
      <c r="G681" s="1">
        <v>441.39</v>
      </c>
      <c r="H681" t="s">
        <v>4019</v>
      </c>
      <c r="I681" t="s">
        <v>4020</v>
      </c>
      <c r="J681" s="6">
        <v>43445</v>
      </c>
      <c r="K681" t="s">
        <v>3900</v>
      </c>
    </row>
    <row r="682" spans="1:11">
      <c r="A682">
        <v>14</v>
      </c>
      <c r="B682" t="s">
        <v>1607</v>
      </c>
      <c r="C682" s="25" t="s">
        <v>139</v>
      </c>
      <c r="E682">
        <v>1</v>
      </c>
      <c r="G682" s="170">
        <v>954.87</v>
      </c>
      <c r="H682" t="s">
        <v>4021</v>
      </c>
      <c r="I682" t="s">
        <v>4022</v>
      </c>
      <c r="J682" s="6">
        <v>43448</v>
      </c>
      <c r="K682" t="s">
        <v>3900</v>
      </c>
    </row>
    <row r="683" spans="1:11">
      <c r="A683">
        <v>15</v>
      </c>
      <c r="B683" t="s">
        <v>1514</v>
      </c>
      <c r="C683" s="25" t="s">
        <v>129</v>
      </c>
      <c r="E683" s="75">
        <v>6</v>
      </c>
      <c r="G683" s="1">
        <v>11399.28</v>
      </c>
      <c r="H683" t="s">
        <v>4023</v>
      </c>
      <c r="I683" t="s">
        <v>4024</v>
      </c>
      <c r="J683" s="6">
        <v>43451</v>
      </c>
      <c r="K683" t="s">
        <v>4025</v>
      </c>
    </row>
    <row r="684" spans="1:11">
      <c r="A684">
        <v>16</v>
      </c>
      <c r="B684" t="s">
        <v>1369</v>
      </c>
      <c r="C684" s="25" t="s">
        <v>129</v>
      </c>
      <c r="E684">
        <v>18</v>
      </c>
      <c r="G684" s="1">
        <v>31793.040000000001</v>
      </c>
      <c r="H684" t="s">
        <v>4026</v>
      </c>
      <c r="I684" t="s">
        <v>4027</v>
      </c>
      <c r="J684" s="6">
        <v>43451</v>
      </c>
      <c r="K684" t="s">
        <v>4028</v>
      </c>
    </row>
    <row r="685" spans="1:11">
      <c r="A685">
        <v>17</v>
      </c>
      <c r="B685" t="s">
        <v>1423</v>
      </c>
      <c r="C685" s="25" t="s">
        <v>129</v>
      </c>
      <c r="E685" s="75">
        <v>6</v>
      </c>
      <c r="G685" s="1">
        <v>6290.4</v>
      </c>
      <c r="H685" t="s">
        <v>4029</v>
      </c>
      <c r="I685" t="s">
        <v>4030</v>
      </c>
      <c r="J685" s="6">
        <v>43451</v>
      </c>
      <c r="K685" t="s">
        <v>4031</v>
      </c>
    </row>
    <row r="686" spans="1:11">
      <c r="A686">
        <v>18</v>
      </c>
      <c r="B686" t="s">
        <v>1487</v>
      </c>
      <c r="C686" s="25" t="s">
        <v>4032</v>
      </c>
      <c r="E686" s="75">
        <v>7</v>
      </c>
      <c r="G686" s="1">
        <v>11089.61</v>
      </c>
      <c r="H686" t="s">
        <v>4033</v>
      </c>
      <c r="I686" t="s">
        <v>4034</v>
      </c>
      <c r="J686" s="6">
        <v>43451</v>
      </c>
      <c r="K686" t="s">
        <v>4035</v>
      </c>
    </row>
    <row r="687" spans="1:11">
      <c r="A687">
        <v>19</v>
      </c>
      <c r="B687" t="s">
        <v>1354</v>
      </c>
      <c r="C687" s="25" t="s">
        <v>129</v>
      </c>
      <c r="E687" s="75">
        <v>29</v>
      </c>
      <c r="G687" s="1">
        <v>20979.759999999998</v>
      </c>
      <c r="H687" t="s">
        <v>4036</v>
      </c>
      <c r="I687" t="s">
        <v>4037</v>
      </c>
      <c r="J687" s="6">
        <v>43451</v>
      </c>
      <c r="K687" t="s">
        <v>4038</v>
      </c>
    </row>
    <row r="688" spans="1:11">
      <c r="A688">
        <v>20</v>
      </c>
      <c r="B688" t="s">
        <v>1699</v>
      </c>
      <c r="C688" s="25" t="s">
        <v>946</v>
      </c>
      <c r="E688">
        <v>48</v>
      </c>
      <c r="G688" s="1">
        <v>7145.28</v>
      </c>
      <c r="H688" t="s">
        <v>4039</v>
      </c>
      <c r="I688" t="s">
        <v>4040</v>
      </c>
      <c r="J688" s="6">
        <v>43452</v>
      </c>
      <c r="K688" t="s">
        <v>4041</v>
      </c>
    </row>
    <row r="689" spans="1:13">
      <c r="A689">
        <v>21</v>
      </c>
      <c r="B689" t="s">
        <v>1699</v>
      </c>
      <c r="C689" s="25" t="s">
        <v>946</v>
      </c>
      <c r="E689">
        <v>48</v>
      </c>
      <c r="G689" s="1">
        <v>7145.28</v>
      </c>
      <c r="H689" t="s">
        <v>4042</v>
      </c>
      <c r="I689" t="s">
        <v>4043</v>
      </c>
      <c r="J689" s="6">
        <v>43452</v>
      </c>
      <c r="K689" t="s">
        <v>4044</v>
      </c>
    </row>
    <row r="690" spans="1:13">
      <c r="A690">
        <v>22</v>
      </c>
      <c r="B690" t="s">
        <v>1699</v>
      </c>
      <c r="C690" s="25" t="s">
        <v>946</v>
      </c>
      <c r="E690">
        <v>49</v>
      </c>
      <c r="G690" s="1">
        <v>7294.14</v>
      </c>
      <c r="H690" t="s">
        <v>4045</v>
      </c>
      <c r="I690" t="s">
        <v>4046</v>
      </c>
      <c r="J690" s="6">
        <v>43452</v>
      </c>
      <c r="K690" t="s">
        <v>4047</v>
      </c>
    </row>
    <row r="691" spans="1:13">
      <c r="A691">
        <v>23</v>
      </c>
      <c r="B691" t="s">
        <v>1508</v>
      </c>
      <c r="C691" s="25" t="s">
        <v>1141</v>
      </c>
      <c r="E691">
        <v>3</v>
      </c>
      <c r="G691" s="1">
        <v>1422.72</v>
      </c>
      <c r="H691" t="s">
        <v>4048</v>
      </c>
      <c r="I691" t="s">
        <v>4049</v>
      </c>
      <c r="J691" s="6">
        <v>43452</v>
      </c>
      <c r="K691" t="s">
        <v>4050</v>
      </c>
    </row>
    <row r="692" spans="1:13">
      <c r="A692">
        <v>24</v>
      </c>
      <c r="B692" t="s">
        <v>1495</v>
      </c>
      <c r="C692" s="25" t="s">
        <v>135</v>
      </c>
      <c r="E692" s="75">
        <v>33</v>
      </c>
      <c r="G692" s="1">
        <v>5937.36</v>
      </c>
      <c r="H692" t="s">
        <v>4051</v>
      </c>
      <c r="I692" t="s">
        <v>4052</v>
      </c>
      <c r="J692" s="6">
        <v>43453</v>
      </c>
      <c r="K692" t="s">
        <v>4053</v>
      </c>
    </row>
    <row r="693" spans="1:13">
      <c r="A693">
        <v>25</v>
      </c>
      <c r="B693" t="s">
        <v>1620</v>
      </c>
      <c r="C693" s="25" t="s">
        <v>135</v>
      </c>
      <c r="E693" s="75">
        <v>30</v>
      </c>
      <c r="G693" s="1">
        <v>4910.1000000000004</v>
      </c>
      <c r="H693" t="s">
        <v>4054</v>
      </c>
      <c r="I693" t="s">
        <v>4055</v>
      </c>
      <c r="J693" s="6">
        <v>43453</v>
      </c>
      <c r="K693" t="s">
        <v>4056</v>
      </c>
    </row>
    <row r="694" spans="1:13">
      <c r="A694">
        <v>26</v>
      </c>
      <c r="B694" t="s">
        <v>1617</v>
      </c>
      <c r="C694" s="25" t="s">
        <v>135</v>
      </c>
      <c r="E694" s="75">
        <v>8</v>
      </c>
      <c r="G694" s="1">
        <v>3414.16</v>
      </c>
      <c r="H694" t="s">
        <v>4057</v>
      </c>
      <c r="I694" t="s">
        <v>4058</v>
      </c>
      <c r="J694" s="6">
        <v>43453</v>
      </c>
      <c r="K694" t="s">
        <v>4059</v>
      </c>
    </row>
    <row r="695" spans="1:13">
      <c r="A695">
        <v>27</v>
      </c>
      <c r="B695" t="s">
        <v>1668</v>
      </c>
      <c r="C695" s="25" t="s">
        <v>1669</v>
      </c>
      <c r="E695">
        <v>60</v>
      </c>
      <c r="G695" s="1">
        <v>5974.2</v>
      </c>
      <c r="H695" t="s">
        <v>4060</v>
      </c>
      <c r="I695" t="s">
        <v>4061</v>
      </c>
      <c r="J695" s="6">
        <v>43455</v>
      </c>
      <c r="K695" t="s">
        <v>4062</v>
      </c>
    </row>
    <row r="696" spans="1:13">
      <c r="A696">
        <v>28</v>
      </c>
      <c r="B696" t="s">
        <v>1668</v>
      </c>
      <c r="C696" s="25" t="s">
        <v>1669</v>
      </c>
      <c r="E696">
        <v>43</v>
      </c>
      <c r="G696" s="1">
        <v>4281.51</v>
      </c>
      <c r="H696" t="s">
        <v>4063</v>
      </c>
      <c r="I696" t="s">
        <v>4064</v>
      </c>
      <c r="J696" s="6">
        <v>43455</v>
      </c>
      <c r="K696" t="s">
        <v>4065</v>
      </c>
      <c r="M696" s="11"/>
    </row>
    <row r="697" spans="1:13">
      <c r="A697">
        <v>29</v>
      </c>
      <c r="B697" t="s">
        <v>1741</v>
      </c>
      <c r="C697" s="25" t="s">
        <v>501</v>
      </c>
      <c r="E697" s="75">
        <v>30</v>
      </c>
      <c r="G697" s="1">
        <v>3062.7</v>
      </c>
      <c r="H697" t="s">
        <v>4066</v>
      </c>
      <c r="I697" t="s">
        <v>4067</v>
      </c>
      <c r="J697" s="6">
        <v>43455</v>
      </c>
      <c r="K697" t="s">
        <v>4068</v>
      </c>
    </row>
    <row r="698" spans="1:13">
      <c r="A698">
        <v>30</v>
      </c>
      <c r="B698" t="s">
        <v>1556</v>
      </c>
      <c r="C698" s="25" t="s">
        <v>135</v>
      </c>
      <c r="E698" s="75">
        <v>31</v>
      </c>
      <c r="G698" s="1">
        <v>5216.37</v>
      </c>
      <c r="H698" t="s">
        <v>4069</v>
      </c>
      <c r="I698" t="s">
        <v>4070</v>
      </c>
      <c r="J698" s="6">
        <v>43456</v>
      </c>
      <c r="K698" t="s">
        <v>4071</v>
      </c>
    </row>
    <row r="699" spans="1:13">
      <c r="A699">
        <v>31</v>
      </c>
      <c r="B699" t="s">
        <v>1535</v>
      </c>
      <c r="C699" s="25" t="s">
        <v>1857</v>
      </c>
      <c r="E699" s="75">
        <v>1</v>
      </c>
      <c r="G699" s="1">
        <v>4518</v>
      </c>
      <c r="H699" t="s">
        <v>4072</v>
      </c>
      <c r="I699" t="s">
        <v>4073</v>
      </c>
      <c r="J699" s="6">
        <v>43456</v>
      </c>
      <c r="K699" t="s">
        <v>4074</v>
      </c>
    </row>
    <row r="700" spans="1:13">
      <c r="A700">
        <v>32</v>
      </c>
      <c r="B700" t="s">
        <v>1605</v>
      </c>
      <c r="C700" s="25" t="s">
        <v>139</v>
      </c>
      <c r="E700">
        <v>1</v>
      </c>
      <c r="G700" s="1">
        <v>926.48</v>
      </c>
      <c r="H700" t="s">
        <v>4075</v>
      </c>
      <c r="I700" t="s">
        <v>4076</v>
      </c>
      <c r="J700" s="6">
        <v>43461</v>
      </c>
      <c r="K700" t="s">
        <v>3900</v>
      </c>
    </row>
    <row r="701" spans="1:13">
      <c r="A701">
        <v>33</v>
      </c>
      <c r="B701" t="s">
        <v>1489</v>
      </c>
      <c r="C701" s="25" t="s">
        <v>1449</v>
      </c>
      <c r="E701">
        <v>25</v>
      </c>
      <c r="G701" s="170">
        <v>9661.75</v>
      </c>
      <c r="H701" t="s">
        <v>4077</v>
      </c>
      <c r="I701" t="s">
        <v>4078</v>
      </c>
      <c r="J701" s="6">
        <v>43460</v>
      </c>
      <c r="K701" t="s">
        <v>4079</v>
      </c>
    </row>
    <row r="702" spans="1:13">
      <c r="A702">
        <v>34</v>
      </c>
      <c r="B702" t="s">
        <v>1673</v>
      </c>
      <c r="C702" s="25" t="s">
        <v>315</v>
      </c>
      <c r="E702">
        <v>27</v>
      </c>
      <c r="G702" s="1">
        <v>4509</v>
      </c>
      <c r="H702" t="s">
        <v>4080</v>
      </c>
      <c r="I702" t="s">
        <v>4081</v>
      </c>
      <c r="J702" s="6">
        <v>43461</v>
      </c>
      <c r="K702" t="s">
        <v>4082</v>
      </c>
    </row>
    <row r="703" spans="1:13">
      <c r="A703">
        <v>35</v>
      </c>
      <c r="B703" t="s">
        <v>1673</v>
      </c>
      <c r="C703" s="25" t="s">
        <v>315</v>
      </c>
      <c r="E703" s="75"/>
      <c r="G703" s="1">
        <v>6346</v>
      </c>
      <c r="H703" t="s">
        <v>4083</v>
      </c>
      <c r="I703" t="s">
        <v>4084</v>
      </c>
      <c r="J703" s="6">
        <v>43461</v>
      </c>
      <c r="K703" t="s">
        <v>4085</v>
      </c>
    </row>
    <row r="704" spans="1:13">
      <c r="A704">
        <v>36</v>
      </c>
      <c r="B704" t="s">
        <v>1535</v>
      </c>
      <c r="C704" s="25" t="s">
        <v>1857</v>
      </c>
      <c r="E704" s="75">
        <v>1</v>
      </c>
      <c r="G704" s="1">
        <v>4518</v>
      </c>
      <c r="H704" t="s">
        <v>4086</v>
      </c>
      <c r="I704" t="s">
        <v>4087</v>
      </c>
      <c r="J704" s="6">
        <v>43461</v>
      </c>
      <c r="K704" t="s">
        <v>4088</v>
      </c>
    </row>
    <row r="705" spans="1:11">
      <c r="A705">
        <v>37</v>
      </c>
      <c r="B705" t="s">
        <v>1535</v>
      </c>
      <c r="C705" s="25" t="s">
        <v>1857</v>
      </c>
      <c r="E705" s="75">
        <v>1</v>
      </c>
      <c r="G705" s="1">
        <v>4518</v>
      </c>
      <c r="H705" t="s">
        <v>4089</v>
      </c>
      <c r="I705" t="s">
        <v>4090</v>
      </c>
      <c r="J705" s="6">
        <v>43461</v>
      </c>
      <c r="K705" t="s">
        <v>4091</v>
      </c>
    </row>
    <row r="706" spans="1:11">
      <c r="A706">
        <v>38</v>
      </c>
      <c r="B706" t="s">
        <v>1481</v>
      </c>
      <c r="C706" s="25" t="s">
        <v>129</v>
      </c>
      <c r="E706" s="75">
        <v>1</v>
      </c>
      <c r="G706" s="1">
        <v>6861.78</v>
      </c>
      <c r="H706" t="s">
        <v>4092</v>
      </c>
      <c r="I706" t="s">
        <v>4093</v>
      </c>
      <c r="J706" s="6">
        <v>43461</v>
      </c>
      <c r="K706" t="s">
        <v>4094</v>
      </c>
    </row>
    <row r="707" spans="1:11">
      <c r="A707">
        <v>40</v>
      </c>
      <c r="B707" t="s">
        <v>1611</v>
      </c>
      <c r="C707" s="25" t="s">
        <v>129</v>
      </c>
      <c r="E707" s="75">
        <v>3</v>
      </c>
      <c r="G707" s="1">
        <v>6597</v>
      </c>
      <c r="H707" t="s">
        <v>4095</v>
      </c>
      <c r="I707" t="s">
        <v>4096</v>
      </c>
      <c r="J707" s="6">
        <v>43462</v>
      </c>
      <c r="K707" t="s">
        <v>4097</v>
      </c>
    </row>
    <row r="708" spans="1:11">
      <c r="A708">
        <v>41</v>
      </c>
      <c r="B708" t="s">
        <v>1611</v>
      </c>
      <c r="C708" s="25" t="s">
        <v>129</v>
      </c>
      <c r="E708" s="75">
        <v>3</v>
      </c>
      <c r="G708" s="1">
        <v>6597</v>
      </c>
      <c r="H708" t="s">
        <v>4098</v>
      </c>
      <c r="I708" t="s">
        <v>4099</v>
      </c>
      <c r="J708" s="6">
        <v>43462</v>
      </c>
      <c r="K708" t="s">
        <v>4100</v>
      </c>
    </row>
    <row r="709" spans="1:11">
      <c r="A709">
        <v>42</v>
      </c>
      <c r="B709" t="s">
        <v>1417</v>
      </c>
      <c r="C709" s="25" t="s">
        <v>2543</v>
      </c>
      <c r="E709" s="75">
        <v>3</v>
      </c>
      <c r="G709" s="1">
        <v>2909.28</v>
      </c>
      <c r="H709" t="s">
        <v>4101</v>
      </c>
      <c r="I709" t="s">
        <v>4102</v>
      </c>
      <c r="J709" s="6">
        <v>43462</v>
      </c>
      <c r="K709" t="s">
        <v>4103</v>
      </c>
    </row>
    <row r="710" spans="1:11">
      <c r="A710">
        <v>43</v>
      </c>
      <c r="B710" t="s">
        <v>1634</v>
      </c>
      <c r="C710" s="25" t="s">
        <v>606</v>
      </c>
      <c r="E710" s="75">
        <v>15</v>
      </c>
      <c r="G710" s="1">
        <v>6937.35</v>
      </c>
      <c r="H710" t="s">
        <v>4104</v>
      </c>
      <c r="I710" t="s">
        <v>4105</v>
      </c>
      <c r="J710" s="6">
        <v>43462</v>
      </c>
      <c r="K710" t="s">
        <v>4106</v>
      </c>
    </row>
    <row r="711" spans="1:11">
      <c r="G711" s="26">
        <f>SUM(G669:G710)</f>
        <v>283307.41000000003</v>
      </c>
    </row>
    <row r="712" spans="1:11">
      <c r="B712" s="7" t="s">
        <v>4107</v>
      </c>
    </row>
    <row r="713" spans="1:11">
      <c r="A713">
        <v>1</v>
      </c>
      <c r="B713" t="s">
        <v>1708</v>
      </c>
      <c r="C713" s="25" t="s">
        <v>1211</v>
      </c>
      <c r="E713" s="75">
        <v>8</v>
      </c>
      <c r="G713" s="1">
        <v>2971.36</v>
      </c>
      <c r="H713" t="s">
        <v>4108</v>
      </c>
      <c r="I713" t="s">
        <v>4109</v>
      </c>
      <c r="J713" s="6">
        <v>43467</v>
      </c>
      <c r="K713" t="s">
        <v>3900</v>
      </c>
    </row>
    <row r="714" spans="1:11">
      <c r="A714">
        <v>2</v>
      </c>
      <c r="B714" t="s">
        <v>1732</v>
      </c>
      <c r="C714" s="25" t="s">
        <v>1299</v>
      </c>
      <c r="E714">
        <v>173</v>
      </c>
      <c r="G714" s="1">
        <v>212.79</v>
      </c>
      <c r="H714" t="s">
        <v>4110</v>
      </c>
      <c r="I714" t="s">
        <v>4111</v>
      </c>
      <c r="J714" s="6">
        <v>43467</v>
      </c>
      <c r="K714" t="s">
        <v>3900</v>
      </c>
    </row>
    <row r="715" spans="1:11">
      <c r="A715">
        <v>3</v>
      </c>
      <c r="B715" t="s">
        <v>1729</v>
      </c>
      <c r="C715" s="25" t="s">
        <v>1299</v>
      </c>
      <c r="E715">
        <v>83</v>
      </c>
      <c r="G715" s="1">
        <v>167.66</v>
      </c>
      <c r="H715" t="s">
        <v>4112</v>
      </c>
      <c r="I715" t="s">
        <v>4113</v>
      </c>
      <c r="J715" s="6">
        <v>43467</v>
      </c>
      <c r="K715" t="s">
        <v>3900</v>
      </c>
    </row>
    <row r="716" spans="1:11">
      <c r="A716">
        <v>4</v>
      </c>
      <c r="B716" t="s">
        <v>1703</v>
      </c>
      <c r="C716" s="25" t="s">
        <v>135</v>
      </c>
      <c r="E716" s="75"/>
      <c r="G716" s="1">
        <v>483.77</v>
      </c>
      <c r="H716" t="s">
        <v>4114</v>
      </c>
      <c r="I716" t="s">
        <v>4115</v>
      </c>
      <c r="J716" s="6">
        <v>43469</v>
      </c>
      <c r="K716" t="s">
        <v>4116</v>
      </c>
    </row>
    <row r="717" spans="1:11">
      <c r="A717">
        <v>5</v>
      </c>
      <c r="B717" t="s">
        <v>1644</v>
      </c>
      <c r="C717" s="25" t="s">
        <v>135</v>
      </c>
      <c r="E717" s="75"/>
      <c r="G717" s="1">
        <v>1277.07</v>
      </c>
      <c r="H717" t="s">
        <v>4117</v>
      </c>
      <c r="I717" t="s">
        <v>4118</v>
      </c>
      <c r="J717" s="6">
        <v>43469</v>
      </c>
      <c r="K717" t="s">
        <v>4119</v>
      </c>
    </row>
    <row r="718" spans="1:11">
      <c r="A718">
        <v>6</v>
      </c>
      <c r="B718" t="s">
        <v>1591</v>
      </c>
      <c r="C718" s="25" t="s">
        <v>135</v>
      </c>
      <c r="E718" s="75">
        <v>15</v>
      </c>
      <c r="G718" s="1">
        <v>2950.5</v>
      </c>
      <c r="H718" t="s">
        <v>4120</v>
      </c>
      <c r="I718" t="s">
        <v>4121</v>
      </c>
      <c r="J718" s="6">
        <v>43469</v>
      </c>
      <c r="K718" t="s">
        <v>4122</v>
      </c>
    </row>
    <row r="719" spans="1:11">
      <c r="A719">
        <v>7</v>
      </c>
      <c r="B719" t="s">
        <v>1346</v>
      </c>
      <c r="C719" s="25" t="s">
        <v>135</v>
      </c>
      <c r="E719" s="75">
        <v>75</v>
      </c>
      <c r="G719" s="1">
        <v>3587.25</v>
      </c>
      <c r="H719" t="s">
        <v>4123</v>
      </c>
      <c r="I719" t="s">
        <v>4124</v>
      </c>
      <c r="J719" s="6">
        <v>43469</v>
      </c>
      <c r="K719" t="s">
        <v>4125</v>
      </c>
    </row>
    <row r="720" spans="1:11">
      <c r="A720">
        <v>8</v>
      </c>
      <c r="B720" t="s">
        <v>1710</v>
      </c>
      <c r="C720" s="25" t="s">
        <v>682</v>
      </c>
      <c r="E720" s="75">
        <v>189</v>
      </c>
      <c r="G720" s="1">
        <v>1513.89</v>
      </c>
      <c r="H720" t="s">
        <v>4126</v>
      </c>
      <c r="I720" t="s">
        <v>4127</v>
      </c>
      <c r="J720" s="6">
        <v>43469</v>
      </c>
      <c r="K720" t="s">
        <v>4128</v>
      </c>
    </row>
    <row r="721" spans="1:13">
      <c r="A721">
        <v>9</v>
      </c>
      <c r="B721" t="s">
        <v>1201</v>
      </c>
      <c r="C721" s="25" t="s">
        <v>1857</v>
      </c>
      <c r="E721">
        <v>73</v>
      </c>
      <c r="G721" s="1">
        <v>2260.08</v>
      </c>
      <c r="H721" t="s">
        <v>4129</v>
      </c>
      <c r="I721" t="s">
        <v>4130</v>
      </c>
      <c r="J721" s="6">
        <v>43469</v>
      </c>
      <c r="K721" t="s">
        <v>4131</v>
      </c>
    </row>
    <row r="722" spans="1:13">
      <c r="A722">
        <v>10</v>
      </c>
      <c r="B722" t="s">
        <v>1552</v>
      </c>
      <c r="C722" s="25" t="s">
        <v>266</v>
      </c>
      <c r="E722">
        <v>2</v>
      </c>
      <c r="G722" s="1">
        <v>4565.08</v>
      </c>
      <c r="H722" t="s">
        <v>4132</v>
      </c>
      <c r="I722" t="s">
        <v>4133</v>
      </c>
      <c r="J722" s="6">
        <v>43472</v>
      </c>
      <c r="K722" t="s">
        <v>4134</v>
      </c>
    </row>
    <row r="723" spans="1:13">
      <c r="A723">
        <v>11</v>
      </c>
      <c r="B723" t="s">
        <v>1301</v>
      </c>
      <c r="C723" s="92" t="s">
        <v>4135</v>
      </c>
      <c r="E723" s="75">
        <v>8</v>
      </c>
      <c r="G723" s="1">
        <v>7638.24</v>
      </c>
      <c r="H723" t="s">
        <v>4136</v>
      </c>
      <c r="I723" t="s">
        <v>4137</v>
      </c>
      <c r="J723" s="6">
        <v>43472</v>
      </c>
      <c r="K723" t="s">
        <v>4138</v>
      </c>
      <c r="M723" s="181">
        <v>8179.08</v>
      </c>
    </row>
    <row r="724" spans="1:13">
      <c r="A724">
        <v>12</v>
      </c>
      <c r="B724" t="s">
        <v>1586</v>
      </c>
      <c r="C724" s="25" t="s">
        <v>135</v>
      </c>
      <c r="E724" s="75">
        <v>7</v>
      </c>
      <c r="G724" s="1">
        <v>4318.58</v>
      </c>
      <c r="H724" t="s">
        <v>4139</v>
      </c>
      <c r="I724" t="s">
        <v>4140</v>
      </c>
      <c r="J724" s="6">
        <v>43473</v>
      </c>
      <c r="K724" t="s">
        <v>4141</v>
      </c>
      <c r="M724" s="1">
        <v>11546.7</v>
      </c>
    </row>
    <row r="725" spans="1:13">
      <c r="A725">
        <v>13</v>
      </c>
      <c r="B725" t="s">
        <v>4142</v>
      </c>
      <c r="C725" s="25" t="s">
        <v>508</v>
      </c>
      <c r="E725">
        <v>16</v>
      </c>
      <c r="G725" s="1">
        <v>3115.84</v>
      </c>
      <c r="H725" t="s">
        <v>4143</v>
      </c>
      <c r="I725" t="s">
        <v>4144</v>
      </c>
      <c r="J725" s="6">
        <v>43473</v>
      </c>
      <c r="K725" t="s">
        <v>4145</v>
      </c>
      <c r="M725" s="1">
        <v>4435.38</v>
      </c>
    </row>
    <row r="726" spans="1:13">
      <c r="A726">
        <v>14</v>
      </c>
      <c r="B726" t="s">
        <v>4142</v>
      </c>
      <c r="C726" s="25" t="s">
        <v>508</v>
      </c>
      <c r="E726">
        <v>42</v>
      </c>
      <c r="G726" s="181">
        <v>8179.08</v>
      </c>
      <c r="H726" t="s">
        <v>4146</v>
      </c>
      <c r="I726" t="s">
        <v>4147</v>
      </c>
      <c r="J726" s="6">
        <v>43473</v>
      </c>
      <c r="K726" t="s">
        <v>4148</v>
      </c>
      <c r="M726" s="1">
        <v>3818.62</v>
      </c>
    </row>
    <row r="727" spans="1:13">
      <c r="A727">
        <v>15</v>
      </c>
      <c r="B727" t="s">
        <v>1414</v>
      </c>
      <c r="C727" s="25" t="s">
        <v>1047</v>
      </c>
      <c r="E727">
        <v>15</v>
      </c>
      <c r="G727" s="1">
        <v>11546.7</v>
      </c>
      <c r="H727" t="s">
        <v>4149</v>
      </c>
      <c r="I727" t="s">
        <v>4150</v>
      </c>
      <c r="J727" s="6">
        <v>43473</v>
      </c>
      <c r="K727" t="s">
        <v>4151</v>
      </c>
      <c r="M727" s="11">
        <f>SUM(M723:M726)</f>
        <v>27979.78</v>
      </c>
    </row>
    <row r="728" spans="1:13">
      <c r="A728">
        <v>16</v>
      </c>
      <c r="B728" t="s">
        <v>1788</v>
      </c>
      <c r="C728" s="25" t="s">
        <v>606</v>
      </c>
      <c r="E728" s="75">
        <v>1</v>
      </c>
      <c r="G728" s="1">
        <v>2457</v>
      </c>
      <c r="H728" t="s">
        <v>4152</v>
      </c>
      <c r="I728" t="s">
        <v>4153</v>
      </c>
      <c r="J728" s="6">
        <v>43475</v>
      </c>
      <c r="K728" t="s">
        <v>3900</v>
      </c>
    </row>
    <row r="729" spans="1:13">
      <c r="A729">
        <v>17</v>
      </c>
      <c r="B729" t="s">
        <v>1582</v>
      </c>
      <c r="C729" s="25" t="s">
        <v>4154</v>
      </c>
      <c r="E729" s="75">
        <v>6</v>
      </c>
      <c r="G729" s="1">
        <v>4435.38</v>
      </c>
      <c r="H729" t="s">
        <v>4155</v>
      </c>
      <c r="I729" t="s">
        <v>4156</v>
      </c>
      <c r="J729" s="6">
        <v>43475</v>
      </c>
      <c r="K729" t="s">
        <v>4157</v>
      </c>
    </row>
    <row r="730" spans="1:13">
      <c r="A730">
        <v>18</v>
      </c>
      <c r="B730" t="s">
        <v>1724</v>
      </c>
      <c r="C730" s="25" t="s">
        <v>135</v>
      </c>
      <c r="E730" s="75">
        <v>13</v>
      </c>
      <c r="G730" s="1">
        <v>3818.62</v>
      </c>
      <c r="H730" t="s">
        <v>4155</v>
      </c>
      <c r="I730" t="s">
        <v>4156</v>
      </c>
      <c r="J730" s="6">
        <v>43475</v>
      </c>
      <c r="K730" t="s">
        <v>4158</v>
      </c>
    </row>
    <row r="731" spans="1:13">
      <c r="A731">
        <v>19</v>
      </c>
      <c r="B731" t="s">
        <v>1727</v>
      </c>
      <c r="C731" s="25" t="s">
        <v>880</v>
      </c>
      <c r="E731">
        <v>13</v>
      </c>
      <c r="G731" s="1">
        <v>1904.11</v>
      </c>
      <c r="H731" t="s">
        <v>4159</v>
      </c>
      <c r="I731" t="s">
        <v>4160</v>
      </c>
      <c r="J731" s="6">
        <v>43479</v>
      </c>
      <c r="K731" t="s">
        <v>4161</v>
      </c>
    </row>
    <row r="732" spans="1:13">
      <c r="A732">
        <v>20</v>
      </c>
      <c r="B732" t="s">
        <v>1800</v>
      </c>
      <c r="C732" s="25" t="s">
        <v>880</v>
      </c>
      <c r="E732">
        <v>10</v>
      </c>
      <c r="G732" s="1">
        <v>1579.4</v>
      </c>
      <c r="H732" t="s">
        <v>4162</v>
      </c>
      <c r="I732" t="s">
        <v>4163</v>
      </c>
      <c r="J732" s="6">
        <v>43479</v>
      </c>
      <c r="K732" t="s">
        <v>4164</v>
      </c>
    </row>
    <row r="733" spans="1:13">
      <c r="A733">
        <v>21</v>
      </c>
      <c r="B733" t="s">
        <v>1795</v>
      </c>
      <c r="C733" s="25" t="s">
        <v>814</v>
      </c>
      <c r="E733">
        <v>3</v>
      </c>
      <c r="G733" s="1">
        <v>294</v>
      </c>
      <c r="H733" t="s">
        <v>4165</v>
      </c>
      <c r="I733" t="s">
        <v>4166</v>
      </c>
      <c r="J733" s="6">
        <v>43479</v>
      </c>
      <c r="K733" t="s">
        <v>4167</v>
      </c>
    </row>
    <row r="734" spans="1:13">
      <c r="A734">
        <v>22</v>
      </c>
      <c r="B734" t="s">
        <v>1597</v>
      </c>
      <c r="C734" s="25" t="s">
        <v>4154</v>
      </c>
      <c r="E734" s="75">
        <v>9</v>
      </c>
      <c r="G734" s="1">
        <v>10056.42</v>
      </c>
      <c r="H734" t="s">
        <v>4168</v>
      </c>
      <c r="I734" t="s">
        <v>4169</v>
      </c>
      <c r="J734" s="6">
        <v>43479</v>
      </c>
      <c r="K734" t="s">
        <v>4170</v>
      </c>
    </row>
    <row r="735" spans="1:13">
      <c r="A735">
        <v>23</v>
      </c>
      <c r="B735" t="s">
        <v>688</v>
      </c>
      <c r="C735" s="25" t="s">
        <v>4171</v>
      </c>
      <c r="E735">
        <v>10</v>
      </c>
      <c r="G735" s="1">
        <v>0</v>
      </c>
      <c r="H735" t="s">
        <v>4172</v>
      </c>
      <c r="I735" t="s">
        <v>4173</v>
      </c>
      <c r="J735" s="6">
        <v>43116</v>
      </c>
      <c r="K735" t="s">
        <v>4174</v>
      </c>
    </row>
    <row r="736" spans="1:13">
      <c r="A736">
        <v>24</v>
      </c>
      <c r="B736" t="s">
        <v>1652</v>
      </c>
      <c r="C736" s="25" t="s">
        <v>135</v>
      </c>
      <c r="E736" s="75">
        <v>21</v>
      </c>
      <c r="G736" s="1">
        <v>1274.49</v>
      </c>
      <c r="H736" t="s">
        <v>4175</v>
      </c>
      <c r="I736" t="s">
        <v>4176</v>
      </c>
      <c r="J736" s="6">
        <v>43116</v>
      </c>
      <c r="K736" t="s">
        <v>4177</v>
      </c>
    </row>
    <row r="737" spans="1:11">
      <c r="A737">
        <v>25</v>
      </c>
      <c r="B737" t="s">
        <v>1614</v>
      </c>
      <c r="C737" s="25" t="s">
        <v>135</v>
      </c>
      <c r="E737" s="75">
        <v>19</v>
      </c>
      <c r="G737" s="1">
        <v>1074.26</v>
      </c>
      <c r="H737" t="s">
        <v>4178</v>
      </c>
      <c r="I737" t="s">
        <v>4179</v>
      </c>
      <c r="J737" s="6">
        <v>43116</v>
      </c>
      <c r="K737" t="s">
        <v>4180</v>
      </c>
    </row>
    <row r="738" spans="1:11">
      <c r="A738">
        <v>26</v>
      </c>
      <c r="B738" t="s">
        <v>1485</v>
      </c>
      <c r="C738" s="25" t="s">
        <v>4181</v>
      </c>
      <c r="E738">
        <v>9</v>
      </c>
      <c r="G738" s="1">
        <v>4894.83</v>
      </c>
      <c r="H738" t="s">
        <v>4182</v>
      </c>
      <c r="I738" t="s">
        <v>4183</v>
      </c>
      <c r="J738" s="6">
        <v>43482</v>
      </c>
      <c r="K738" t="s">
        <v>104</v>
      </c>
    </row>
    <row r="739" spans="1:11">
      <c r="A739">
        <v>27</v>
      </c>
      <c r="B739" t="s">
        <v>1569</v>
      </c>
      <c r="C739" s="25" t="s">
        <v>4181</v>
      </c>
      <c r="E739">
        <v>10</v>
      </c>
      <c r="G739" s="1">
        <v>4966.5</v>
      </c>
      <c r="H739" t="s">
        <v>4184</v>
      </c>
      <c r="I739" t="s">
        <v>4185</v>
      </c>
      <c r="J739" s="6">
        <v>43482</v>
      </c>
      <c r="K739" t="s">
        <v>3900</v>
      </c>
    </row>
    <row r="740" spans="1:11">
      <c r="A740">
        <v>28</v>
      </c>
      <c r="B740" t="s">
        <v>1749</v>
      </c>
      <c r="C740" s="25" t="s">
        <v>129</v>
      </c>
      <c r="E740" s="75">
        <v>6</v>
      </c>
      <c r="G740" s="1">
        <v>4598.88</v>
      </c>
      <c r="H740" t="s">
        <v>4186</v>
      </c>
      <c r="I740" t="s">
        <v>4187</v>
      </c>
      <c r="J740" s="6">
        <v>43483</v>
      </c>
      <c r="K740" t="s">
        <v>4188</v>
      </c>
    </row>
    <row r="741" spans="1:11">
      <c r="A741">
        <v>29</v>
      </c>
      <c r="B741" t="s">
        <v>1647</v>
      </c>
      <c r="C741" s="25" t="s">
        <v>1857</v>
      </c>
      <c r="E741" s="75">
        <v>6</v>
      </c>
      <c r="G741" s="1">
        <v>11106</v>
      </c>
      <c r="H741" t="s">
        <v>4189</v>
      </c>
      <c r="I741" t="s">
        <v>4190</v>
      </c>
      <c r="J741" s="6">
        <v>43484</v>
      </c>
      <c r="K741" t="s">
        <v>4191</v>
      </c>
    </row>
    <row r="742" spans="1:11">
      <c r="A742">
        <v>30</v>
      </c>
      <c r="B742" t="s">
        <v>1817</v>
      </c>
      <c r="C742" t="s">
        <v>368</v>
      </c>
      <c r="E742">
        <v>1</v>
      </c>
      <c r="G742" s="5">
        <v>97</v>
      </c>
      <c r="H742" t="s">
        <v>4192</v>
      </c>
      <c r="I742" t="s">
        <v>4193</v>
      </c>
      <c r="J742" s="6">
        <v>43484</v>
      </c>
      <c r="K742" t="s">
        <v>4194</v>
      </c>
    </row>
    <row r="743" spans="1:11">
      <c r="A743">
        <v>31</v>
      </c>
      <c r="B743" t="s">
        <v>1817</v>
      </c>
      <c r="C743" s="25" t="s">
        <v>368</v>
      </c>
      <c r="E743">
        <v>1</v>
      </c>
      <c r="G743" s="1">
        <v>97</v>
      </c>
      <c r="H743" t="s">
        <v>4195</v>
      </c>
      <c r="I743" t="s">
        <v>4196</v>
      </c>
      <c r="J743" s="6">
        <v>43484</v>
      </c>
      <c r="K743" t="s">
        <v>4197</v>
      </c>
    </row>
    <row r="744" spans="1:11">
      <c r="A744">
        <v>32</v>
      </c>
      <c r="B744" t="s">
        <v>1817</v>
      </c>
      <c r="C744" t="s">
        <v>368</v>
      </c>
      <c r="E744">
        <v>1</v>
      </c>
      <c r="G744" s="5">
        <v>97</v>
      </c>
      <c r="H744" t="s">
        <v>4198</v>
      </c>
      <c r="I744" t="s">
        <v>4199</v>
      </c>
      <c r="J744" s="6">
        <v>43484</v>
      </c>
      <c r="K744" t="s">
        <v>4200</v>
      </c>
    </row>
    <row r="745" spans="1:11">
      <c r="A745">
        <v>33</v>
      </c>
      <c r="B745" t="s">
        <v>1264</v>
      </c>
      <c r="C745" s="25" t="s">
        <v>532</v>
      </c>
      <c r="E745" s="75">
        <v>13</v>
      </c>
      <c r="G745" s="170">
        <v>1036.6199999999999</v>
      </c>
      <c r="H745" t="s">
        <v>4201</v>
      </c>
      <c r="I745" t="s">
        <v>4202</v>
      </c>
      <c r="J745" s="6">
        <v>43486</v>
      </c>
      <c r="K745" t="s">
        <v>4203</v>
      </c>
    </row>
    <row r="746" spans="1:11">
      <c r="A746">
        <v>34</v>
      </c>
      <c r="B746" t="s">
        <v>1021</v>
      </c>
      <c r="C746" s="25" t="s">
        <v>532</v>
      </c>
      <c r="E746" s="75">
        <v>15</v>
      </c>
      <c r="G746" s="1">
        <v>2516.5500000000002</v>
      </c>
      <c r="H746" t="s">
        <v>4204</v>
      </c>
      <c r="I746" t="s">
        <v>4205</v>
      </c>
      <c r="J746" s="6">
        <v>43486</v>
      </c>
      <c r="K746" t="s">
        <v>4206</v>
      </c>
    </row>
    <row r="747" spans="1:11">
      <c r="A747">
        <v>35</v>
      </c>
      <c r="B747" t="s">
        <v>1815</v>
      </c>
      <c r="C747" s="25" t="s">
        <v>139</v>
      </c>
      <c r="E747" s="75">
        <v>4</v>
      </c>
      <c r="G747" s="170">
        <v>669.44</v>
      </c>
      <c r="H747" t="s">
        <v>4207</v>
      </c>
      <c r="I747" t="s">
        <v>4208</v>
      </c>
      <c r="J747" s="6">
        <v>43486</v>
      </c>
      <c r="K747" t="s">
        <v>4209</v>
      </c>
    </row>
    <row r="748" spans="1:11">
      <c r="A748">
        <v>36</v>
      </c>
      <c r="B748" t="s">
        <v>1650</v>
      </c>
      <c r="C748" s="25" t="s">
        <v>4154</v>
      </c>
      <c r="E748" s="75">
        <v>4</v>
      </c>
      <c r="G748" s="1">
        <v>7301.52</v>
      </c>
      <c r="H748" t="s">
        <v>4210</v>
      </c>
      <c r="I748" t="s">
        <v>4211</v>
      </c>
      <c r="J748" s="6">
        <v>43486</v>
      </c>
      <c r="K748" t="s">
        <v>4212</v>
      </c>
    </row>
    <row r="749" spans="1:11">
      <c r="A749">
        <v>37</v>
      </c>
      <c r="B749" t="s">
        <v>1650</v>
      </c>
      <c r="C749" s="25" t="s">
        <v>4154</v>
      </c>
      <c r="E749" s="75">
        <v>4</v>
      </c>
      <c r="G749" s="1">
        <v>7301.52</v>
      </c>
      <c r="H749" t="s">
        <v>4213</v>
      </c>
      <c r="I749" t="s">
        <v>4214</v>
      </c>
      <c r="J749" s="6">
        <v>43486</v>
      </c>
      <c r="K749" t="s">
        <v>4215</v>
      </c>
    </row>
    <row r="750" spans="1:11">
      <c r="A750">
        <v>38</v>
      </c>
      <c r="B750" t="s">
        <v>1650</v>
      </c>
      <c r="C750" s="25" t="s">
        <v>4154</v>
      </c>
      <c r="E750" s="75">
        <v>3</v>
      </c>
      <c r="G750" s="1">
        <v>5476.14</v>
      </c>
      <c r="H750" t="s">
        <v>4216</v>
      </c>
      <c r="I750" t="s">
        <v>4217</v>
      </c>
      <c r="J750" s="6">
        <v>43486</v>
      </c>
      <c r="K750" t="s">
        <v>4218</v>
      </c>
    </row>
    <row r="751" spans="1:11">
      <c r="A751">
        <v>39</v>
      </c>
      <c r="B751" t="s">
        <v>1629</v>
      </c>
      <c r="C751" s="25" t="s">
        <v>1857</v>
      </c>
      <c r="E751" s="75">
        <v>2</v>
      </c>
      <c r="G751" s="1">
        <v>9023.24</v>
      </c>
      <c r="H751" t="s">
        <v>4219</v>
      </c>
      <c r="I751" t="s">
        <v>4220</v>
      </c>
      <c r="J751" s="6">
        <v>43487</v>
      </c>
      <c r="K751" t="s">
        <v>4221</v>
      </c>
    </row>
    <row r="752" spans="1:11">
      <c r="A752">
        <v>40</v>
      </c>
      <c r="B752" t="s">
        <v>1629</v>
      </c>
      <c r="C752" s="25" t="s">
        <v>1857</v>
      </c>
      <c r="E752" s="75">
        <v>2</v>
      </c>
      <c r="G752" s="1">
        <v>9023.24</v>
      </c>
      <c r="H752" t="s">
        <v>4222</v>
      </c>
      <c r="I752" t="s">
        <v>4223</v>
      </c>
      <c r="J752" s="6">
        <v>43487</v>
      </c>
      <c r="K752" t="s">
        <v>4224</v>
      </c>
    </row>
    <row r="753" spans="1:11">
      <c r="A753">
        <v>41</v>
      </c>
      <c r="B753" t="s">
        <v>1798</v>
      </c>
      <c r="C753" s="25" t="s">
        <v>606</v>
      </c>
      <c r="E753" s="75">
        <v>14</v>
      </c>
      <c r="G753" s="1">
        <v>1809.22</v>
      </c>
      <c r="H753" t="s">
        <v>4225</v>
      </c>
      <c r="I753" t="s">
        <v>4226</v>
      </c>
      <c r="J753" s="6">
        <v>43124</v>
      </c>
      <c r="K753" t="s">
        <v>4227</v>
      </c>
    </row>
    <row r="754" spans="1:11">
      <c r="A754">
        <v>42</v>
      </c>
      <c r="B754" t="s">
        <v>1491</v>
      </c>
      <c r="C754" s="25" t="s">
        <v>532</v>
      </c>
      <c r="E754" s="75">
        <v>51</v>
      </c>
      <c r="G754" s="1">
        <v>584.46</v>
      </c>
      <c r="H754" t="s">
        <v>4228</v>
      </c>
      <c r="I754" t="s">
        <v>4229</v>
      </c>
      <c r="J754" s="6">
        <v>43124</v>
      </c>
      <c r="K754" t="s">
        <v>4230</v>
      </c>
    </row>
    <row r="755" spans="1:11">
      <c r="A755">
        <v>43</v>
      </c>
      <c r="B755" t="s">
        <v>1461</v>
      </c>
      <c r="C755" s="25" t="s">
        <v>1004</v>
      </c>
      <c r="E755" s="75">
        <v>14</v>
      </c>
      <c r="G755" s="170">
        <v>1476.44</v>
      </c>
      <c r="H755" t="s">
        <v>4231</v>
      </c>
      <c r="I755" t="s">
        <v>4232</v>
      </c>
      <c r="J755" s="6">
        <v>43124</v>
      </c>
      <c r="K755" t="s">
        <v>4233</v>
      </c>
    </row>
    <row r="756" spans="1:11">
      <c r="A756">
        <v>44</v>
      </c>
      <c r="B756" t="s">
        <v>1833</v>
      </c>
      <c r="C756" s="25" t="s">
        <v>315</v>
      </c>
      <c r="E756" s="75">
        <v>5</v>
      </c>
      <c r="G756" s="1">
        <v>4407.6499999999996</v>
      </c>
      <c r="H756" t="s">
        <v>4234</v>
      </c>
      <c r="I756" t="s">
        <v>4235</v>
      </c>
      <c r="J756" s="6">
        <v>43124</v>
      </c>
      <c r="K756" t="s">
        <v>4236</v>
      </c>
    </row>
    <row r="757" spans="1:11">
      <c r="A757">
        <v>45</v>
      </c>
      <c r="B757" t="s">
        <v>1810</v>
      </c>
      <c r="C757" s="25" t="s">
        <v>606</v>
      </c>
      <c r="E757" s="75">
        <v>1</v>
      </c>
      <c r="G757" s="1">
        <v>3251</v>
      </c>
      <c r="H757" t="s">
        <v>4237</v>
      </c>
      <c r="I757" t="s">
        <v>4238</v>
      </c>
      <c r="J757" s="6">
        <v>43490</v>
      </c>
      <c r="K757" t="s">
        <v>3900</v>
      </c>
    </row>
    <row r="758" spans="1:11">
      <c r="A758">
        <v>46</v>
      </c>
      <c r="B758" t="s">
        <v>1716</v>
      </c>
      <c r="C758" s="25" t="s">
        <v>1211</v>
      </c>
      <c r="E758" s="75">
        <v>6</v>
      </c>
      <c r="G758" s="170">
        <v>4666.74</v>
      </c>
      <c r="H758" t="s">
        <v>4239</v>
      </c>
      <c r="I758" t="s">
        <v>4240</v>
      </c>
      <c r="J758" s="6">
        <v>43490</v>
      </c>
      <c r="K758" t="s">
        <v>4241</v>
      </c>
    </row>
    <row r="759" spans="1:11">
      <c r="A759">
        <v>47</v>
      </c>
      <c r="B759" t="s">
        <v>1716</v>
      </c>
      <c r="C759" s="25" t="s">
        <v>1211</v>
      </c>
      <c r="E759" s="75">
        <v>6</v>
      </c>
      <c r="G759" s="170">
        <v>4666.74</v>
      </c>
      <c r="H759" t="s">
        <v>4242</v>
      </c>
      <c r="I759" t="s">
        <v>4243</v>
      </c>
      <c r="J759" s="6">
        <v>43493</v>
      </c>
      <c r="K759" t="s">
        <v>4244</v>
      </c>
    </row>
    <row r="760" spans="1:11">
      <c r="A760">
        <v>48</v>
      </c>
      <c r="B760" t="s">
        <v>1690</v>
      </c>
      <c r="C760" s="25" t="s">
        <v>279</v>
      </c>
      <c r="E760" s="75">
        <v>1</v>
      </c>
      <c r="G760" s="170">
        <v>4556</v>
      </c>
      <c r="H760" t="s">
        <v>4245</v>
      </c>
      <c r="I760" t="s">
        <v>4246</v>
      </c>
      <c r="J760" s="6">
        <v>43490</v>
      </c>
      <c r="K760" t="s">
        <v>4247</v>
      </c>
    </row>
    <row r="761" spans="1:11">
      <c r="A761">
        <v>49</v>
      </c>
      <c r="B761" t="s">
        <v>1690</v>
      </c>
      <c r="C761" s="25" t="s">
        <v>279</v>
      </c>
      <c r="E761" s="75">
        <v>1</v>
      </c>
      <c r="G761" s="170">
        <v>4556</v>
      </c>
      <c r="H761" t="s">
        <v>4248</v>
      </c>
      <c r="I761" t="s">
        <v>4249</v>
      </c>
      <c r="J761" s="6">
        <v>43490</v>
      </c>
      <c r="K761" t="s">
        <v>4250</v>
      </c>
    </row>
    <row r="762" spans="1:11">
      <c r="A762">
        <v>50</v>
      </c>
      <c r="B762" t="s">
        <v>1643</v>
      </c>
      <c r="C762" s="25" t="s">
        <v>1211</v>
      </c>
      <c r="E762" s="75">
        <v>2</v>
      </c>
      <c r="G762" s="170">
        <v>192.96</v>
      </c>
      <c r="H762" t="s">
        <v>4251</v>
      </c>
      <c r="I762" t="s">
        <v>4252</v>
      </c>
      <c r="J762" s="6">
        <v>43493</v>
      </c>
      <c r="K762" t="s">
        <v>3900</v>
      </c>
    </row>
    <row r="763" spans="1:11">
      <c r="A763">
        <v>51</v>
      </c>
      <c r="B763" t="s">
        <v>1819</v>
      </c>
      <c r="C763" s="25" t="s">
        <v>1211</v>
      </c>
      <c r="E763" s="75">
        <v>1</v>
      </c>
      <c r="G763" s="170">
        <v>98.72</v>
      </c>
      <c r="H763" t="s">
        <v>4253</v>
      </c>
      <c r="I763" t="s">
        <v>4254</v>
      </c>
      <c r="J763" s="6">
        <v>43493</v>
      </c>
      <c r="K763" t="s">
        <v>3900</v>
      </c>
    </row>
    <row r="764" spans="1:11">
      <c r="A764">
        <v>52</v>
      </c>
      <c r="B764" t="s">
        <v>1571</v>
      </c>
      <c r="C764" s="25" t="s">
        <v>135</v>
      </c>
      <c r="E764" s="75">
        <v>35</v>
      </c>
      <c r="G764" s="1">
        <v>5735.45</v>
      </c>
      <c r="H764" t="s">
        <v>4255</v>
      </c>
      <c r="I764" t="s">
        <v>4256</v>
      </c>
      <c r="J764" s="6">
        <v>43493</v>
      </c>
      <c r="K764" t="s">
        <v>4257</v>
      </c>
    </row>
    <row r="765" spans="1:11">
      <c r="A765">
        <v>53</v>
      </c>
      <c r="B765" t="s">
        <v>1051</v>
      </c>
      <c r="C765" s="25" t="s">
        <v>532</v>
      </c>
      <c r="E765" s="75">
        <v>8</v>
      </c>
      <c r="G765" s="170">
        <v>879.84</v>
      </c>
      <c r="H765" t="s">
        <v>4258</v>
      </c>
      <c r="I765" t="s">
        <v>4259</v>
      </c>
      <c r="J765" s="6">
        <v>43493</v>
      </c>
      <c r="K765" t="s">
        <v>3900</v>
      </c>
    </row>
    <row r="766" spans="1:11">
      <c r="A766">
        <v>54</v>
      </c>
      <c r="B766" t="s">
        <v>1342</v>
      </c>
      <c r="C766" s="25" t="s">
        <v>532</v>
      </c>
      <c r="E766" s="75">
        <v>9</v>
      </c>
      <c r="G766" s="170">
        <v>672.12</v>
      </c>
      <c r="H766" t="s">
        <v>4260</v>
      </c>
      <c r="I766" t="s">
        <v>4261</v>
      </c>
      <c r="J766" s="6">
        <v>43493</v>
      </c>
    </row>
    <row r="767" spans="1:11">
      <c r="A767">
        <v>55</v>
      </c>
      <c r="B767" t="s">
        <v>1671</v>
      </c>
      <c r="C767" s="25" t="s">
        <v>1285</v>
      </c>
      <c r="E767" s="75">
        <v>11</v>
      </c>
      <c r="G767" s="1">
        <v>9168.06</v>
      </c>
      <c r="H767" t="s">
        <v>4262</v>
      </c>
      <c r="I767" t="s">
        <v>4263</v>
      </c>
      <c r="J767" s="6">
        <v>43493</v>
      </c>
      <c r="K767" t="s">
        <v>4264</v>
      </c>
    </row>
    <row r="768" spans="1:11">
      <c r="A768">
        <v>56</v>
      </c>
      <c r="B768" t="s">
        <v>1829</v>
      </c>
      <c r="C768" s="25" t="s">
        <v>139</v>
      </c>
      <c r="E768" s="75">
        <v>2</v>
      </c>
      <c r="G768" s="170">
        <v>997.38</v>
      </c>
      <c r="H768" t="s">
        <v>4265</v>
      </c>
      <c r="I768" t="s">
        <v>4266</v>
      </c>
      <c r="J768" s="6">
        <v>43494</v>
      </c>
      <c r="K768" t="s">
        <v>4267</v>
      </c>
    </row>
    <row r="769" spans="1:11">
      <c r="A769">
        <v>57</v>
      </c>
      <c r="B769" t="s">
        <v>1609</v>
      </c>
      <c r="C769" s="25" t="s">
        <v>135</v>
      </c>
      <c r="E769" s="75">
        <v>2</v>
      </c>
      <c r="G769" s="1">
        <v>1325.58</v>
      </c>
      <c r="H769" t="s">
        <v>4268</v>
      </c>
      <c r="I769" t="s">
        <v>4269</v>
      </c>
      <c r="J769" s="6">
        <v>43494</v>
      </c>
      <c r="K769" t="s">
        <v>4270</v>
      </c>
    </row>
    <row r="770" spans="1:11">
      <c r="A770">
        <v>58</v>
      </c>
      <c r="B770" t="s">
        <v>1767</v>
      </c>
      <c r="C770" s="25" t="s">
        <v>135</v>
      </c>
      <c r="E770" s="75">
        <v>13</v>
      </c>
      <c r="G770" s="1">
        <v>2598.96</v>
      </c>
      <c r="H770" t="s">
        <v>4271</v>
      </c>
      <c r="I770" t="s">
        <v>4272</v>
      </c>
      <c r="J770" s="6">
        <v>43494</v>
      </c>
      <c r="K770" t="s">
        <v>4273</v>
      </c>
    </row>
    <row r="771" spans="1:11">
      <c r="A771">
        <v>59</v>
      </c>
      <c r="B771" t="s">
        <v>1477</v>
      </c>
      <c r="C771" s="25" t="s">
        <v>135</v>
      </c>
      <c r="E771" s="75">
        <v>432</v>
      </c>
      <c r="G771" s="1">
        <v>9482.4</v>
      </c>
      <c r="H771" t="s">
        <v>4274</v>
      </c>
      <c r="I771" t="s">
        <v>4275</v>
      </c>
      <c r="J771" s="6">
        <v>43495</v>
      </c>
      <c r="K771" t="s">
        <v>4276</v>
      </c>
    </row>
    <row r="772" spans="1:11">
      <c r="A772">
        <v>60</v>
      </c>
      <c r="B772" t="s">
        <v>1451</v>
      </c>
      <c r="C772" s="25" t="s">
        <v>1004</v>
      </c>
      <c r="E772" s="75">
        <v>167</v>
      </c>
      <c r="G772" s="1">
        <v>9417.1299999999992</v>
      </c>
      <c r="H772" t="s">
        <v>4277</v>
      </c>
      <c r="I772" t="s">
        <v>4278</v>
      </c>
      <c r="J772" s="6">
        <v>43496</v>
      </c>
      <c r="K772" t="s">
        <v>4279</v>
      </c>
    </row>
    <row r="773" spans="1:11">
      <c r="E773" s="75"/>
      <c r="G773" s="218">
        <f>SUM(G713:G772)</f>
        <v>220429.89999999994</v>
      </c>
      <c r="J773" s="6"/>
    </row>
    <row r="774" spans="1:11">
      <c r="B774" s="212">
        <v>43497</v>
      </c>
      <c r="E774" s="75"/>
      <c r="G774" s="70"/>
      <c r="J774" s="6"/>
    </row>
    <row r="775" spans="1:11">
      <c r="A775">
        <v>1</v>
      </c>
      <c r="B775" t="s">
        <v>1559</v>
      </c>
      <c r="C775" s="25" t="s">
        <v>404</v>
      </c>
      <c r="E775" s="75">
        <v>7</v>
      </c>
      <c r="G775" s="1">
        <v>9790.83</v>
      </c>
      <c r="H775" t="s">
        <v>4280</v>
      </c>
      <c r="I775" t="s">
        <v>4281</v>
      </c>
      <c r="J775" s="6">
        <v>43497</v>
      </c>
      <c r="K775" t="s">
        <v>4282</v>
      </c>
    </row>
    <row r="776" spans="1:11">
      <c r="A776">
        <v>2</v>
      </c>
      <c r="B776" t="s">
        <v>1661</v>
      </c>
      <c r="C776" s="25" t="s">
        <v>135</v>
      </c>
      <c r="E776" s="75">
        <v>14</v>
      </c>
      <c r="G776" s="1">
        <v>4446.68</v>
      </c>
      <c r="H776" t="s">
        <v>4283</v>
      </c>
      <c r="I776" t="s">
        <v>4284</v>
      </c>
      <c r="J776" s="6">
        <v>43497</v>
      </c>
      <c r="K776" t="s">
        <v>4285</v>
      </c>
    </row>
    <row r="777" spans="1:11">
      <c r="A777">
        <v>3</v>
      </c>
      <c r="B777" t="s">
        <v>1781</v>
      </c>
      <c r="C777" s="25" t="s">
        <v>1782</v>
      </c>
      <c r="E777" s="75">
        <v>11</v>
      </c>
      <c r="G777" s="1">
        <v>6853</v>
      </c>
      <c r="H777" t="s">
        <v>4286</v>
      </c>
      <c r="I777" t="s">
        <v>4287</v>
      </c>
      <c r="J777" s="6">
        <v>43501</v>
      </c>
      <c r="K777" t="s">
        <v>4288</v>
      </c>
    </row>
    <row r="778" spans="1:11">
      <c r="A778">
        <v>4</v>
      </c>
      <c r="B778" t="s">
        <v>1675</v>
      </c>
      <c r="C778" s="25" t="s">
        <v>236</v>
      </c>
      <c r="E778" s="75">
        <v>31</v>
      </c>
      <c r="G778" s="1">
        <v>11244.94</v>
      </c>
      <c r="H778" t="s">
        <v>4289</v>
      </c>
      <c r="I778" t="s">
        <v>4290</v>
      </c>
      <c r="J778" s="6">
        <v>43504</v>
      </c>
      <c r="K778" t="s">
        <v>4291</v>
      </c>
    </row>
    <row r="779" spans="1:11">
      <c r="A779">
        <v>5</v>
      </c>
      <c r="B779" t="s">
        <v>1724</v>
      </c>
      <c r="C779" s="25" t="s">
        <v>135</v>
      </c>
      <c r="E779" s="75">
        <v>25</v>
      </c>
      <c r="G779" s="1">
        <v>7343.5</v>
      </c>
      <c r="H779" t="s">
        <v>4292</v>
      </c>
      <c r="I779" t="s">
        <v>4293</v>
      </c>
      <c r="K779" t="s">
        <v>4294</v>
      </c>
    </row>
    <row r="780" spans="1:11">
      <c r="A780">
        <v>6</v>
      </c>
      <c r="B780" t="s">
        <v>1015</v>
      </c>
      <c r="C780" s="25" t="s">
        <v>135</v>
      </c>
      <c r="E780" s="75">
        <v>8</v>
      </c>
      <c r="G780" s="1">
        <v>33825.279999999999</v>
      </c>
      <c r="H780" t="s">
        <v>4295</v>
      </c>
      <c r="I780" t="s">
        <v>4296</v>
      </c>
      <c r="J780" s="6">
        <v>43503</v>
      </c>
      <c r="K780" t="s">
        <v>4297</v>
      </c>
    </row>
    <row r="781" spans="1:11">
      <c r="A781">
        <v>7</v>
      </c>
      <c r="B781" t="s">
        <v>1351</v>
      </c>
      <c r="C781" s="25" t="s">
        <v>4298</v>
      </c>
      <c r="E781" s="75">
        <v>10</v>
      </c>
      <c r="G781" s="1">
        <v>1108.5999999999999</v>
      </c>
      <c r="H781" t="s">
        <v>4299</v>
      </c>
      <c r="I781" t="s">
        <v>4300</v>
      </c>
      <c r="J781" s="6">
        <v>43504</v>
      </c>
      <c r="K781" t="s">
        <v>4301</v>
      </c>
    </row>
    <row r="782" spans="1:11">
      <c r="A782">
        <v>8</v>
      </c>
      <c r="B782" t="s">
        <v>1890</v>
      </c>
      <c r="C782" s="25" t="s">
        <v>880</v>
      </c>
      <c r="E782" s="75">
        <v>9</v>
      </c>
      <c r="G782" s="1">
        <v>2546.1</v>
      </c>
      <c r="H782" t="s">
        <v>4302</v>
      </c>
      <c r="I782" t="s">
        <v>4303</v>
      </c>
      <c r="J782" s="6">
        <v>43507</v>
      </c>
      <c r="K782" t="s">
        <v>4304</v>
      </c>
    </row>
    <row r="783" spans="1:11">
      <c r="A783">
        <v>9</v>
      </c>
      <c r="B783" t="s">
        <v>1464</v>
      </c>
      <c r="C783" s="25" t="s">
        <v>129</v>
      </c>
      <c r="E783" s="75">
        <v>1</v>
      </c>
      <c r="G783" s="181">
        <v>6862.89</v>
      </c>
      <c r="H783" t="s">
        <v>4302</v>
      </c>
      <c r="I783" t="s">
        <v>4305</v>
      </c>
      <c r="J783" s="6">
        <v>43507</v>
      </c>
      <c r="K783" t="s">
        <v>4306</v>
      </c>
    </row>
    <row r="784" spans="1:11">
      <c r="A784">
        <v>10</v>
      </c>
      <c r="B784" t="s">
        <v>1718</v>
      </c>
      <c r="C784" s="25" t="s">
        <v>129</v>
      </c>
      <c r="E784" s="75">
        <v>6</v>
      </c>
      <c r="G784" s="1">
        <v>5519.82</v>
      </c>
      <c r="H784" t="s">
        <v>4307</v>
      </c>
      <c r="I784" t="s">
        <v>4308</v>
      </c>
      <c r="J784" s="6">
        <v>43507</v>
      </c>
      <c r="K784" t="s">
        <v>4309</v>
      </c>
    </row>
    <row r="785" spans="1:11">
      <c r="A785">
        <v>11</v>
      </c>
      <c r="B785" t="s">
        <v>1745</v>
      </c>
      <c r="C785" s="25" t="s">
        <v>1679</v>
      </c>
      <c r="E785" s="75">
        <v>11</v>
      </c>
      <c r="G785" s="1">
        <v>3127.96</v>
      </c>
      <c r="H785" t="s">
        <v>4310</v>
      </c>
      <c r="I785" t="s">
        <v>4303</v>
      </c>
      <c r="J785" s="6">
        <v>43508</v>
      </c>
      <c r="K785" t="s">
        <v>4311</v>
      </c>
    </row>
    <row r="786" spans="1:11">
      <c r="A786">
        <v>12</v>
      </c>
      <c r="B786" t="s">
        <v>1760</v>
      </c>
      <c r="C786" s="25" t="s">
        <v>1595</v>
      </c>
      <c r="E786" s="75">
        <v>4</v>
      </c>
      <c r="G786" s="1">
        <v>2826.92</v>
      </c>
      <c r="H786" t="s">
        <v>4312</v>
      </c>
      <c r="I786" t="s">
        <v>4313</v>
      </c>
      <c r="J786" s="6">
        <v>43508</v>
      </c>
      <c r="K786" t="s">
        <v>4314</v>
      </c>
    </row>
    <row r="787" spans="1:11">
      <c r="A787">
        <v>13</v>
      </c>
      <c r="B787" t="s">
        <v>1895</v>
      </c>
      <c r="C787" s="73" t="s">
        <v>1506</v>
      </c>
      <c r="E787" s="75">
        <v>8</v>
      </c>
      <c r="G787" s="1">
        <v>538.4</v>
      </c>
      <c r="H787" t="s">
        <v>4312</v>
      </c>
      <c r="I787" t="s">
        <v>4315</v>
      </c>
      <c r="J787" s="6">
        <v>43508</v>
      </c>
      <c r="K787" t="s">
        <v>4316</v>
      </c>
    </row>
    <row r="788" spans="1:11">
      <c r="A788">
        <v>14</v>
      </c>
      <c r="B788" t="s">
        <v>1812</v>
      </c>
      <c r="C788" s="25" t="s">
        <v>4317</v>
      </c>
      <c r="E788" s="75">
        <v>3</v>
      </c>
      <c r="G788" s="1">
        <v>3963</v>
      </c>
      <c r="H788" t="s">
        <v>4318</v>
      </c>
      <c r="I788" t="s">
        <v>4319</v>
      </c>
      <c r="J788" s="6">
        <v>43508</v>
      </c>
      <c r="K788" t="s">
        <v>4320</v>
      </c>
    </row>
    <row r="789" spans="1:11">
      <c r="A789">
        <v>15</v>
      </c>
      <c r="B789" t="s">
        <v>1659</v>
      </c>
      <c r="C789" s="25" t="s">
        <v>4321</v>
      </c>
      <c r="E789" s="75">
        <v>1</v>
      </c>
      <c r="G789" s="1">
        <v>456.64</v>
      </c>
      <c r="H789" t="s">
        <v>4322</v>
      </c>
      <c r="I789" t="s">
        <v>4323</v>
      </c>
      <c r="J789" s="6">
        <v>43508</v>
      </c>
      <c r="K789" t="s">
        <v>4324</v>
      </c>
    </row>
    <row r="790" spans="1:11">
      <c r="A790">
        <v>16</v>
      </c>
      <c r="B790" t="s">
        <v>1697</v>
      </c>
      <c r="C790" s="25" t="s">
        <v>1506</v>
      </c>
      <c r="E790" s="75">
        <v>3</v>
      </c>
      <c r="G790" s="1">
        <v>2170.17</v>
      </c>
      <c r="H790" t="s">
        <v>4325</v>
      </c>
      <c r="I790" t="s">
        <v>4326</v>
      </c>
      <c r="J790" s="6">
        <v>43509</v>
      </c>
      <c r="K790" t="s">
        <v>4327</v>
      </c>
    </row>
    <row r="791" spans="1:11">
      <c r="A791">
        <v>17</v>
      </c>
      <c r="B791" t="s">
        <v>1945</v>
      </c>
      <c r="C791" s="25" t="s">
        <v>946</v>
      </c>
      <c r="E791" s="75">
        <v>49</v>
      </c>
      <c r="G791" s="1">
        <v>7565.11</v>
      </c>
      <c r="H791" t="s">
        <v>4328</v>
      </c>
      <c r="I791" t="s">
        <v>4329</v>
      </c>
      <c r="J791" s="6">
        <v>43510</v>
      </c>
      <c r="K791" t="s">
        <v>4330</v>
      </c>
    </row>
    <row r="792" spans="1:11">
      <c r="A792">
        <v>18</v>
      </c>
      <c r="B792" t="s">
        <v>1445</v>
      </c>
      <c r="C792" s="25" t="s">
        <v>135</v>
      </c>
      <c r="E792" s="75">
        <v>6</v>
      </c>
      <c r="G792" s="1">
        <v>5672.28</v>
      </c>
      <c r="H792" t="s">
        <v>4331</v>
      </c>
      <c r="I792" t="s">
        <v>4332</v>
      </c>
      <c r="J792" s="6">
        <v>43510</v>
      </c>
      <c r="K792" t="s">
        <v>4333</v>
      </c>
    </row>
    <row r="793" spans="1:11">
      <c r="A793">
        <v>19</v>
      </c>
      <c r="B793" t="s">
        <v>1743</v>
      </c>
      <c r="C793" s="25" t="s">
        <v>1506</v>
      </c>
      <c r="E793" s="75">
        <v>5</v>
      </c>
      <c r="G793" s="1">
        <v>11545.65</v>
      </c>
      <c r="H793" t="s">
        <v>4334</v>
      </c>
      <c r="I793" t="s">
        <v>4335</v>
      </c>
      <c r="J793" s="6">
        <v>43510</v>
      </c>
      <c r="K793" t="s">
        <v>4336</v>
      </c>
    </row>
    <row r="794" spans="1:11">
      <c r="A794">
        <v>20</v>
      </c>
      <c r="B794" t="s">
        <v>1869</v>
      </c>
      <c r="C794" s="25" t="s">
        <v>606</v>
      </c>
      <c r="E794" s="75">
        <v>2</v>
      </c>
      <c r="G794" s="1">
        <v>902</v>
      </c>
      <c r="H794" t="s">
        <v>4337</v>
      </c>
      <c r="I794" t="s">
        <v>4338</v>
      </c>
      <c r="J794" s="6">
        <v>43511</v>
      </c>
      <c r="K794" t="s">
        <v>104</v>
      </c>
    </row>
    <row r="795" spans="1:11">
      <c r="A795">
        <v>21</v>
      </c>
      <c r="B795" t="s">
        <v>1751</v>
      </c>
      <c r="C795" s="25" t="s">
        <v>129</v>
      </c>
      <c r="E795" s="75">
        <v>1</v>
      </c>
      <c r="G795" s="1">
        <v>2546</v>
      </c>
      <c r="H795" t="s">
        <v>4339</v>
      </c>
      <c r="I795" t="s">
        <v>4340</v>
      </c>
      <c r="J795" s="6">
        <v>43511</v>
      </c>
      <c r="K795" t="s">
        <v>4341</v>
      </c>
    </row>
    <row r="796" spans="1:11">
      <c r="A796">
        <v>22</v>
      </c>
      <c r="B796" t="s">
        <v>1756</v>
      </c>
      <c r="C796" s="25" t="s">
        <v>129</v>
      </c>
      <c r="E796" s="75">
        <v>4</v>
      </c>
      <c r="G796" s="1">
        <v>2989.56</v>
      </c>
      <c r="H796" t="s">
        <v>4342</v>
      </c>
      <c r="I796" t="s">
        <v>4343</v>
      </c>
      <c r="J796" s="6">
        <v>43511</v>
      </c>
      <c r="K796" t="s">
        <v>4344</v>
      </c>
    </row>
    <row r="797" spans="1:11">
      <c r="A797">
        <v>23</v>
      </c>
      <c r="B797" t="s">
        <v>1915</v>
      </c>
      <c r="C797" s="25" t="s">
        <v>606</v>
      </c>
      <c r="E797" s="75">
        <v>4</v>
      </c>
      <c r="G797" s="1">
        <v>39.520000000000003</v>
      </c>
      <c r="H797" t="s">
        <v>4345</v>
      </c>
      <c r="I797" t="s">
        <v>4346</v>
      </c>
      <c r="J797" s="6">
        <v>43514</v>
      </c>
      <c r="K797" t="s">
        <v>3900</v>
      </c>
    </row>
    <row r="798" spans="1:11">
      <c r="A798">
        <v>24</v>
      </c>
      <c r="B798" t="s">
        <v>1655</v>
      </c>
      <c r="C798" s="73" t="s">
        <v>129</v>
      </c>
      <c r="E798" s="75">
        <v>3</v>
      </c>
      <c r="G798" s="1">
        <v>11096.07</v>
      </c>
      <c r="H798" t="s">
        <v>4347</v>
      </c>
      <c r="I798" t="s">
        <v>4348</v>
      </c>
      <c r="J798" s="6">
        <v>43514</v>
      </c>
      <c r="K798" t="s">
        <v>4349</v>
      </c>
    </row>
    <row r="799" spans="1:11">
      <c r="A799">
        <v>25</v>
      </c>
      <c r="B799" t="s">
        <v>1655</v>
      </c>
      <c r="C799" s="73" t="s">
        <v>129</v>
      </c>
      <c r="E799" s="75">
        <v>4</v>
      </c>
      <c r="G799" s="1">
        <v>14794.76</v>
      </c>
      <c r="H799" t="s">
        <v>4350</v>
      </c>
      <c r="I799" t="s">
        <v>4351</v>
      </c>
      <c r="J799" s="6">
        <v>43514</v>
      </c>
      <c r="K799" t="s">
        <v>4352</v>
      </c>
    </row>
    <row r="800" spans="1:11">
      <c r="A800">
        <v>26</v>
      </c>
      <c r="B800" t="s">
        <v>1826</v>
      </c>
      <c r="C800" s="25" t="s">
        <v>880</v>
      </c>
      <c r="E800" s="75">
        <v>9</v>
      </c>
      <c r="G800" s="1">
        <v>5189.49</v>
      </c>
      <c r="H800" t="s">
        <v>4353</v>
      </c>
      <c r="I800" t="s">
        <v>4354</v>
      </c>
      <c r="J800" s="6">
        <v>43515</v>
      </c>
      <c r="K800" t="s">
        <v>4355</v>
      </c>
    </row>
    <row r="801" spans="1:11">
      <c r="A801">
        <v>27</v>
      </c>
      <c r="B801" t="s">
        <v>1826</v>
      </c>
      <c r="C801" t="s">
        <v>880</v>
      </c>
      <c r="E801" s="75">
        <v>9</v>
      </c>
      <c r="G801" s="1">
        <v>5189.49</v>
      </c>
      <c r="H801" t="s">
        <v>4356</v>
      </c>
      <c r="I801" t="s">
        <v>4357</v>
      </c>
      <c r="J801" s="6">
        <v>43515</v>
      </c>
      <c r="K801" t="s">
        <v>4358</v>
      </c>
    </row>
    <row r="802" spans="1:11">
      <c r="A802">
        <v>28</v>
      </c>
      <c r="B802" t="s">
        <v>1688</v>
      </c>
      <c r="C802" t="s">
        <v>4359</v>
      </c>
      <c r="E802">
        <v>92</v>
      </c>
      <c r="G802" s="1">
        <v>9168.7199999999993</v>
      </c>
      <c r="H802" t="s">
        <v>4360</v>
      </c>
      <c r="I802" t="s">
        <v>4361</v>
      </c>
      <c r="J802" s="6">
        <v>43516</v>
      </c>
      <c r="K802" t="s">
        <v>4362</v>
      </c>
    </row>
    <row r="803" spans="1:11">
      <c r="A803">
        <v>29</v>
      </c>
      <c r="B803" t="s">
        <v>1762</v>
      </c>
      <c r="C803" s="25" t="s">
        <v>315</v>
      </c>
      <c r="E803" s="75">
        <v>52</v>
      </c>
      <c r="G803" s="1">
        <v>26057.72</v>
      </c>
      <c r="H803" t="s">
        <v>4363</v>
      </c>
      <c r="I803" t="s">
        <v>4364</v>
      </c>
      <c r="J803" s="6">
        <v>43517</v>
      </c>
      <c r="K803" t="s">
        <v>4365</v>
      </c>
    </row>
    <row r="804" spans="1:11">
      <c r="A804">
        <v>30</v>
      </c>
      <c r="B804" t="s">
        <v>1974</v>
      </c>
      <c r="C804" s="25" t="s">
        <v>501</v>
      </c>
      <c r="E804" s="75">
        <v>65</v>
      </c>
      <c r="G804" s="1">
        <v>6228.95</v>
      </c>
      <c r="H804" t="s">
        <v>4366</v>
      </c>
      <c r="I804" t="s">
        <v>4367</v>
      </c>
      <c r="J804" s="6">
        <v>43517</v>
      </c>
      <c r="K804" t="s">
        <v>4368</v>
      </c>
    </row>
    <row r="805" spans="1:11">
      <c r="A805">
        <v>31</v>
      </c>
      <c r="B805" t="s">
        <v>1831</v>
      </c>
      <c r="C805" s="25" t="s">
        <v>135</v>
      </c>
      <c r="E805" s="75">
        <v>223</v>
      </c>
      <c r="G805" s="181">
        <v>9350.39</v>
      </c>
      <c r="H805" t="s">
        <v>4369</v>
      </c>
      <c r="I805" t="s">
        <v>4370</v>
      </c>
      <c r="J805" s="6">
        <v>43517</v>
      </c>
      <c r="K805" t="s">
        <v>4371</v>
      </c>
    </row>
    <row r="806" spans="1:11">
      <c r="A806">
        <v>32</v>
      </c>
      <c r="B806" t="s">
        <v>1876</v>
      </c>
      <c r="C806" s="25" t="s">
        <v>135</v>
      </c>
      <c r="E806" s="75">
        <v>100</v>
      </c>
      <c r="G806" s="1">
        <v>4164</v>
      </c>
      <c r="H806" t="s">
        <v>4372</v>
      </c>
      <c r="I806" t="s">
        <v>4373</v>
      </c>
      <c r="J806" s="6">
        <v>43519</v>
      </c>
      <c r="K806" t="s">
        <v>4374</v>
      </c>
    </row>
    <row r="807" spans="1:11">
      <c r="A807">
        <v>33</v>
      </c>
      <c r="B807" t="s">
        <v>1888</v>
      </c>
      <c r="C807" s="25" t="s">
        <v>1506</v>
      </c>
      <c r="E807" s="75">
        <v>7</v>
      </c>
      <c r="G807" s="181">
        <v>2088.8000000000002</v>
      </c>
      <c r="H807" t="s">
        <v>4375</v>
      </c>
      <c r="I807" t="s">
        <v>4376</v>
      </c>
      <c r="J807" s="6">
        <v>43519</v>
      </c>
      <c r="K807" t="s">
        <v>4377</v>
      </c>
    </row>
    <row r="808" spans="1:11">
      <c r="A808">
        <v>34</v>
      </c>
      <c r="B808" t="s">
        <v>1720</v>
      </c>
      <c r="C808" t="s">
        <v>872</v>
      </c>
      <c r="E808" s="75">
        <v>2</v>
      </c>
      <c r="G808" s="1">
        <v>469.38</v>
      </c>
      <c r="H808" t="s">
        <v>4378</v>
      </c>
      <c r="I808" t="s">
        <v>4379</v>
      </c>
      <c r="J808" s="6">
        <v>43519</v>
      </c>
      <c r="K808" t="s">
        <v>104</v>
      </c>
    </row>
    <row r="809" spans="1:11">
      <c r="A809">
        <v>35</v>
      </c>
      <c r="B809" t="s">
        <v>1627</v>
      </c>
      <c r="C809" s="25" t="s">
        <v>135</v>
      </c>
      <c r="E809" s="75">
        <v>5</v>
      </c>
      <c r="G809" s="1">
        <v>2881.05</v>
      </c>
      <c r="H809" t="s">
        <v>4380</v>
      </c>
      <c r="I809" t="s">
        <v>4381</v>
      </c>
      <c r="J809" s="6">
        <v>43521</v>
      </c>
      <c r="K809" t="s">
        <v>4382</v>
      </c>
    </row>
    <row r="810" spans="1:11">
      <c r="A810">
        <v>36</v>
      </c>
      <c r="B810" t="s">
        <v>1807</v>
      </c>
      <c r="C810" t="s">
        <v>4383</v>
      </c>
      <c r="E810" s="75">
        <v>6</v>
      </c>
      <c r="G810" s="1">
        <v>5920.32</v>
      </c>
      <c r="H810" t="s">
        <v>4384</v>
      </c>
      <c r="I810" t="s">
        <v>4385</v>
      </c>
      <c r="J810" s="6">
        <v>43521</v>
      </c>
      <c r="K810" t="s">
        <v>4386</v>
      </c>
    </row>
    <row r="811" spans="1:11">
      <c r="A811">
        <v>37</v>
      </c>
      <c r="B811" t="s">
        <v>1747</v>
      </c>
      <c r="C811" s="25" t="s">
        <v>1037</v>
      </c>
      <c r="E811" s="75">
        <v>1</v>
      </c>
      <c r="G811" s="170">
        <v>826</v>
      </c>
      <c r="H811" t="s">
        <v>4387</v>
      </c>
      <c r="I811" t="s">
        <v>4388</v>
      </c>
      <c r="J811" s="6">
        <v>43521</v>
      </c>
      <c r="K811" t="s">
        <v>4389</v>
      </c>
    </row>
    <row r="812" spans="1:11">
      <c r="A812">
        <v>38</v>
      </c>
      <c r="B812" t="s">
        <v>1561</v>
      </c>
      <c r="C812" s="25" t="s">
        <v>135</v>
      </c>
      <c r="E812" s="75">
        <v>10</v>
      </c>
      <c r="G812" s="1">
        <v>3990</v>
      </c>
      <c r="H812" t="s">
        <v>4390</v>
      </c>
      <c r="I812" t="s">
        <v>4391</v>
      </c>
      <c r="K812" t="s">
        <v>4392</v>
      </c>
    </row>
    <row r="813" spans="1:11">
      <c r="A813">
        <v>39</v>
      </c>
      <c r="B813" t="s">
        <v>1912</v>
      </c>
      <c r="C813" s="90" t="s">
        <v>1913</v>
      </c>
      <c r="G813">
        <v>275.08</v>
      </c>
      <c r="H813" t="s">
        <v>4393</v>
      </c>
      <c r="I813" t="s">
        <v>4394</v>
      </c>
    </row>
    <row r="814" spans="1:11">
      <c r="A814">
        <v>40</v>
      </c>
      <c r="B814" t="s">
        <v>1859</v>
      </c>
      <c r="C814" s="73" t="s">
        <v>1857</v>
      </c>
      <c r="E814" s="75">
        <v>27</v>
      </c>
      <c r="F814">
        <v>10</v>
      </c>
      <c r="G814" s="1">
        <v>3667.14</v>
      </c>
      <c r="H814" t="s">
        <v>4395</v>
      </c>
      <c r="I814" t="s">
        <v>4396</v>
      </c>
      <c r="J814" s="6">
        <v>43524</v>
      </c>
      <c r="K814" t="s">
        <v>4397</v>
      </c>
    </row>
    <row r="815" spans="1:11">
      <c r="A815">
        <v>41</v>
      </c>
      <c r="B815" t="s">
        <v>1641</v>
      </c>
      <c r="C815" s="25" t="s">
        <v>1595</v>
      </c>
      <c r="E815" s="75">
        <v>6</v>
      </c>
      <c r="G815" s="1">
        <v>7010.4</v>
      </c>
      <c r="H815" t="s">
        <v>4398</v>
      </c>
      <c r="I815" t="s">
        <v>4399</v>
      </c>
      <c r="J815" s="6">
        <v>43524</v>
      </c>
      <c r="K815" t="s">
        <v>4400</v>
      </c>
    </row>
    <row r="816" spans="1:11">
      <c r="A816">
        <v>42</v>
      </c>
      <c r="B816" t="s">
        <v>1701</v>
      </c>
      <c r="C816" s="25" t="s">
        <v>129</v>
      </c>
      <c r="E816" s="75">
        <v>20</v>
      </c>
      <c r="G816" s="1">
        <v>18532.400000000001</v>
      </c>
      <c r="H816" t="s">
        <v>4401</v>
      </c>
      <c r="I816" t="s">
        <v>4402</v>
      </c>
      <c r="J816" s="6">
        <v>43524</v>
      </c>
      <c r="K816" t="s">
        <v>4403</v>
      </c>
    </row>
    <row r="818" spans="1:11">
      <c r="B818" s="212">
        <v>43525</v>
      </c>
    </row>
    <row r="819" spans="1:11">
      <c r="A819">
        <v>1</v>
      </c>
      <c r="B819" t="s">
        <v>1599</v>
      </c>
      <c r="C819" s="73" t="s">
        <v>1600</v>
      </c>
      <c r="E819" s="75">
        <v>1</v>
      </c>
      <c r="G819" s="1">
        <v>3058</v>
      </c>
      <c r="H819" t="s">
        <v>4404</v>
      </c>
      <c r="I819" t="s">
        <v>4405</v>
      </c>
      <c r="J819" s="6">
        <v>43525</v>
      </c>
      <c r="K819" t="s">
        <v>4406</v>
      </c>
    </row>
    <row r="820" spans="1:11">
      <c r="A820">
        <v>2</v>
      </c>
      <c r="B820" t="s">
        <v>1681</v>
      </c>
      <c r="C820" s="25" t="s">
        <v>135</v>
      </c>
      <c r="E820" s="75">
        <v>11</v>
      </c>
      <c r="G820" s="1">
        <v>2518.7800000000002</v>
      </c>
      <c r="H820" t="s">
        <v>4407</v>
      </c>
      <c r="I820" t="s">
        <v>4408</v>
      </c>
      <c r="J820" s="6">
        <v>43528</v>
      </c>
      <c r="K820" t="s">
        <v>4409</v>
      </c>
    </row>
    <row r="821" spans="1:11">
      <c r="A821">
        <v>3</v>
      </c>
      <c r="B821" t="s">
        <v>1923</v>
      </c>
      <c r="C821" t="s">
        <v>606</v>
      </c>
      <c r="E821" s="75">
        <v>14</v>
      </c>
      <c r="G821" s="1">
        <v>2012.64</v>
      </c>
      <c r="H821" t="s">
        <v>4410</v>
      </c>
      <c r="I821" t="s">
        <v>4411</v>
      </c>
      <c r="J821" s="6">
        <v>43529</v>
      </c>
      <c r="K821" t="s">
        <v>4412</v>
      </c>
    </row>
    <row r="822" spans="1:11">
      <c r="A822">
        <v>4</v>
      </c>
      <c r="B822" t="s">
        <v>1943</v>
      </c>
      <c r="C822" s="25" t="s">
        <v>606</v>
      </c>
      <c r="E822" s="75">
        <v>8</v>
      </c>
      <c r="G822" s="1">
        <v>1491.04</v>
      </c>
      <c r="H822" t="s">
        <v>4413</v>
      </c>
      <c r="I822" t="s">
        <v>4414</v>
      </c>
      <c r="J822" s="6">
        <v>43529</v>
      </c>
      <c r="K822" t="s">
        <v>4415</v>
      </c>
    </row>
    <row r="823" spans="1:11">
      <c r="A823">
        <v>5</v>
      </c>
      <c r="B823" t="s">
        <v>1664</v>
      </c>
      <c r="C823" s="73" t="s">
        <v>135</v>
      </c>
      <c r="E823" s="75">
        <v>62</v>
      </c>
      <c r="G823" s="1">
        <v>2750.32</v>
      </c>
      <c r="H823" t="s">
        <v>4416</v>
      </c>
      <c r="I823" t="s">
        <v>4417</v>
      </c>
      <c r="J823" s="6">
        <v>43532</v>
      </c>
      <c r="K823" t="s">
        <v>4418</v>
      </c>
    </row>
    <row r="824" spans="1:11">
      <c r="A824">
        <v>6</v>
      </c>
      <c r="B824" t="s">
        <v>1737</v>
      </c>
      <c r="C824" s="73" t="s">
        <v>1595</v>
      </c>
      <c r="E824" s="75">
        <v>8</v>
      </c>
      <c r="G824" s="1">
        <v>4715.92</v>
      </c>
      <c r="H824" t="s">
        <v>4419</v>
      </c>
      <c r="I824" t="s">
        <v>4420</v>
      </c>
      <c r="J824" s="6">
        <v>43535</v>
      </c>
      <c r="K824" t="s">
        <v>4421</v>
      </c>
    </row>
    <row r="825" spans="1:11">
      <c r="A825">
        <v>7</v>
      </c>
      <c r="B825" t="s">
        <v>1737</v>
      </c>
      <c r="C825" s="73" t="s">
        <v>1595</v>
      </c>
      <c r="E825" s="75">
        <v>8</v>
      </c>
      <c r="G825" s="1">
        <v>4715.92</v>
      </c>
      <c r="H825" t="s">
        <v>4422</v>
      </c>
      <c r="I825" t="s">
        <v>4423</v>
      </c>
      <c r="J825" s="6">
        <v>43535</v>
      </c>
      <c r="K825" t="s">
        <v>4424</v>
      </c>
    </row>
    <row r="826" spans="1:11">
      <c r="A826">
        <v>8</v>
      </c>
      <c r="B826" t="s">
        <v>1737</v>
      </c>
      <c r="C826" s="73" t="s">
        <v>1595</v>
      </c>
      <c r="E826" s="75">
        <v>7</v>
      </c>
      <c r="G826" s="1">
        <v>4126.43</v>
      </c>
      <c r="H826" t="s">
        <v>4425</v>
      </c>
      <c r="I826" t="s">
        <v>4426</v>
      </c>
      <c r="J826" s="6">
        <v>43535</v>
      </c>
      <c r="K826" t="s">
        <v>4427</v>
      </c>
    </row>
    <row r="827" spans="1:11">
      <c r="A827">
        <v>9</v>
      </c>
      <c r="B827" t="s">
        <v>1909</v>
      </c>
      <c r="C827" s="73" t="s">
        <v>682</v>
      </c>
      <c r="E827" s="75">
        <v>2434</v>
      </c>
      <c r="G827" s="1">
        <v>1849.84</v>
      </c>
      <c r="H827" t="s">
        <v>4428</v>
      </c>
      <c r="I827" t="s">
        <v>4429</v>
      </c>
      <c r="J827" s="6">
        <v>43536</v>
      </c>
      <c r="K827" t="s">
        <v>4430</v>
      </c>
    </row>
    <row r="828" spans="1:11">
      <c r="A828">
        <v>10</v>
      </c>
      <c r="B828" t="s">
        <v>1854</v>
      </c>
      <c r="C828" s="73" t="s">
        <v>135</v>
      </c>
      <c r="E828" s="75">
        <v>3</v>
      </c>
      <c r="G828" s="1">
        <v>1841.01</v>
      </c>
      <c r="H828" t="s">
        <v>4431</v>
      </c>
      <c r="I828" t="s">
        <v>4432</v>
      </c>
      <c r="J828" s="6">
        <v>43536</v>
      </c>
      <c r="K828" t="s">
        <v>4433</v>
      </c>
    </row>
    <row r="829" spans="1:11">
      <c r="A829">
        <v>11</v>
      </c>
      <c r="B829" t="s">
        <v>1958</v>
      </c>
      <c r="C829" s="73" t="s">
        <v>606</v>
      </c>
      <c r="E829" s="75">
        <v>16</v>
      </c>
      <c r="G829" s="1">
        <v>5017.6000000000004</v>
      </c>
      <c r="H829" t="s">
        <v>4434</v>
      </c>
      <c r="I829" t="s">
        <v>4435</v>
      </c>
      <c r="J829" s="6">
        <v>43537</v>
      </c>
      <c r="K829" t="s">
        <v>4436</v>
      </c>
    </row>
    <row r="830" spans="1:11">
      <c r="A830">
        <v>12</v>
      </c>
      <c r="B830" t="s">
        <v>1344</v>
      </c>
      <c r="C830" s="73" t="s">
        <v>129</v>
      </c>
      <c r="E830" s="75">
        <v>4</v>
      </c>
      <c r="G830" s="1">
        <v>25368</v>
      </c>
      <c r="H830" t="s">
        <v>4437</v>
      </c>
      <c r="I830" t="s">
        <v>4438</v>
      </c>
      <c r="J830" s="6">
        <v>43537</v>
      </c>
      <c r="K830" t="s">
        <v>4439</v>
      </c>
    </row>
    <row r="831" spans="1:11">
      <c r="A831">
        <v>13</v>
      </c>
      <c r="B831" t="s">
        <v>1344</v>
      </c>
      <c r="C831" s="73" t="s">
        <v>129</v>
      </c>
      <c r="E831" s="75">
        <v>3</v>
      </c>
      <c r="G831" s="1">
        <v>19026</v>
      </c>
      <c r="H831" t="s">
        <v>4440</v>
      </c>
      <c r="I831" t="s">
        <v>4441</v>
      </c>
      <c r="J831" s="6">
        <v>43537</v>
      </c>
      <c r="K831" t="s">
        <v>4442</v>
      </c>
    </row>
    <row r="832" spans="1:11">
      <c r="A832">
        <v>14</v>
      </c>
      <c r="B832" t="s">
        <v>1850</v>
      </c>
      <c r="C832" t="s">
        <v>1112</v>
      </c>
      <c r="E832" s="75">
        <v>8</v>
      </c>
      <c r="G832" s="1">
        <v>5182.6400000000003</v>
      </c>
      <c r="H832" t="s">
        <v>4443</v>
      </c>
      <c r="I832" t="s">
        <v>4444</v>
      </c>
      <c r="J832" s="6">
        <v>43538</v>
      </c>
      <c r="K832" t="s">
        <v>4445</v>
      </c>
    </row>
    <row r="833" spans="1:11">
      <c r="A833">
        <v>15</v>
      </c>
      <c r="B833" t="s">
        <v>1928</v>
      </c>
      <c r="C833" t="s">
        <v>1112</v>
      </c>
      <c r="E833" s="75">
        <v>9</v>
      </c>
      <c r="G833" s="1">
        <v>4521.6000000000004</v>
      </c>
      <c r="H833" t="s">
        <v>4446</v>
      </c>
      <c r="I833" t="s">
        <v>4447</v>
      </c>
      <c r="J833" s="6">
        <v>43538</v>
      </c>
      <c r="K833" t="s">
        <v>4448</v>
      </c>
    </row>
    <row r="834" spans="1:11">
      <c r="A834">
        <v>16</v>
      </c>
      <c r="B834" t="s">
        <v>1928</v>
      </c>
      <c r="C834" t="s">
        <v>1112</v>
      </c>
      <c r="E834" s="75">
        <v>10</v>
      </c>
      <c r="G834" s="1">
        <v>5024</v>
      </c>
      <c r="H834" t="s">
        <v>4449</v>
      </c>
      <c r="I834" t="s">
        <v>4450</v>
      </c>
      <c r="J834" s="6">
        <v>43538</v>
      </c>
      <c r="K834" t="s">
        <v>4451</v>
      </c>
    </row>
    <row r="835" spans="1:11">
      <c r="A835">
        <v>17</v>
      </c>
      <c r="B835" t="s">
        <v>1935</v>
      </c>
      <c r="C835" t="s">
        <v>4452</v>
      </c>
      <c r="E835" s="75">
        <v>14</v>
      </c>
      <c r="G835" s="1">
        <v>1604.82</v>
      </c>
      <c r="H835" t="s">
        <v>4453</v>
      </c>
      <c r="I835" t="s">
        <v>4454</v>
      </c>
      <c r="J835" s="6">
        <v>43539</v>
      </c>
      <c r="K835" t="s">
        <v>4455</v>
      </c>
    </row>
    <row r="836" spans="1:11">
      <c r="A836">
        <v>18</v>
      </c>
      <c r="B836" t="s">
        <v>1739</v>
      </c>
      <c r="C836" t="s">
        <v>1600</v>
      </c>
      <c r="E836" s="75">
        <v>40</v>
      </c>
      <c r="G836" s="1">
        <v>5724.4</v>
      </c>
      <c r="H836" t="s">
        <v>4456</v>
      </c>
      <c r="I836" t="s">
        <v>4457</v>
      </c>
      <c r="J836" s="6">
        <v>43539</v>
      </c>
      <c r="K836" t="s">
        <v>4458</v>
      </c>
    </row>
    <row r="837" spans="1:11">
      <c r="A837">
        <v>19</v>
      </c>
      <c r="B837" t="s">
        <v>1969</v>
      </c>
      <c r="C837" t="s">
        <v>315</v>
      </c>
      <c r="E837" s="75">
        <v>1</v>
      </c>
      <c r="G837" s="1">
        <v>845.47</v>
      </c>
      <c r="H837" t="s">
        <v>4459</v>
      </c>
      <c r="I837" t="s">
        <v>4460</v>
      </c>
      <c r="J837" s="6">
        <v>43539</v>
      </c>
      <c r="K837" t="s">
        <v>4461</v>
      </c>
    </row>
    <row r="838" spans="1:11">
      <c r="A838">
        <v>20</v>
      </c>
      <c r="B838" t="s">
        <v>1932</v>
      </c>
      <c r="C838" t="s">
        <v>606</v>
      </c>
      <c r="E838" s="75">
        <v>8</v>
      </c>
      <c r="G838" s="1">
        <v>796.96</v>
      </c>
      <c r="H838" t="s">
        <v>4462</v>
      </c>
      <c r="I838" t="s">
        <v>4463</v>
      </c>
      <c r="J838" s="6">
        <v>43542</v>
      </c>
      <c r="K838" t="s">
        <v>4464</v>
      </c>
    </row>
    <row r="839" spans="1:11">
      <c r="A839">
        <v>21</v>
      </c>
      <c r="B839" t="s">
        <v>1905</v>
      </c>
      <c r="C839" t="s">
        <v>315</v>
      </c>
      <c r="E839" s="75">
        <v>20</v>
      </c>
      <c r="G839" s="1">
        <v>16715.400000000001</v>
      </c>
      <c r="H839" t="s">
        <v>4465</v>
      </c>
      <c r="I839" t="s">
        <v>4466</v>
      </c>
      <c r="J839" s="6">
        <v>43542</v>
      </c>
      <c r="K839" t="s">
        <v>4467</v>
      </c>
    </row>
    <row r="840" spans="1:11">
      <c r="A840">
        <v>22</v>
      </c>
      <c r="B840" t="s">
        <v>1955</v>
      </c>
      <c r="C840" t="s">
        <v>129</v>
      </c>
      <c r="E840" s="75">
        <v>1</v>
      </c>
      <c r="G840" s="1"/>
      <c r="H840" t="s">
        <v>4468</v>
      </c>
      <c r="I840" t="s">
        <v>4469</v>
      </c>
      <c r="J840" s="6">
        <v>43542</v>
      </c>
      <c r="K840" t="s">
        <v>4470</v>
      </c>
    </row>
  </sheetData>
  <hyperlinks>
    <hyperlink ref="B402" r:id="rId1" tooltip="Select this Contract Number" display="https://wawf.eb.mil/wawf/xhtml/auth/web/folder/DocumentFolder.xhtml" xr:uid="{00000000-0004-0000-0300-000000000000}"/>
    <hyperlink ref="B403" r:id="rId2" tooltip="Select this Contract Number" display="https://wawf.eb.mil/wawf/xhtml/auth/web/folder/DocumentFolder.xhtml" xr:uid="{00000000-0004-0000-0300-000001000000}"/>
  </hyperlinks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15"/>
  <sheetViews>
    <sheetView workbookViewId="0"/>
  </sheetViews>
  <sheetFormatPr defaultRowHeight="15"/>
  <cols>
    <col min="2" max="2" width="10" customWidth="1"/>
    <col min="4" max="4" width="10.7109375" customWidth="1"/>
    <col min="5" max="5" width="11.85546875" customWidth="1"/>
    <col min="6" max="6" width="11.28515625" customWidth="1"/>
    <col min="7" max="7" width="12.7109375" customWidth="1"/>
    <col min="8" max="8" width="13.5703125" customWidth="1"/>
    <col min="9" max="9" width="11.85546875" customWidth="1"/>
    <col min="12" max="12" width="10.140625" bestFit="1" customWidth="1"/>
  </cols>
  <sheetData>
    <row r="1" spans="1:13">
      <c r="B1" s="7" t="s">
        <v>4471</v>
      </c>
      <c r="C1" s="7"/>
      <c r="D1" s="7"/>
    </row>
    <row r="2" spans="1:13">
      <c r="A2" s="7" t="s">
        <v>104</v>
      </c>
      <c r="B2" s="7" t="s">
        <v>4472</v>
      </c>
      <c r="C2" s="7" t="s">
        <v>106</v>
      </c>
      <c r="D2" s="7" t="s">
        <v>107</v>
      </c>
      <c r="E2" s="7" t="s">
        <v>108</v>
      </c>
      <c r="F2" s="7" t="s">
        <v>109</v>
      </c>
      <c r="G2" s="7" t="s">
        <v>112</v>
      </c>
      <c r="H2" s="7" t="s">
        <v>113</v>
      </c>
      <c r="I2" s="7" t="s">
        <v>114</v>
      </c>
      <c r="J2" s="7" t="s">
        <v>4473</v>
      </c>
      <c r="M2" s="7" t="s">
        <v>4474</v>
      </c>
    </row>
    <row r="3" spans="1:13">
      <c r="A3">
        <v>1</v>
      </c>
      <c r="B3" t="s">
        <v>4475</v>
      </c>
      <c r="C3">
        <v>71</v>
      </c>
      <c r="D3" t="s">
        <v>4476</v>
      </c>
      <c r="E3" s="6">
        <v>42614</v>
      </c>
      <c r="F3" s="6">
        <v>42667</v>
      </c>
      <c r="G3" s="1">
        <v>13487.16</v>
      </c>
      <c r="H3" s="1">
        <f>12652.2+M3</f>
        <v>13044.83</v>
      </c>
      <c r="I3" s="1">
        <f>G3-H3</f>
        <v>442.32999999999993</v>
      </c>
      <c r="J3" s="1">
        <v>130</v>
      </c>
      <c r="K3">
        <f>I3/H3</f>
        <v>3.3908452620693405E-2</v>
      </c>
      <c r="L3" s="1">
        <v>10.45</v>
      </c>
      <c r="M3" s="1">
        <v>392.63</v>
      </c>
    </row>
    <row r="4" spans="1:13">
      <c r="A4">
        <v>2</v>
      </c>
      <c r="B4" t="s">
        <v>4477</v>
      </c>
      <c r="C4">
        <v>22</v>
      </c>
      <c r="D4" t="s">
        <v>4478</v>
      </c>
      <c r="E4" s="6">
        <v>42641</v>
      </c>
      <c r="F4" s="6">
        <v>42709</v>
      </c>
      <c r="G4" s="9">
        <v>42738</v>
      </c>
      <c r="H4" s="1">
        <v>40372</v>
      </c>
      <c r="I4" s="1">
        <f>G4-H4</f>
        <v>2366</v>
      </c>
      <c r="J4">
        <v>708.76</v>
      </c>
      <c r="K4">
        <f>I4/H4</f>
        <v>5.8604973744179133E-2</v>
      </c>
    </row>
    <row r="5" spans="1:13">
      <c r="A5">
        <v>3</v>
      </c>
      <c r="B5" t="s">
        <v>4479</v>
      </c>
      <c r="C5">
        <v>2</v>
      </c>
      <c r="D5" t="s">
        <v>2160</v>
      </c>
      <c r="E5" s="6">
        <v>42727</v>
      </c>
      <c r="F5" s="6"/>
      <c r="G5" s="1">
        <v>11594</v>
      </c>
      <c r="H5" s="1">
        <v>10439.56</v>
      </c>
      <c r="I5" s="1">
        <f>G5-H5</f>
        <v>1154.4400000000005</v>
      </c>
      <c r="J5" s="1">
        <v>0</v>
      </c>
      <c r="K5">
        <f>I5/H5</f>
        <v>0.11058320465613498</v>
      </c>
      <c r="L5" s="11"/>
    </row>
    <row r="6" spans="1:13">
      <c r="A6" s="7"/>
      <c r="B6" s="7" t="s">
        <v>4480</v>
      </c>
      <c r="E6" s="6"/>
      <c r="F6" s="6"/>
      <c r="G6" s="5">
        <f>SUM(G3:G5)</f>
        <v>67819.16</v>
      </c>
      <c r="H6" s="5">
        <f>SUM(H3:H5)</f>
        <v>63856.39</v>
      </c>
      <c r="I6" s="5">
        <f>SUM(I3:I5)</f>
        <v>3962.7700000000004</v>
      </c>
      <c r="J6" s="1"/>
      <c r="K6">
        <f>I6/H6</f>
        <v>6.2057532535115131E-2</v>
      </c>
      <c r="L6" s="11"/>
    </row>
    <row r="7" spans="1:13">
      <c r="A7">
        <v>4</v>
      </c>
      <c r="B7" t="s">
        <v>4481</v>
      </c>
      <c r="C7">
        <v>4</v>
      </c>
      <c r="D7" t="s">
        <v>4482</v>
      </c>
      <c r="E7" s="6">
        <v>42793</v>
      </c>
      <c r="G7" s="61">
        <v>10620</v>
      </c>
      <c r="H7" s="11">
        <v>9724</v>
      </c>
      <c r="I7" s="1">
        <f>G7-H7</f>
        <v>896</v>
      </c>
      <c r="J7" s="1">
        <v>468.17</v>
      </c>
      <c r="K7">
        <f>I7/H7</f>
        <v>9.2143150966680382E-2</v>
      </c>
      <c r="M7" t="s">
        <v>4483</v>
      </c>
    </row>
    <row r="8" spans="1:13">
      <c r="H8" s="11"/>
      <c r="I8" s="11"/>
    </row>
    <row r="9" spans="1:13">
      <c r="A9">
        <v>5</v>
      </c>
      <c r="B9" t="s">
        <v>4484</v>
      </c>
      <c r="D9" t="s">
        <v>4485</v>
      </c>
      <c r="E9" s="6">
        <v>42812</v>
      </c>
      <c r="F9" s="6">
        <v>42845</v>
      </c>
      <c r="G9" s="1">
        <v>15000</v>
      </c>
      <c r="H9" s="1">
        <v>15000</v>
      </c>
      <c r="I9" s="1">
        <v>15000</v>
      </c>
    </row>
    <row r="12" spans="1:13">
      <c r="G12" s="1">
        <v>67819.16</v>
      </c>
      <c r="H12" s="1">
        <v>63856.39</v>
      </c>
    </row>
    <row r="13" spans="1:13">
      <c r="G13" s="1">
        <v>157601.29999999999</v>
      </c>
      <c r="H13" s="1">
        <v>155413.54999999999</v>
      </c>
    </row>
    <row r="14" spans="1:13">
      <c r="G14" s="11">
        <f>SUM(G12:G13)</f>
        <v>225420.46</v>
      </c>
      <c r="H14" s="11">
        <f>SUM(H12:H13)</f>
        <v>219269.94</v>
      </c>
      <c r="I14" s="11">
        <f>G14-H14</f>
        <v>6150.5199999999895</v>
      </c>
      <c r="J14">
        <f>I14/H14</f>
        <v>2.8049991713410372E-2</v>
      </c>
    </row>
    <row r="15" spans="1:13">
      <c r="I15">
        <v>0.03</v>
      </c>
      <c r="J15">
        <f>+G14*I15</f>
        <v>6762.6137999999992</v>
      </c>
    </row>
  </sheetData>
  <pageMargins left="0.7" right="0.7" top="0.75" bottom="0.75" header="0.3" footer="0.3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Q77"/>
  <sheetViews>
    <sheetView workbookViewId="0">
      <selection activeCell="F11" sqref="F11"/>
    </sheetView>
  </sheetViews>
  <sheetFormatPr defaultRowHeight="15"/>
  <cols>
    <col min="1" max="1" width="13.42578125" customWidth="1"/>
    <col min="2" max="2" width="15.85546875" customWidth="1"/>
    <col min="3" max="3" width="12.85546875" customWidth="1"/>
    <col min="4" max="4" width="14" customWidth="1"/>
    <col min="5" max="5" width="6.7109375" customWidth="1"/>
    <col min="6" max="6" width="14.85546875" customWidth="1"/>
    <col min="7" max="7" width="14.28515625" customWidth="1"/>
    <col min="8" max="8" width="13" customWidth="1"/>
    <col min="9" max="9" width="15.28515625" bestFit="1" customWidth="1"/>
    <col min="10" max="10" width="13.28515625" bestFit="1" customWidth="1"/>
    <col min="11" max="11" width="16.5703125" customWidth="1"/>
    <col min="12" max="12" width="15" customWidth="1"/>
    <col min="13" max="13" width="18.42578125" customWidth="1"/>
    <col min="14" max="14" width="30" customWidth="1"/>
  </cols>
  <sheetData>
    <row r="2" spans="1:14" ht="19.149999999999999" customHeight="1">
      <c r="A2" s="7" t="s">
        <v>4486</v>
      </c>
      <c r="B2" s="7" t="s">
        <v>4487</v>
      </c>
      <c r="C2" s="7" t="s">
        <v>4488</v>
      </c>
      <c r="D2" s="7" t="s">
        <v>4489</v>
      </c>
      <c r="E2" s="7" t="s">
        <v>1803</v>
      </c>
      <c r="F2" s="7" t="s">
        <v>4490</v>
      </c>
      <c r="G2" s="7" t="s">
        <v>4491</v>
      </c>
      <c r="H2" s="7" t="s">
        <v>4492</v>
      </c>
      <c r="K2" s="7"/>
      <c r="L2" s="7"/>
    </row>
    <row r="3" spans="1:14">
      <c r="A3" s="9">
        <v>42.65</v>
      </c>
      <c r="B3" s="4">
        <v>1.9E-2</v>
      </c>
      <c r="C3" s="14">
        <f>+A3*B3</f>
        <v>0.8103499999999999</v>
      </c>
      <c r="D3" s="1">
        <f>+A3+C3</f>
        <v>43.460349999999998</v>
      </c>
      <c r="E3">
        <v>1500</v>
      </c>
      <c r="F3" s="1">
        <f>+D3*E3</f>
        <v>65190.524999999994</v>
      </c>
      <c r="G3" s="1">
        <f>+A3*E3</f>
        <v>63975</v>
      </c>
      <c r="H3" s="1">
        <f>+F3-G3</f>
        <v>1215.5249999999942</v>
      </c>
      <c r="N3" s="88">
        <v>4820016057100</v>
      </c>
    </row>
    <row r="4" spans="1:14" ht="21" customHeight="1">
      <c r="A4">
        <v>98</v>
      </c>
      <c r="B4">
        <v>8.5999999999999993E-2</v>
      </c>
      <c r="C4" s="14"/>
      <c r="D4" s="1"/>
      <c r="F4" s="1"/>
      <c r="G4" s="1">
        <v>208.24</v>
      </c>
      <c r="H4" s="1">
        <v>269</v>
      </c>
      <c r="J4">
        <v>126.23</v>
      </c>
    </row>
    <row r="5" spans="1:14">
      <c r="C5" s="14"/>
      <c r="D5" s="1" t="s">
        <v>4493</v>
      </c>
      <c r="F5" s="1">
        <v>209</v>
      </c>
      <c r="G5" s="1"/>
      <c r="H5" s="1"/>
      <c r="I5" s="1"/>
      <c r="J5">
        <v>119.93</v>
      </c>
    </row>
    <row r="6" spans="1:14">
      <c r="C6" s="14"/>
      <c r="D6" s="1"/>
      <c r="E6">
        <v>8.0000000000000002E-3</v>
      </c>
      <c r="F6" s="1"/>
      <c r="G6" s="1"/>
      <c r="H6" s="1"/>
      <c r="I6" s="1"/>
      <c r="J6" s="4">
        <f>+J4-J5</f>
        <v>6.2999999999999972</v>
      </c>
      <c r="N6">
        <f>+L6*M6</f>
        <v>0</v>
      </c>
    </row>
    <row r="7" spans="1:14">
      <c r="C7" s="14">
        <v>13</v>
      </c>
      <c r="D7" s="1"/>
      <c r="F7" s="1">
        <v>453</v>
      </c>
      <c r="G7" s="1"/>
      <c r="H7" s="1"/>
      <c r="I7" s="1"/>
      <c r="M7" s="167" t="s">
        <v>4494</v>
      </c>
    </row>
    <row r="8" spans="1:14">
      <c r="A8" t="s">
        <v>4495</v>
      </c>
      <c r="B8" s="5">
        <v>793.18</v>
      </c>
      <c r="C8" s="5">
        <v>0.15</v>
      </c>
      <c r="D8" s="5">
        <f>B8*C8</f>
        <v>118.97699999999999</v>
      </c>
      <c r="E8" s="1"/>
      <c r="F8" s="1"/>
      <c r="G8" s="1"/>
      <c r="H8" s="1"/>
      <c r="I8" s="1"/>
      <c r="M8" s="167" t="s">
        <v>4496</v>
      </c>
    </row>
    <row r="9" spans="1:14">
      <c r="B9" s="4"/>
      <c r="C9" s="4"/>
      <c r="D9" s="4">
        <v>28</v>
      </c>
      <c r="E9" s="1"/>
      <c r="F9" s="1"/>
      <c r="G9" s="1"/>
      <c r="H9" s="1"/>
      <c r="I9" s="1"/>
      <c r="K9" s="1"/>
      <c r="M9" s="167" t="s">
        <v>4497</v>
      </c>
    </row>
    <row r="10" spans="1:14">
      <c r="B10" s="4"/>
      <c r="C10" s="4"/>
      <c r="D10" s="26">
        <f>D8/D9</f>
        <v>4.2491785714285708</v>
      </c>
      <c r="E10" s="1"/>
      <c r="F10" s="1"/>
      <c r="G10" s="1">
        <v>5.3999999999999999E-2</v>
      </c>
      <c r="H10" s="1"/>
      <c r="I10" s="1">
        <v>81.739999999999995</v>
      </c>
      <c r="J10">
        <v>2793.62</v>
      </c>
      <c r="K10" s="1">
        <v>2240.1999999999998</v>
      </c>
      <c r="M10" s="168" t="s">
        <v>4498</v>
      </c>
    </row>
    <row r="11" spans="1:14">
      <c r="C11" s="14"/>
      <c r="D11" s="1"/>
      <c r="E11">
        <v>3.9E-2</v>
      </c>
      <c r="F11" s="1">
        <v>19709</v>
      </c>
      <c r="G11" s="1"/>
      <c r="H11" s="1"/>
      <c r="I11" s="1"/>
      <c r="J11">
        <v>2793.62</v>
      </c>
      <c r="K11">
        <v>5842.4</v>
      </c>
    </row>
    <row r="12" spans="1:14">
      <c r="A12" t="s">
        <v>4499</v>
      </c>
      <c r="B12">
        <v>1272</v>
      </c>
      <c r="C12" s="14">
        <v>2</v>
      </c>
      <c r="D12" s="1">
        <f>+B12/C12</f>
        <v>636</v>
      </c>
      <c r="E12" s="1"/>
      <c r="F12" s="1">
        <f>+F10-F11</f>
        <v>-19709</v>
      </c>
      <c r="G12" s="1"/>
      <c r="H12" s="1"/>
      <c r="I12" s="1">
        <v>359.75</v>
      </c>
      <c r="J12">
        <f>SUM(J10:J11)</f>
        <v>5587.24</v>
      </c>
      <c r="K12">
        <v>1077.68</v>
      </c>
      <c r="M12" s="167" t="s">
        <v>4494</v>
      </c>
    </row>
    <row r="13" spans="1:14">
      <c r="A13" t="s">
        <v>4500</v>
      </c>
      <c r="B13" s="1">
        <v>198</v>
      </c>
      <c r="C13" s="14">
        <v>10</v>
      </c>
      <c r="D13" s="1">
        <f>B13*C13</f>
        <v>1980</v>
      </c>
      <c r="E13" s="1">
        <v>218.42</v>
      </c>
      <c r="F13" s="134"/>
      <c r="G13" s="1">
        <v>1650</v>
      </c>
      <c r="H13" s="1"/>
      <c r="I13" s="1">
        <v>55.6</v>
      </c>
      <c r="K13">
        <v>9492</v>
      </c>
      <c r="M13" s="167" t="s">
        <v>4496</v>
      </c>
    </row>
    <row r="14" spans="1:14">
      <c r="A14" t="s">
        <v>4501</v>
      </c>
      <c r="B14" s="9">
        <v>3131</v>
      </c>
      <c r="C14" s="1">
        <v>2982</v>
      </c>
      <c r="D14" s="159">
        <f>+B14-C14</f>
        <v>149</v>
      </c>
      <c r="E14" s="1"/>
      <c r="F14" s="1"/>
      <c r="G14" s="1">
        <v>697</v>
      </c>
      <c r="H14" s="1"/>
      <c r="I14" s="1">
        <v>3300</v>
      </c>
      <c r="J14" s="1"/>
      <c r="K14" s="1">
        <f>SUM(K10:K13)</f>
        <v>18652.28</v>
      </c>
      <c r="M14" s="167" t="s">
        <v>4497</v>
      </c>
    </row>
    <row r="15" spans="1:14">
      <c r="A15" t="s">
        <v>4502</v>
      </c>
      <c r="B15" s="9">
        <v>6879</v>
      </c>
      <c r="C15" s="1">
        <v>2400</v>
      </c>
      <c r="D15" s="14">
        <f>B15+C15</f>
        <v>9279</v>
      </c>
      <c r="E15" s="1"/>
      <c r="G15" s="11">
        <v>697</v>
      </c>
      <c r="H15" s="1"/>
      <c r="I15" s="1">
        <v>1680</v>
      </c>
      <c r="J15" s="1"/>
      <c r="M15" s="168" t="s">
        <v>4498</v>
      </c>
    </row>
    <row r="16" spans="1:14">
      <c r="B16">
        <v>305.36</v>
      </c>
      <c r="C16" s="14">
        <v>24</v>
      </c>
      <c r="D16" s="14">
        <f>B16+C16</f>
        <v>329.36</v>
      </c>
      <c r="E16" s="1"/>
      <c r="F16" s="1"/>
      <c r="G16" s="11">
        <f>SUM(G13:G15)</f>
        <v>3044</v>
      </c>
      <c r="H16" s="1"/>
      <c r="I16" s="1">
        <f>SUM(I12:I15)</f>
        <v>5395.35</v>
      </c>
      <c r="J16" s="11"/>
      <c r="K16">
        <v>2595.6</v>
      </c>
    </row>
    <row r="17" spans="1:17" ht="36" customHeight="1">
      <c r="A17" t="s">
        <v>4503</v>
      </c>
      <c r="B17" s="11">
        <f>B8-D8</f>
        <v>674.20299999999997</v>
      </c>
      <c r="C17" s="14"/>
      <c r="D17" s="14"/>
      <c r="F17" s="1"/>
      <c r="G17" s="11"/>
      <c r="H17" s="1"/>
      <c r="I17" s="1"/>
      <c r="J17" s="11"/>
      <c r="M17" s="201" t="s">
        <v>4504</v>
      </c>
    </row>
    <row r="18" spans="1:17">
      <c r="D18" s="11"/>
      <c r="F18" s="200">
        <v>908715</v>
      </c>
      <c r="G18" s="11">
        <v>8459.5</v>
      </c>
      <c r="H18" s="1"/>
      <c r="I18" s="1">
        <v>2736.32</v>
      </c>
      <c r="J18" s="11"/>
      <c r="M18" s="201"/>
      <c r="O18" s="136"/>
      <c r="P18" s="136"/>
      <c r="Q18" s="136"/>
    </row>
    <row r="19" spans="1:17">
      <c r="B19">
        <v>3800</v>
      </c>
      <c r="C19" s="14">
        <v>6000</v>
      </c>
      <c r="D19" s="14">
        <f>+B19+C19</f>
        <v>9800</v>
      </c>
      <c r="F19" s="200">
        <v>909349</v>
      </c>
      <c r="G19" s="11">
        <v>2199.8000000000002</v>
      </c>
      <c r="H19" s="1"/>
      <c r="I19" s="1">
        <v>5277.78</v>
      </c>
      <c r="J19" s="26"/>
      <c r="K19" s="9">
        <v>10372.14</v>
      </c>
    </row>
    <row r="20" spans="1:17">
      <c r="B20">
        <v>29240</v>
      </c>
      <c r="C20" s="14">
        <v>28350</v>
      </c>
      <c r="F20" s="200">
        <v>909376</v>
      </c>
      <c r="G20" s="11">
        <v>4399.3999999999996</v>
      </c>
      <c r="H20" s="1"/>
      <c r="I20" s="1">
        <v>3796</v>
      </c>
      <c r="K20" s="9">
        <v>5769</v>
      </c>
      <c r="M20" s="201" t="s">
        <v>4505</v>
      </c>
    </row>
    <row r="21" spans="1:17">
      <c r="B21">
        <v>28350</v>
      </c>
      <c r="F21" s="200">
        <v>911243</v>
      </c>
      <c r="G21" s="11">
        <v>5490.54</v>
      </c>
      <c r="H21" s="1"/>
      <c r="I21" s="1">
        <f>SUM(I18:I20)</f>
        <v>11810.1</v>
      </c>
      <c r="K21">
        <v>5026.7299999999996</v>
      </c>
      <c r="M21" s="4"/>
    </row>
    <row r="22" spans="1:17">
      <c r="B22" s="126"/>
      <c r="C22" s="126"/>
      <c r="F22" s="200">
        <v>914259</v>
      </c>
      <c r="G22" s="11">
        <v>3240.2</v>
      </c>
      <c r="H22" s="1"/>
      <c r="I22" s="1"/>
      <c r="K22" s="9">
        <f>SUM(K19:K21)</f>
        <v>21167.87</v>
      </c>
      <c r="M22" s="26"/>
      <c r="N22" s="11"/>
    </row>
    <row r="23" spans="1:17">
      <c r="B23" s="148"/>
      <c r="C23" s="149"/>
      <c r="D23" s="148"/>
      <c r="F23" s="200">
        <v>914270</v>
      </c>
      <c r="G23" s="11">
        <v>2985.5</v>
      </c>
    </row>
    <row r="24" spans="1:17">
      <c r="B24" s="148"/>
      <c r="C24" s="149"/>
      <c r="D24" s="148"/>
      <c r="F24" s="200">
        <v>914925</v>
      </c>
      <c r="G24" s="11">
        <v>4360</v>
      </c>
      <c r="N24" t="s">
        <v>4506</v>
      </c>
      <c r="O24">
        <v>459</v>
      </c>
    </row>
    <row r="25" spans="1:17">
      <c r="B25" s="148"/>
      <c r="C25" s="149">
        <v>100</v>
      </c>
      <c r="F25" s="200">
        <v>915349</v>
      </c>
      <c r="G25" s="11">
        <v>3349.61</v>
      </c>
      <c r="H25" s="11"/>
      <c r="J25" s="171"/>
    </row>
    <row r="26" spans="1:17">
      <c r="B26" s="70"/>
      <c r="C26" s="70"/>
      <c r="G26" s="11">
        <f>SUM(G18:G25)</f>
        <v>34484.549999999996</v>
      </c>
      <c r="J26" s="171"/>
    </row>
    <row r="27" spans="1:17" ht="15.75" customHeight="1" thickBot="1">
      <c r="B27" s="9"/>
      <c r="D27" s="151"/>
      <c r="H27" t="s">
        <v>4507</v>
      </c>
      <c r="I27" s="6">
        <v>43414</v>
      </c>
      <c r="J27" s="206">
        <v>43425</v>
      </c>
    </row>
    <row r="28" spans="1:17" ht="15.75" customHeight="1" thickBot="1">
      <c r="B28" s="70" t="s">
        <v>135</v>
      </c>
      <c r="C28" s="70"/>
      <c r="D28" s="152"/>
      <c r="E28" s="153"/>
      <c r="F28">
        <v>921178</v>
      </c>
      <c r="G28" s="1">
        <v>258.99</v>
      </c>
      <c r="H28">
        <v>922218</v>
      </c>
      <c r="I28" s="1">
        <v>250.13</v>
      </c>
      <c r="J28">
        <v>936804</v>
      </c>
      <c r="K28" s="1">
        <v>3336.4</v>
      </c>
      <c r="N28" t="s">
        <v>4508</v>
      </c>
    </row>
    <row r="29" spans="1:17">
      <c r="B29" s="70" t="s">
        <v>4509</v>
      </c>
      <c r="F29">
        <v>921185</v>
      </c>
      <c r="G29" s="1">
        <v>509.64</v>
      </c>
      <c r="H29">
        <v>931668</v>
      </c>
      <c r="I29" s="1">
        <v>610.05999999999995</v>
      </c>
      <c r="J29">
        <v>933655</v>
      </c>
      <c r="K29" s="1">
        <v>6743.04</v>
      </c>
    </row>
    <row r="30" spans="1:17">
      <c r="B30" s="70" t="s">
        <v>4510</v>
      </c>
      <c r="C30">
        <v>573.87</v>
      </c>
      <c r="D30" s="70"/>
      <c r="F30">
        <v>916054</v>
      </c>
      <c r="G30" s="9">
        <v>968.2</v>
      </c>
      <c r="H30">
        <v>933081</v>
      </c>
      <c r="I30" s="1">
        <v>4903.6000000000004</v>
      </c>
      <c r="J30">
        <v>938870</v>
      </c>
      <c r="K30" s="1">
        <v>1898.4</v>
      </c>
    </row>
    <row r="31" spans="1:17" ht="17.25" customHeight="1">
      <c r="B31" s="136" t="s">
        <v>4511</v>
      </c>
      <c r="C31">
        <v>545.17999999999995</v>
      </c>
      <c r="F31">
        <v>917096</v>
      </c>
      <c r="G31" s="9">
        <v>3622.3</v>
      </c>
      <c r="H31">
        <v>933105</v>
      </c>
      <c r="I31" s="1">
        <v>6827</v>
      </c>
      <c r="J31">
        <v>938889</v>
      </c>
      <c r="K31" s="1">
        <v>581.36</v>
      </c>
      <c r="N31" s="131" t="s">
        <v>4512</v>
      </c>
    </row>
    <row r="32" spans="1:17">
      <c r="A32" t="s">
        <v>4513</v>
      </c>
      <c r="B32" t="s">
        <v>4510</v>
      </c>
      <c r="C32">
        <v>556.08000000000004</v>
      </c>
      <c r="D32">
        <v>596.77</v>
      </c>
      <c r="E32">
        <f>+D32-C32</f>
        <v>40.689999999999941</v>
      </c>
      <c r="F32">
        <v>926600</v>
      </c>
      <c r="G32" s="9">
        <v>11663</v>
      </c>
      <c r="I32" s="11">
        <f>SUM(I28:I31)</f>
        <v>12590.79</v>
      </c>
      <c r="K32" s="1">
        <f>SUM(K28:K31)</f>
        <v>12559.2</v>
      </c>
    </row>
    <row r="33" spans="1:14">
      <c r="A33" s="75" t="s">
        <v>4514</v>
      </c>
      <c r="B33" t="s">
        <v>4511</v>
      </c>
      <c r="C33">
        <v>528.28</v>
      </c>
      <c r="F33">
        <v>929343</v>
      </c>
      <c r="G33" s="11">
        <v>1250.6500000000001</v>
      </c>
      <c r="I33" s="11"/>
    </row>
    <row r="34" spans="1:14">
      <c r="G34" s="11">
        <f>SUM(G28:G33)</f>
        <v>18272.780000000002</v>
      </c>
      <c r="I34" s="11"/>
    </row>
    <row r="35" spans="1:14">
      <c r="E35">
        <f>+E32*43</f>
        <v>1749.6699999999973</v>
      </c>
      <c r="G35" s="11"/>
    </row>
    <row r="36" spans="1:14">
      <c r="D36">
        <v>43</v>
      </c>
    </row>
    <row r="37" spans="1:14">
      <c r="B37" s="75"/>
      <c r="D37">
        <v>23</v>
      </c>
      <c r="H37" s="7" t="s">
        <v>4515</v>
      </c>
      <c r="I37" s="6">
        <v>43425</v>
      </c>
    </row>
    <row r="38" spans="1:14">
      <c r="C38">
        <v>84</v>
      </c>
      <c r="D38">
        <f>SUM(D36:D37)</f>
        <v>66</v>
      </c>
      <c r="I38" s="15" t="s">
        <v>4516</v>
      </c>
      <c r="J38" s="1">
        <v>8068.83</v>
      </c>
      <c r="K38">
        <v>4852</v>
      </c>
      <c r="L38" s="1">
        <v>12127.68</v>
      </c>
      <c r="N38">
        <v>32720</v>
      </c>
    </row>
    <row r="39" spans="1:14">
      <c r="D39">
        <f>+C38+D38</f>
        <v>150</v>
      </c>
      <c r="I39" s="15" t="s">
        <v>4517</v>
      </c>
      <c r="J39" s="1">
        <v>15716.53</v>
      </c>
      <c r="K39">
        <v>4804</v>
      </c>
      <c r="L39" s="1">
        <v>9198.66</v>
      </c>
    </row>
    <row r="40" spans="1:14">
      <c r="B40" t="s">
        <v>135</v>
      </c>
      <c r="I40" s="15" t="s">
        <v>4518</v>
      </c>
      <c r="J40" s="1">
        <v>11510.31</v>
      </c>
      <c r="K40">
        <v>5032</v>
      </c>
      <c r="L40" s="1">
        <v>23228.07</v>
      </c>
    </row>
    <row r="41" spans="1:14">
      <c r="B41" t="s">
        <v>4519</v>
      </c>
      <c r="I41" s="15" t="s">
        <v>4520</v>
      </c>
      <c r="J41" s="1">
        <v>1022.32</v>
      </c>
      <c r="K41">
        <v>5049</v>
      </c>
      <c r="L41" s="1">
        <v>4287.3900000000003</v>
      </c>
    </row>
    <row r="42" spans="1:14">
      <c r="I42" s="15" t="s">
        <v>4521</v>
      </c>
      <c r="J42" s="11">
        <f>SUM(J38:J41)</f>
        <v>36317.99</v>
      </c>
      <c r="K42">
        <v>5089</v>
      </c>
      <c r="L42" s="1">
        <v>5445.85</v>
      </c>
    </row>
    <row r="43" spans="1:14">
      <c r="A43" t="s">
        <v>4522</v>
      </c>
      <c r="B43" t="s">
        <v>4523</v>
      </c>
      <c r="C43">
        <v>332.19</v>
      </c>
      <c r="G43" s="6"/>
      <c r="L43" s="11">
        <f>SUM(L38:L42)</f>
        <v>54287.65</v>
      </c>
    </row>
    <row r="44" spans="1:14">
      <c r="B44" t="s">
        <v>4510</v>
      </c>
      <c r="C44">
        <v>240.72</v>
      </c>
      <c r="I44" s="15" t="s">
        <v>4524</v>
      </c>
      <c r="J44" s="11">
        <v>1354.97</v>
      </c>
    </row>
    <row r="45" spans="1:14">
      <c r="A45" s="6">
        <v>43318</v>
      </c>
      <c r="I45" s="15" t="s">
        <v>4525</v>
      </c>
      <c r="J45" s="11">
        <v>10628.63</v>
      </c>
      <c r="K45" s="75">
        <v>5208</v>
      </c>
      <c r="L45" s="154">
        <v>32881.160000000003</v>
      </c>
    </row>
    <row r="46" spans="1:14">
      <c r="I46" s="15" t="s">
        <v>4526</v>
      </c>
      <c r="J46" s="11">
        <v>24334.93</v>
      </c>
    </row>
    <row r="47" spans="1:14">
      <c r="B47" t="s">
        <v>4527</v>
      </c>
      <c r="D47" s="70"/>
      <c r="J47" s="11">
        <f>SUM(J44:J46)</f>
        <v>36318.53</v>
      </c>
    </row>
    <row r="48" spans="1:14">
      <c r="A48" t="s">
        <v>4528</v>
      </c>
      <c r="B48">
        <v>474.74</v>
      </c>
      <c r="D48" s="70"/>
      <c r="H48" t="s">
        <v>4529</v>
      </c>
      <c r="I48" s="6">
        <v>43439</v>
      </c>
      <c r="K48" s="6">
        <v>43447</v>
      </c>
      <c r="M48" s="1"/>
    </row>
    <row r="49" spans="1:14">
      <c r="A49" t="s">
        <v>4530</v>
      </c>
      <c r="B49">
        <v>662.58</v>
      </c>
      <c r="I49">
        <v>941264</v>
      </c>
      <c r="J49" s="11">
        <v>2448.1</v>
      </c>
      <c r="K49">
        <v>954007</v>
      </c>
      <c r="L49" s="1">
        <v>19860.96</v>
      </c>
      <c r="N49" s="11"/>
    </row>
    <row r="50" spans="1:14">
      <c r="A50" t="s">
        <v>4531</v>
      </c>
      <c r="B50">
        <v>619.23</v>
      </c>
      <c r="I50">
        <v>941954</v>
      </c>
      <c r="J50" s="11">
        <v>5360</v>
      </c>
      <c r="K50">
        <v>954009</v>
      </c>
      <c r="L50" s="1">
        <v>3813.4</v>
      </c>
    </row>
    <row r="51" spans="1:14">
      <c r="A51" t="s">
        <v>4532</v>
      </c>
      <c r="B51">
        <v>491.83</v>
      </c>
      <c r="E51" s="5"/>
      <c r="F51" s="5"/>
      <c r="G51" s="5"/>
      <c r="I51">
        <v>942355</v>
      </c>
      <c r="J51" s="11">
        <v>9876.16</v>
      </c>
      <c r="K51">
        <v>954431</v>
      </c>
      <c r="L51" s="1">
        <v>6338.64</v>
      </c>
    </row>
    <row r="52" spans="1:14">
      <c r="A52" t="s">
        <v>4533</v>
      </c>
      <c r="B52">
        <v>340.01</v>
      </c>
      <c r="E52" s="4"/>
      <c r="F52" s="4"/>
      <c r="G52" s="4"/>
      <c r="I52">
        <v>943255</v>
      </c>
      <c r="J52" s="11">
        <v>3527.2</v>
      </c>
      <c r="K52">
        <v>954846</v>
      </c>
      <c r="L52" s="1">
        <v>1857.05</v>
      </c>
      <c r="N52" t="s">
        <v>4534</v>
      </c>
    </row>
    <row r="53" spans="1:14">
      <c r="A53" t="s">
        <v>4535</v>
      </c>
      <c r="B53">
        <v>265.16000000000003</v>
      </c>
      <c r="E53" s="4"/>
      <c r="F53" s="4"/>
      <c r="G53" s="4"/>
      <c r="I53">
        <v>951627</v>
      </c>
      <c r="J53" s="11">
        <v>2226</v>
      </c>
      <c r="K53" t="s">
        <v>4521</v>
      </c>
      <c r="L53" s="1">
        <f>SUM(L49:L52)</f>
        <v>31870.05</v>
      </c>
    </row>
    <row r="54" spans="1:14">
      <c r="A54" t="s">
        <v>4536</v>
      </c>
      <c r="B54">
        <v>213.84</v>
      </c>
      <c r="I54">
        <v>952720</v>
      </c>
      <c r="J54" s="11">
        <v>14615.37</v>
      </c>
      <c r="L54" s="1"/>
    </row>
    <row r="55" spans="1:14">
      <c r="I55" t="s">
        <v>4521</v>
      </c>
      <c r="J55" s="11">
        <f>SUM(J49:J54)</f>
        <v>38052.83</v>
      </c>
      <c r="L55" s="1"/>
    </row>
    <row r="56" spans="1:14">
      <c r="I56" s="7" t="s">
        <v>135</v>
      </c>
      <c r="K56" t="s">
        <v>4515</v>
      </c>
      <c r="L56" s="211">
        <v>43468</v>
      </c>
    </row>
    <row r="57" spans="1:14">
      <c r="I57">
        <v>955299</v>
      </c>
      <c r="J57" s="1">
        <v>4232.6400000000003</v>
      </c>
      <c r="K57">
        <v>5208</v>
      </c>
      <c r="L57" s="61">
        <v>32881.160000000003</v>
      </c>
    </row>
    <row r="58" spans="1:14">
      <c r="C58">
        <v>1018</v>
      </c>
      <c r="D58">
        <v>991</v>
      </c>
      <c r="I58">
        <v>961407</v>
      </c>
      <c r="J58" s="1">
        <v>7195.68</v>
      </c>
      <c r="L58" s="6">
        <v>43481</v>
      </c>
    </row>
    <row r="59" spans="1:14">
      <c r="C59">
        <v>1018</v>
      </c>
      <c r="D59">
        <v>991</v>
      </c>
      <c r="I59">
        <v>962662</v>
      </c>
      <c r="J59" s="11">
        <v>24204.560000000001</v>
      </c>
      <c r="K59">
        <v>5436</v>
      </c>
      <c r="L59" s="1">
        <v>31170.75</v>
      </c>
    </row>
    <row r="60" spans="1:14">
      <c r="B60" s="1"/>
      <c r="C60" s="1">
        <v>2580</v>
      </c>
      <c r="D60" s="1">
        <v>2507</v>
      </c>
      <c r="I60" s="1" t="s">
        <v>4521</v>
      </c>
      <c r="J60" s="1">
        <f>SUM(J57:J59)</f>
        <v>35632.880000000005</v>
      </c>
    </row>
    <row r="61" spans="1:14">
      <c r="B61" s="1"/>
      <c r="C61" s="1">
        <f>SUM(C58:C60)</f>
        <v>4616</v>
      </c>
      <c r="D61" s="1">
        <f>SUM(D58:D60)</f>
        <v>4489</v>
      </c>
      <c r="J61" s="6">
        <v>43477</v>
      </c>
      <c r="K61">
        <v>5437</v>
      </c>
      <c r="L61" s="1">
        <v>10899.93</v>
      </c>
    </row>
    <row r="62" spans="1:14">
      <c r="B62" s="1"/>
      <c r="C62" s="1"/>
      <c r="D62" s="1">
        <f>+C61-D61</f>
        <v>127</v>
      </c>
      <c r="I62">
        <v>967418</v>
      </c>
      <c r="J62" s="1">
        <v>8825.0400000000009</v>
      </c>
      <c r="K62">
        <v>5438</v>
      </c>
      <c r="L62" s="1">
        <v>6175.22</v>
      </c>
    </row>
    <row r="63" spans="1:14">
      <c r="B63" s="1"/>
      <c r="C63" s="1"/>
      <c r="D63" s="1"/>
      <c r="I63">
        <v>967583</v>
      </c>
      <c r="J63" s="1">
        <v>3398.5</v>
      </c>
      <c r="K63">
        <v>5441</v>
      </c>
      <c r="L63" s="1">
        <v>11234.05</v>
      </c>
    </row>
    <row r="64" spans="1:14">
      <c r="B64" s="1"/>
      <c r="C64" s="1"/>
      <c r="D64" s="1"/>
      <c r="I64" t="s">
        <v>4521</v>
      </c>
      <c r="J64" s="1">
        <f>SUM(J62:J63)</f>
        <v>12223.54</v>
      </c>
      <c r="K64" s="1" t="s">
        <v>4521</v>
      </c>
      <c r="L64" s="1">
        <f>SUM(L61:L63)</f>
        <v>28309.200000000001</v>
      </c>
    </row>
    <row r="65" spans="4:12">
      <c r="F65">
        <v>905793</v>
      </c>
      <c r="K65" s="11"/>
      <c r="L65" s="6">
        <v>43495</v>
      </c>
    </row>
    <row r="66" spans="4:12">
      <c r="D66" s="1"/>
      <c r="J66" s="6">
        <v>43504</v>
      </c>
      <c r="K66">
        <v>5478</v>
      </c>
      <c r="L66" s="1">
        <v>20618.7</v>
      </c>
    </row>
    <row r="67" spans="4:12">
      <c r="D67" s="1"/>
      <c r="J67" s="1">
        <v>23754.89</v>
      </c>
      <c r="K67">
        <v>5522</v>
      </c>
      <c r="L67" s="1">
        <v>6765.36</v>
      </c>
    </row>
    <row r="68" spans="4:12">
      <c r="D68" s="1"/>
      <c r="K68" t="s">
        <v>4521</v>
      </c>
      <c r="L68" s="11">
        <f>SUM(L66:L67)</f>
        <v>27384.06</v>
      </c>
    </row>
    <row r="69" spans="4:12">
      <c r="D69" s="1"/>
      <c r="I69">
        <v>987053</v>
      </c>
      <c r="J69">
        <v>5952.5</v>
      </c>
    </row>
    <row r="70" spans="4:12">
      <c r="I70">
        <v>992118</v>
      </c>
      <c r="J70">
        <v>9820</v>
      </c>
      <c r="K70">
        <v>5751</v>
      </c>
      <c r="L70" s="11">
        <v>9881.77</v>
      </c>
    </row>
    <row r="71" spans="4:12">
      <c r="I71">
        <v>995007</v>
      </c>
      <c r="J71">
        <v>12036</v>
      </c>
      <c r="K71">
        <v>5802</v>
      </c>
      <c r="L71" s="11">
        <v>19556</v>
      </c>
    </row>
    <row r="72" spans="4:12">
      <c r="J72">
        <f>SUM(J69:J71)</f>
        <v>27808.5</v>
      </c>
      <c r="K72">
        <v>5803</v>
      </c>
      <c r="L72" s="11">
        <v>4481.8900000000003</v>
      </c>
    </row>
    <row r="73" spans="4:12">
      <c r="J73" s="6">
        <v>43537</v>
      </c>
      <c r="K73" t="s">
        <v>4521</v>
      </c>
      <c r="L73" s="11">
        <f>SUM(L70:L72)</f>
        <v>33919.660000000003</v>
      </c>
    </row>
    <row r="74" spans="4:12">
      <c r="I74">
        <v>997404</v>
      </c>
      <c r="J74" s="1">
        <v>29022.6</v>
      </c>
    </row>
    <row r="75" spans="4:12">
      <c r="L75" s="11">
        <v>33919.660000000003</v>
      </c>
    </row>
    <row r="76" spans="4:12">
      <c r="L76" s="11">
        <v>27384</v>
      </c>
    </row>
    <row r="77" spans="4:12">
      <c r="L77" s="11">
        <f>+L75-L76</f>
        <v>6535.6600000000035</v>
      </c>
    </row>
  </sheetData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I5"/>
  <sheetViews>
    <sheetView workbookViewId="0"/>
  </sheetViews>
  <sheetFormatPr defaultRowHeight="15"/>
  <cols>
    <col min="5" max="5" width="9.85546875" customWidth="1"/>
  </cols>
  <sheetData>
    <row r="2" spans="2:9" ht="18.75" customHeight="1">
      <c r="B2" s="80" t="s">
        <v>4537</v>
      </c>
      <c r="C2" s="80"/>
      <c r="D2" s="80"/>
    </row>
    <row r="3" spans="2:9" ht="18.75" customHeight="1">
      <c r="B3" s="80" t="s">
        <v>4538</v>
      </c>
      <c r="C3" s="80"/>
      <c r="D3" s="80"/>
    </row>
    <row r="5" spans="2:9">
      <c r="B5" s="7" t="s">
        <v>4539</v>
      </c>
      <c r="C5" s="7" t="s">
        <v>4540</v>
      </c>
      <c r="D5" s="7" t="s">
        <v>4541</v>
      </c>
      <c r="E5" s="7" t="s">
        <v>4542</v>
      </c>
      <c r="F5" s="7" t="s">
        <v>4543</v>
      </c>
      <c r="G5" s="7" t="s">
        <v>1802</v>
      </c>
      <c r="H5" s="7" t="s">
        <v>1803</v>
      </c>
      <c r="I5" s="7" t="s">
        <v>4544</v>
      </c>
    </row>
  </sheetData>
  <printOptions headings="1"/>
  <pageMargins left="0.7" right="0.7" top="0.75" bottom="0.75" header="0.3" footer="0.3"/>
  <pageSetup orientation="portrait" horizontalDpi="203" verticalDpi="20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323"/>
  <sheetViews>
    <sheetView topLeftCell="F1" workbookViewId="0">
      <selection activeCell="I6" sqref="I6"/>
    </sheetView>
  </sheetViews>
  <sheetFormatPr defaultRowHeight="15.75"/>
  <cols>
    <col min="1" max="1" width="18.28515625" style="68" customWidth="1"/>
    <col min="2" max="2" width="39.7109375" customWidth="1"/>
    <col min="3" max="3" width="42.28515625" style="18" customWidth="1"/>
    <col min="4" max="4" width="9.7109375" style="18" customWidth="1"/>
    <col min="5" max="5" width="43.28515625" customWidth="1"/>
    <col min="6" max="6" width="33.28515625" customWidth="1"/>
    <col min="7" max="7" width="27.42578125" customWidth="1"/>
    <col min="8" max="8" width="35.5703125" style="13" customWidth="1"/>
    <col min="9" max="9" width="33.140625" customWidth="1"/>
    <col min="10" max="10" width="21" style="13" customWidth="1"/>
  </cols>
  <sheetData>
    <row r="1" spans="1:10">
      <c r="J1" s="13" t="s">
        <v>4545</v>
      </c>
    </row>
    <row r="2" spans="1:10">
      <c r="A2" s="68" t="s">
        <v>4546</v>
      </c>
      <c r="B2" s="18" t="s">
        <v>135</v>
      </c>
      <c r="G2" t="s">
        <v>4547</v>
      </c>
    </row>
    <row r="3" spans="1:10" ht="21" customHeight="1">
      <c r="A3" s="68" t="s">
        <v>4548</v>
      </c>
      <c r="B3" s="4" t="s">
        <v>131</v>
      </c>
      <c r="C3" s="10" t="s">
        <v>4549</v>
      </c>
      <c r="D3" s="68" t="s">
        <v>4548</v>
      </c>
      <c r="E3" s="4" t="s">
        <v>131</v>
      </c>
      <c r="F3" s="22" t="s">
        <v>4550</v>
      </c>
      <c r="G3" s="22" t="s">
        <v>4551</v>
      </c>
      <c r="H3" s="13">
        <v>42706</v>
      </c>
      <c r="I3" s="18" t="s">
        <v>4552</v>
      </c>
    </row>
    <row r="4" spans="1:10">
      <c r="A4" s="68" t="s">
        <v>4553</v>
      </c>
      <c r="B4" t="s">
        <v>4554</v>
      </c>
      <c r="D4" s="68" t="s">
        <v>4553</v>
      </c>
      <c r="E4" t="s">
        <v>4554</v>
      </c>
      <c r="F4" s="13"/>
      <c r="G4" s="13"/>
      <c r="H4" s="21" t="s">
        <v>4555</v>
      </c>
      <c r="I4" s="155" t="s">
        <v>4556</v>
      </c>
      <c r="J4" s="13" t="s">
        <v>4557</v>
      </c>
    </row>
    <row r="5" spans="1:10">
      <c r="A5" s="68" t="s">
        <v>4558</v>
      </c>
      <c r="B5" s="4" t="s">
        <v>4559</v>
      </c>
      <c r="C5" s="10" t="s">
        <v>4549</v>
      </c>
      <c r="D5" s="68" t="s">
        <v>4558</v>
      </c>
      <c r="E5" s="4" t="s">
        <v>4559</v>
      </c>
      <c r="F5" s="13" t="s">
        <v>4560</v>
      </c>
      <c r="G5" s="13" t="s">
        <v>4561</v>
      </c>
      <c r="I5" s="18" t="s">
        <v>4562</v>
      </c>
      <c r="J5" s="13" t="s">
        <v>4563</v>
      </c>
    </row>
    <row r="6" spans="1:10">
      <c r="A6" s="68" t="s">
        <v>4564</v>
      </c>
      <c r="B6" s="4" t="s">
        <v>223</v>
      </c>
      <c r="C6" s="85" t="s">
        <v>4565</v>
      </c>
      <c r="D6" s="68" t="s">
        <v>4564</v>
      </c>
      <c r="E6" s="4" t="s">
        <v>223</v>
      </c>
      <c r="F6" s="13"/>
      <c r="G6" s="13" t="s">
        <v>4566</v>
      </c>
      <c r="H6" s="13" t="s">
        <v>4567</v>
      </c>
      <c r="I6" s="18" t="s">
        <v>4568</v>
      </c>
    </row>
    <row r="7" spans="1:10">
      <c r="A7" s="68" t="s">
        <v>4569</v>
      </c>
      <c r="B7" t="s">
        <v>4570</v>
      </c>
      <c r="C7" s="85" t="s">
        <v>4571</v>
      </c>
      <c r="D7" s="68" t="s">
        <v>4569</v>
      </c>
      <c r="E7" t="s">
        <v>4570</v>
      </c>
      <c r="F7" s="17" t="s">
        <v>4572</v>
      </c>
      <c r="G7" s="17" t="s">
        <v>4573</v>
      </c>
      <c r="I7" s="18" t="s">
        <v>4574</v>
      </c>
      <c r="J7" s="13" t="s">
        <v>4575</v>
      </c>
    </row>
    <row r="8" spans="1:10">
      <c r="D8" s="68" t="s">
        <v>4576</v>
      </c>
      <c r="E8" t="s">
        <v>4577</v>
      </c>
      <c r="F8" s="13"/>
      <c r="G8" s="13"/>
      <c r="I8" s="18" t="s">
        <v>4578</v>
      </c>
    </row>
    <row r="9" spans="1:10" ht="18.75" customHeight="1">
      <c r="A9" s="68" t="s">
        <v>4579</v>
      </c>
      <c r="D9" s="179" t="s">
        <v>4546</v>
      </c>
      <c r="E9" s="18" t="s">
        <v>135</v>
      </c>
      <c r="F9" s="13" t="s">
        <v>4580</v>
      </c>
      <c r="G9" s="13" t="s">
        <v>4581</v>
      </c>
      <c r="I9" s="18" t="s">
        <v>4582</v>
      </c>
      <c r="J9" s="13" t="s">
        <v>4583</v>
      </c>
    </row>
    <row r="10" spans="1:10">
      <c r="A10" s="68" t="s">
        <v>4576</v>
      </c>
      <c r="B10" s="18" t="s">
        <v>4577</v>
      </c>
      <c r="D10" s="68" t="s">
        <v>4584</v>
      </c>
      <c r="E10" s="4" t="s">
        <v>4585</v>
      </c>
      <c r="F10" s="13"/>
      <c r="G10" s="13"/>
      <c r="I10" s="94" t="s">
        <v>4586</v>
      </c>
      <c r="J10" s="13" t="s">
        <v>4587</v>
      </c>
    </row>
    <row r="11" spans="1:10" ht="16.5" customHeight="1" thickBot="1">
      <c r="A11" s="68" t="s">
        <v>4588</v>
      </c>
      <c r="B11" s="18" t="s">
        <v>123</v>
      </c>
      <c r="D11" s="68" t="s">
        <v>4589</v>
      </c>
      <c r="E11" s="18" t="s">
        <v>121</v>
      </c>
      <c r="F11" s="13" t="s">
        <v>4590</v>
      </c>
      <c r="G11" s="13"/>
      <c r="H11" s="12" t="s">
        <v>4562</v>
      </c>
      <c r="I11" s="66" t="s">
        <v>4591</v>
      </c>
    </row>
    <row r="12" spans="1:10" ht="16.5" customHeight="1" thickBot="1">
      <c r="D12" s="68" t="s">
        <v>4592</v>
      </c>
      <c r="E12" s="18" t="s">
        <v>139</v>
      </c>
      <c r="F12" s="13" t="s">
        <v>4593</v>
      </c>
      <c r="G12" s="13"/>
      <c r="H12" s="17"/>
      <c r="I12" s="101" t="s">
        <v>4578</v>
      </c>
      <c r="J12" s="20" t="s">
        <v>4594</v>
      </c>
    </row>
    <row r="13" spans="1:10">
      <c r="A13" s="68" t="s">
        <v>4595</v>
      </c>
      <c r="B13" s="18" t="s">
        <v>4596</v>
      </c>
      <c r="C13" s="18" t="s">
        <v>4597</v>
      </c>
      <c r="D13" s="68" t="s">
        <v>4598</v>
      </c>
      <c r="E13" s="18" t="s">
        <v>4599</v>
      </c>
      <c r="F13" s="13" t="s">
        <v>4600</v>
      </c>
      <c r="G13" s="13"/>
      <c r="H13" s="17"/>
      <c r="I13" s="125" t="s">
        <v>4601</v>
      </c>
      <c r="J13" s="13" t="s">
        <v>4602</v>
      </c>
    </row>
    <row r="14" spans="1:10" ht="39" customHeight="1">
      <c r="A14" s="68" t="s">
        <v>4584</v>
      </c>
      <c r="B14" s="4" t="s">
        <v>4585</v>
      </c>
      <c r="C14" s="85" t="s">
        <v>4603</v>
      </c>
      <c r="D14" s="69" t="s">
        <v>4604</v>
      </c>
      <c r="E14" s="66" t="s">
        <v>4605</v>
      </c>
      <c r="F14" s="13" t="s">
        <v>4606</v>
      </c>
      <c r="G14" s="13"/>
      <c r="H14" s="17"/>
      <c r="I14" s="150" t="s">
        <v>4607</v>
      </c>
      <c r="J14" s="13" t="s">
        <v>4608</v>
      </c>
    </row>
    <row r="15" spans="1:10">
      <c r="A15" s="68" t="s">
        <v>4589</v>
      </c>
      <c r="B15" s="18" t="s">
        <v>121</v>
      </c>
      <c r="D15" s="68" t="s">
        <v>4609</v>
      </c>
      <c r="E15" s="18" t="s">
        <v>4610</v>
      </c>
      <c r="F15" s="13" t="s">
        <v>4611</v>
      </c>
      <c r="G15" s="13"/>
      <c r="I15" s="19"/>
    </row>
    <row r="16" spans="1:10">
      <c r="A16" s="68" t="s">
        <v>4592</v>
      </c>
      <c r="B16" s="18" t="s">
        <v>139</v>
      </c>
      <c r="C16" s="85" t="s">
        <v>4612</v>
      </c>
      <c r="D16" s="68" t="s">
        <v>4613</v>
      </c>
      <c r="E16" s="66" t="s">
        <v>4614</v>
      </c>
      <c r="F16" s="13" t="s">
        <v>4615</v>
      </c>
      <c r="G16" s="13"/>
      <c r="I16" s="19"/>
      <c r="J16" s="7" t="s">
        <v>4568</v>
      </c>
    </row>
    <row r="17" spans="1:10">
      <c r="A17" s="69" t="s">
        <v>4616</v>
      </c>
      <c r="B17" s="66" t="s">
        <v>4617</v>
      </c>
      <c r="C17" s="10"/>
      <c r="D17" s="68" t="s">
        <v>4618</v>
      </c>
      <c r="E17" s="67" t="s">
        <v>129</v>
      </c>
      <c r="F17" s="13" t="s">
        <v>4619</v>
      </c>
      <c r="G17" s="13"/>
      <c r="I17" s="19"/>
      <c r="J17" s="13" t="s">
        <v>4545</v>
      </c>
    </row>
    <row r="18" spans="1:10">
      <c r="A18" s="68" t="s">
        <v>4598</v>
      </c>
      <c r="B18" s="18" t="s">
        <v>4599</v>
      </c>
      <c r="C18" s="85" t="s">
        <v>4620</v>
      </c>
      <c r="D18" s="68"/>
      <c r="E18" s="77"/>
      <c r="F18" s="13" t="s">
        <v>4621</v>
      </c>
      <c r="G18" s="13"/>
      <c r="J18" s="13" t="s">
        <v>4622</v>
      </c>
    </row>
    <row r="19" spans="1:10">
      <c r="A19" s="68" t="s">
        <v>4623</v>
      </c>
      <c r="B19" s="18"/>
      <c r="C19" s="85" t="s">
        <v>4624</v>
      </c>
      <c r="D19" s="89" t="s">
        <v>4625</v>
      </c>
      <c r="E19" s="96" t="s">
        <v>4626</v>
      </c>
      <c r="F19" s="17" t="s">
        <v>4627</v>
      </c>
      <c r="G19" s="17"/>
      <c r="J19" s="13" t="s">
        <v>4628</v>
      </c>
    </row>
    <row r="20" spans="1:10" ht="18" customHeight="1">
      <c r="A20" s="69" t="s">
        <v>4629</v>
      </c>
      <c r="B20" s="18"/>
      <c r="C20" s="86" t="s">
        <v>4630</v>
      </c>
      <c r="D20" s="68" t="s">
        <v>4631</v>
      </c>
      <c r="E20" s="66" t="s">
        <v>347</v>
      </c>
      <c r="F20" s="13" t="s">
        <v>4632</v>
      </c>
      <c r="G20" s="13"/>
      <c r="J20" s="13" t="s">
        <v>4633</v>
      </c>
    </row>
    <row r="21" spans="1:10" ht="16.899999999999999" customHeight="1">
      <c r="A21" s="69" t="s">
        <v>4604</v>
      </c>
      <c r="B21" s="66" t="s">
        <v>4605</v>
      </c>
      <c r="C21" s="85" t="s">
        <v>4634</v>
      </c>
      <c r="D21" s="102" t="s">
        <v>4635</v>
      </c>
      <c r="E21" s="66" t="s">
        <v>229</v>
      </c>
      <c r="F21" s="16" t="s">
        <v>4636</v>
      </c>
      <c r="G21" s="16"/>
      <c r="H21" s="13" t="s">
        <v>4637</v>
      </c>
      <c r="J21" s="13" t="s">
        <v>4638</v>
      </c>
    </row>
    <row r="22" spans="1:10" ht="17.25" customHeight="1">
      <c r="B22" s="18"/>
      <c r="D22" s="68" t="s">
        <v>4639</v>
      </c>
      <c r="E22" s="66" t="s">
        <v>315</v>
      </c>
      <c r="F22" s="16" t="s">
        <v>4640</v>
      </c>
      <c r="G22" s="16"/>
      <c r="H22" s="13" t="s">
        <v>4641</v>
      </c>
      <c r="J22" s="13" t="s">
        <v>4642</v>
      </c>
    </row>
    <row r="23" spans="1:10" ht="17.25" customHeight="1">
      <c r="B23" s="102"/>
      <c r="D23" s="68" t="s">
        <v>4643</v>
      </c>
      <c r="E23" s="81" t="s">
        <v>4644</v>
      </c>
      <c r="F23" s="16">
        <v>19362</v>
      </c>
      <c r="G23" s="16"/>
      <c r="H23" s="13" t="s">
        <v>4645</v>
      </c>
      <c r="J23" s="13" t="s">
        <v>4642</v>
      </c>
    </row>
    <row r="24" spans="1:10">
      <c r="B24" s="18"/>
      <c r="D24" s="68"/>
      <c r="E24" s="66"/>
      <c r="F24" t="s">
        <v>4646</v>
      </c>
      <c r="H24" s="13" t="s">
        <v>4647</v>
      </c>
      <c r="J24" s="13" t="s">
        <v>4648</v>
      </c>
    </row>
    <row r="25" spans="1:10">
      <c r="B25" s="66"/>
      <c r="C25" s="10" t="s">
        <v>4649</v>
      </c>
      <c r="D25" s="68" t="s">
        <v>4650</v>
      </c>
      <c r="E25" s="66" t="s">
        <v>4651</v>
      </c>
      <c r="F25" t="s">
        <v>4652</v>
      </c>
      <c r="H25" s="13" t="s">
        <v>4653</v>
      </c>
      <c r="J25" s="13" t="s">
        <v>4654</v>
      </c>
    </row>
    <row r="26" spans="1:10">
      <c r="A26" s="68" t="s">
        <v>4609</v>
      </c>
      <c r="B26" s="18" t="s">
        <v>4610</v>
      </c>
      <c r="C26" s="10"/>
      <c r="D26" s="68" t="s">
        <v>4655</v>
      </c>
      <c r="E26" s="66" t="s">
        <v>4656</v>
      </c>
      <c r="F26" s="15" t="s">
        <v>4572</v>
      </c>
      <c r="G26" s="15"/>
    </row>
    <row r="27" spans="1:10">
      <c r="B27" s="10" t="s">
        <v>4657</v>
      </c>
      <c r="C27" s="85" t="s">
        <v>4657</v>
      </c>
      <c r="D27" s="68"/>
      <c r="E27" s="66" t="s">
        <v>4658</v>
      </c>
      <c r="F27" s="15"/>
      <c r="G27" s="15"/>
    </row>
    <row r="28" spans="1:10">
      <c r="A28" s="105" t="s">
        <v>4659</v>
      </c>
      <c r="B28" s="66" t="s">
        <v>4660</v>
      </c>
      <c r="C28" s="10" t="s">
        <v>4661</v>
      </c>
      <c r="D28" s="68" t="s">
        <v>4662</v>
      </c>
      <c r="E28" s="66" t="s">
        <v>1676</v>
      </c>
      <c r="F28" s="15" t="s">
        <v>4663</v>
      </c>
      <c r="G28" s="15"/>
    </row>
    <row r="29" spans="1:10">
      <c r="A29" s="68" t="s">
        <v>4664</v>
      </c>
      <c r="B29" s="18" t="s">
        <v>4665</v>
      </c>
      <c r="D29" s="68" t="s">
        <v>4666</v>
      </c>
      <c r="E29" s="95" t="s">
        <v>4667</v>
      </c>
      <c r="F29" s="15" t="s">
        <v>4668</v>
      </c>
      <c r="G29" s="15"/>
    </row>
    <row r="30" spans="1:10">
      <c r="A30" s="68" t="s">
        <v>4613</v>
      </c>
      <c r="B30" s="66" t="s">
        <v>4614</v>
      </c>
      <c r="D30" s="68" t="s">
        <v>4669</v>
      </c>
      <c r="E30" s="66" t="s">
        <v>4670</v>
      </c>
      <c r="F30" t="s">
        <v>4671</v>
      </c>
    </row>
    <row r="31" spans="1:10">
      <c r="A31" s="68" t="s">
        <v>4672</v>
      </c>
      <c r="B31" t="s">
        <v>4673</v>
      </c>
      <c r="C31" s="10" t="s">
        <v>4674</v>
      </c>
      <c r="D31" s="68" t="s">
        <v>4675</v>
      </c>
      <c r="E31" s="66" t="s">
        <v>4676</v>
      </c>
    </row>
    <row r="32" spans="1:10">
      <c r="A32" s="68" t="s">
        <v>4618</v>
      </c>
      <c r="B32" s="67" t="s">
        <v>129</v>
      </c>
      <c r="D32" s="68" t="s">
        <v>4677</v>
      </c>
      <c r="E32" s="4" t="s">
        <v>4678</v>
      </c>
    </row>
    <row r="33" spans="1:8">
      <c r="A33" s="68" t="s">
        <v>4679</v>
      </c>
      <c r="B33" s="18"/>
      <c r="C33" s="18" t="s">
        <v>4680</v>
      </c>
      <c r="D33" s="68" t="s">
        <v>4681</v>
      </c>
      <c r="E33" s="4" t="s">
        <v>4682</v>
      </c>
    </row>
    <row r="34" spans="1:8">
      <c r="A34" s="68" t="s">
        <v>4683</v>
      </c>
      <c r="B34" s="77" t="s">
        <v>4684</v>
      </c>
      <c r="C34" s="10" t="s">
        <v>4685</v>
      </c>
      <c r="D34" s="68" t="s">
        <v>4686</v>
      </c>
      <c r="E34" s="4" t="s">
        <v>4687</v>
      </c>
    </row>
    <row r="35" spans="1:8">
      <c r="A35" s="68" t="s">
        <v>4688</v>
      </c>
      <c r="B35" s="4" t="s">
        <v>4689</v>
      </c>
      <c r="C35" s="10" t="s">
        <v>4690</v>
      </c>
      <c r="D35" s="68" t="s">
        <v>4691</v>
      </c>
      <c r="E35" s="4" t="s">
        <v>4692</v>
      </c>
      <c r="H35">
        <v>73475</v>
      </c>
    </row>
    <row r="36" spans="1:8">
      <c r="D36" s="68" t="s">
        <v>4693</v>
      </c>
      <c r="E36" s="4" t="s">
        <v>4694</v>
      </c>
      <c r="H36" t="s">
        <v>4695</v>
      </c>
    </row>
    <row r="37" spans="1:8" ht="45" customHeight="1">
      <c r="A37" s="89" t="s">
        <v>4625</v>
      </c>
      <c r="B37" s="96" t="s">
        <v>4626</v>
      </c>
      <c r="C37" s="85" t="s">
        <v>4696</v>
      </c>
      <c r="D37" s="89" t="s">
        <v>4697</v>
      </c>
      <c r="E37" s="4" t="s">
        <v>4698</v>
      </c>
      <c r="G37" s="131" t="s">
        <v>4699</v>
      </c>
    </row>
    <row r="38" spans="1:8">
      <c r="D38" s="68" t="s">
        <v>4700</v>
      </c>
      <c r="E38" s="82" t="s">
        <v>4701</v>
      </c>
    </row>
    <row r="39" spans="1:8">
      <c r="A39" s="68" t="s">
        <v>4702</v>
      </c>
      <c r="B39" s="4" t="s">
        <v>4703</v>
      </c>
      <c r="C39" s="10" t="s">
        <v>4704</v>
      </c>
      <c r="D39" s="68"/>
      <c r="E39" s="4" t="s">
        <v>4705</v>
      </c>
    </row>
    <row r="40" spans="1:8">
      <c r="D40" s="69" t="s">
        <v>4695</v>
      </c>
      <c r="E40" s="4" t="s">
        <v>4706</v>
      </c>
    </row>
    <row r="41" spans="1:8">
      <c r="A41" s="69" t="s">
        <v>4631</v>
      </c>
      <c r="B41" s="66" t="s">
        <v>4707</v>
      </c>
      <c r="C41" s="85" t="s">
        <v>4708</v>
      </c>
      <c r="D41" s="68" t="s">
        <v>4709</v>
      </c>
      <c r="E41" s="4" t="s">
        <v>4710</v>
      </c>
    </row>
    <row r="42" spans="1:8">
      <c r="A42" s="69" t="s">
        <v>4711</v>
      </c>
      <c r="B42" s="18" t="s">
        <v>4712</v>
      </c>
      <c r="C42" s="10" t="s">
        <v>4713</v>
      </c>
      <c r="D42" s="68" t="s">
        <v>4714</v>
      </c>
      <c r="E42" s="4" t="s">
        <v>4715</v>
      </c>
    </row>
    <row r="43" spans="1:8">
      <c r="A43" s="69" t="s">
        <v>4716</v>
      </c>
      <c r="B43" s="18" t="s">
        <v>4717</v>
      </c>
      <c r="C43" s="10" t="s">
        <v>4718</v>
      </c>
      <c r="D43" s="68" t="s">
        <v>4719</v>
      </c>
      <c r="E43" s="103" t="s">
        <v>4720</v>
      </c>
    </row>
    <row r="44" spans="1:8">
      <c r="A44" s="69" t="s">
        <v>4721</v>
      </c>
      <c r="B44" s="18" t="s">
        <v>4722</v>
      </c>
      <c r="D44" s="68" t="s">
        <v>4723</v>
      </c>
      <c r="E44" s="4" t="s">
        <v>4724</v>
      </c>
    </row>
    <row r="45" spans="1:8">
      <c r="A45" s="87" t="s">
        <v>4635</v>
      </c>
      <c r="B45" s="66" t="s">
        <v>229</v>
      </c>
      <c r="C45" s="85" t="s">
        <v>4725</v>
      </c>
      <c r="D45" s="68" t="s">
        <v>4688</v>
      </c>
      <c r="E45" s="4" t="s">
        <v>4689</v>
      </c>
    </row>
    <row r="46" spans="1:8">
      <c r="A46" s="91" t="s">
        <v>4726</v>
      </c>
      <c r="B46" s="18" t="s">
        <v>4727</v>
      </c>
      <c r="C46" s="85" t="s">
        <v>4728</v>
      </c>
      <c r="D46" s="68" t="s">
        <v>4729</v>
      </c>
      <c r="E46" s="4" t="s">
        <v>4730</v>
      </c>
    </row>
    <row r="47" spans="1:8">
      <c r="A47" s="68" t="s">
        <v>4731</v>
      </c>
      <c r="B47" s="18" t="s">
        <v>4732</v>
      </c>
      <c r="D47" s="68" t="s">
        <v>4733</v>
      </c>
      <c r="E47" s="4" t="s">
        <v>4734</v>
      </c>
    </row>
    <row r="48" spans="1:8">
      <c r="B48" s="18"/>
      <c r="D48" s="68" t="s">
        <v>4735</v>
      </c>
      <c r="E48" s="4" t="s">
        <v>4736</v>
      </c>
    </row>
    <row r="49" spans="1:6">
      <c r="B49" s="18"/>
      <c r="D49" s="89">
        <v>82199</v>
      </c>
      <c r="E49">
        <v>24</v>
      </c>
    </row>
    <row r="50" spans="1:6" ht="18.75" customHeight="1">
      <c r="A50" s="68" t="s">
        <v>4737</v>
      </c>
      <c r="B50" s="18"/>
      <c r="D50" s="18" t="s">
        <v>4738</v>
      </c>
      <c r="E50" s="120" t="s">
        <v>4739</v>
      </c>
      <c r="F50" s="10" t="s">
        <v>4740</v>
      </c>
    </row>
    <row r="51" spans="1:6">
      <c r="A51" s="68" t="s">
        <v>4639</v>
      </c>
      <c r="B51" s="66" t="s">
        <v>315</v>
      </c>
      <c r="C51" s="85" t="s">
        <v>4741</v>
      </c>
      <c r="D51" s="85">
        <v>65586</v>
      </c>
      <c r="E51" s="4" t="s">
        <v>4742</v>
      </c>
    </row>
    <row r="52" spans="1:6">
      <c r="A52" s="68" t="s">
        <v>4643</v>
      </c>
      <c r="B52" s="81" t="s">
        <v>4644</v>
      </c>
      <c r="C52" s="10" t="s">
        <v>4743</v>
      </c>
      <c r="D52" s="10">
        <v>83533</v>
      </c>
      <c r="E52" s="4" t="s">
        <v>4744</v>
      </c>
      <c r="F52" s="10" t="s">
        <v>4745</v>
      </c>
    </row>
    <row r="53" spans="1:6">
      <c r="B53" s="66"/>
      <c r="C53" s="10" t="s">
        <v>4746</v>
      </c>
      <c r="D53" s="10" t="s">
        <v>4747</v>
      </c>
      <c r="E53" s="4" t="s">
        <v>4748</v>
      </c>
    </row>
    <row r="54" spans="1:6" ht="31.5" customHeight="1">
      <c r="A54" s="68" t="s">
        <v>4650</v>
      </c>
      <c r="B54" s="66" t="s">
        <v>4651</v>
      </c>
      <c r="C54" s="86" t="s">
        <v>4749</v>
      </c>
      <c r="D54" s="85">
        <v>59165</v>
      </c>
      <c r="E54" s="4" t="s">
        <v>4750</v>
      </c>
      <c r="F54" s="18" t="s">
        <v>4751</v>
      </c>
    </row>
    <row r="55" spans="1:6">
      <c r="A55" s="68" t="s">
        <v>4655</v>
      </c>
      <c r="B55" s="66" t="s">
        <v>4656</v>
      </c>
      <c r="D55" s="18" t="s">
        <v>4752</v>
      </c>
      <c r="E55" s="4" t="s">
        <v>4753</v>
      </c>
      <c r="F55" s="10" t="s">
        <v>4754</v>
      </c>
    </row>
    <row r="56" spans="1:6">
      <c r="A56" s="68" t="s">
        <v>4755</v>
      </c>
      <c r="B56" s="66" t="s">
        <v>4658</v>
      </c>
      <c r="C56" s="10" t="s">
        <v>4756</v>
      </c>
      <c r="D56" s="10" t="s">
        <v>4757</v>
      </c>
      <c r="E56" s="4" t="s">
        <v>4758</v>
      </c>
      <c r="F56" s="10" t="s">
        <v>4759</v>
      </c>
    </row>
    <row r="57" spans="1:6">
      <c r="A57" s="68" t="s">
        <v>4662</v>
      </c>
      <c r="B57" s="66" t="s">
        <v>1676</v>
      </c>
      <c r="C57" s="10" t="s">
        <v>4760</v>
      </c>
      <c r="D57" s="10">
        <v>13675</v>
      </c>
      <c r="E57" s="4" t="s">
        <v>4761</v>
      </c>
      <c r="F57" s="10" t="s">
        <v>4762</v>
      </c>
    </row>
    <row r="58" spans="1:6" ht="30" customHeight="1">
      <c r="B58" s="95" t="s">
        <v>4667</v>
      </c>
      <c r="D58" s="130" t="s">
        <v>4763</v>
      </c>
      <c r="E58" s="4" t="s">
        <v>4764</v>
      </c>
      <c r="F58" s="131" t="s">
        <v>4765</v>
      </c>
    </row>
    <row r="59" spans="1:6">
      <c r="A59" s="68" t="s">
        <v>4669</v>
      </c>
      <c r="B59" s="66" t="s">
        <v>4670</v>
      </c>
      <c r="C59" s="85" t="s">
        <v>4766</v>
      </c>
      <c r="D59" s="85">
        <v>79963</v>
      </c>
      <c r="E59" s="4" t="s">
        <v>4767</v>
      </c>
      <c r="F59" s="10" t="s">
        <v>4768</v>
      </c>
    </row>
    <row r="60" spans="1:6">
      <c r="A60" s="68" t="s">
        <v>4675</v>
      </c>
      <c r="B60" s="66" t="s">
        <v>4676</v>
      </c>
      <c r="C60" s="85" t="s">
        <v>4769</v>
      </c>
      <c r="D60" s="85" t="s">
        <v>4770</v>
      </c>
      <c r="E60" s="4" t="s">
        <v>4771</v>
      </c>
      <c r="F60" s="10" t="s">
        <v>4772</v>
      </c>
    </row>
    <row r="61" spans="1:6" ht="30" customHeight="1">
      <c r="A61" s="68" t="s">
        <v>4677</v>
      </c>
      <c r="B61" s="4" t="s">
        <v>4678</v>
      </c>
      <c r="C61" s="18" t="s">
        <v>4773</v>
      </c>
      <c r="D61" s="18" t="s">
        <v>4774</v>
      </c>
      <c r="E61" s="4" t="s">
        <v>4775</v>
      </c>
      <c r="F61" s="131" t="s">
        <v>4776</v>
      </c>
    </row>
    <row r="62" spans="1:6">
      <c r="A62" s="68" t="s">
        <v>4777</v>
      </c>
      <c r="B62" s="66" t="s">
        <v>4778</v>
      </c>
      <c r="C62" s="18" t="s">
        <v>4779</v>
      </c>
      <c r="D62" s="18" t="s">
        <v>4780</v>
      </c>
      <c r="E62" s="4" t="s">
        <v>4781</v>
      </c>
    </row>
    <row r="63" spans="1:6">
      <c r="D63" s="85" t="s">
        <v>4782</v>
      </c>
      <c r="E63" s="95" t="s">
        <v>4783</v>
      </c>
      <c r="F63" t="s">
        <v>4784</v>
      </c>
    </row>
    <row r="64" spans="1:6">
      <c r="A64" s="68" t="s">
        <v>4681</v>
      </c>
      <c r="B64" s="4" t="s">
        <v>4682</v>
      </c>
      <c r="C64" s="10" t="s">
        <v>4785</v>
      </c>
      <c r="D64" s="10" t="s">
        <v>4786</v>
      </c>
      <c r="E64" s="4" t="s">
        <v>4787</v>
      </c>
      <c r="F64" s="10" t="s">
        <v>4788</v>
      </c>
    </row>
    <row r="65" spans="1:7">
      <c r="D65" s="141" t="s">
        <v>4789</v>
      </c>
      <c r="E65" s="4" t="s">
        <v>4790</v>
      </c>
      <c r="F65" s="10" t="s">
        <v>4791</v>
      </c>
      <c r="G65" t="s">
        <v>4792</v>
      </c>
    </row>
    <row r="66" spans="1:7">
      <c r="A66" s="68" t="s">
        <v>4793</v>
      </c>
      <c r="B66" s="4" t="s">
        <v>4794</v>
      </c>
      <c r="C66" s="10" t="s">
        <v>4795</v>
      </c>
      <c r="D66" s="18" t="s">
        <v>4796</v>
      </c>
      <c r="E66" s="4" t="s">
        <v>4797</v>
      </c>
      <c r="F66" s="10" t="s">
        <v>4798</v>
      </c>
    </row>
    <row r="67" spans="1:7">
      <c r="A67" s="89"/>
      <c r="B67" s="4" t="s">
        <v>4799</v>
      </c>
      <c r="C67" s="85" t="s">
        <v>4800</v>
      </c>
      <c r="D67" s="18">
        <v>82199</v>
      </c>
      <c r="E67" s="4" t="s">
        <v>4801</v>
      </c>
      <c r="F67" s="10" t="s">
        <v>4802</v>
      </c>
    </row>
    <row r="68" spans="1:7">
      <c r="A68" s="68" t="s">
        <v>4803</v>
      </c>
      <c r="B68" t="s">
        <v>4804</v>
      </c>
      <c r="E68" s="4"/>
    </row>
    <row r="69" spans="1:7">
      <c r="A69" s="68" t="s">
        <v>4777</v>
      </c>
      <c r="B69" s="66" t="s">
        <v>4778</v>
      </c>
      <c r="C69" s="10" t="s">
        <v>4805</v>
      </c>
      <c r="D69" s="18">
        <v>55636</v>
      </c>
      <c r="E69" s="4" t="s">
        <v>4806</v>
      </c>
    </row>
    <row r="70" spans="1:7">
      <c r="D70" s="18" t="s">
        <v>4807</v>
      </c>
      <c r="E70" s="4" t="s">
        <v>4808</v>
      </c>
    </row>
    <row r="71" spans="1:7">
      <c r="A71" s="68" t="s">
        <v>4691</v>
      </c>
      <c r="B71" s="4" t="s">
        <v>4692</v>
      </c>
      <c r="D71" s="18">
        <v>1946</v>
      </c>
      <c r="E71" s="4" t="s">
        <v>4809</v>
      </c>
    </row>
    <row r="72" spans="1:7">
      <c r="B72" t="s">
        <v>4810</v>
      </c>
      <c r="D72" s="18">
        <v>14561</v>
      </c>
      <c r="E72" s="4" t="s">
        <v>4811</v>
      </c>
    </row>
    <row r="73" spans="1:7">
      <c r="B73" s="4" t="s">
        <v>4812</v>
      </c>
      <c r="D73" s="18" t="s">
        <v>4813</v>
      </c>
      <c r="E73" s="4" t="s">
        <v>4814</v>
      </c>
    </row>
    <row r="74" spans="1:7">
      <c r="A74" s="68" t="s">
        <v>4693</v>
      </c>
      <c r="B74" s="4" t="s">
        <v>4694</v>
      </c>
      <c r="C74" s="85" t="s">
        <v>4815</v>
      </c>
      <c r="D74" s="18" t="s">
        <v>4816</v>
      </c>
      <c r="E74" s="4" t="s">
        <v>4817</v>
      </c>
    </row>
    <row r="75" spans="1:7">
      <c r="A75" s="89" t="s">
        <v>4697</v>
      </c>
      <c r="B75" s="4" t="s">
        <v>4698</v>
      </c>
      <c r="C75" s="85" t="s">
        <v>4699</v>
      </c>
      <c r="D75" s="18">
        <v>13047</v>
      </c>
      <c r="E75" s="4" t="s">
        <v>4818</v>
      </c>
    </row>
    <row r="76" spans="1:7">
      <c r="A76" s="89"/>
      <c r="B76" s="4"/>
      <c r="C76" s="85"/>
      <c r="D76" s="85"/>
    </row>
    <row r="77" spans="1:7">
      <c r="A77" s="68" t="s">
        <v>4700</v>
      </c>
      <c r="B77" s="82" t="s">
        <v>4701</v>
      </c>
      <c r="C77" s="10" t="s">
        <v>4819</v>
      </c>
      <c r="D77" s="10"/>
    </row>
    <row r="78" spans="1:7">
      <c r="A78" s="68" t="s">
        <v>4820</v>
      </c>
      <c r="B78" s="75" t="s">
        <v>4821</v>
      </c>
      <c r="C78" s="85" t="s">
        <v>4822</v>
      </c>
      <c r="D78" s="85"/>
    </row>
    <row r="79" spans="1:7">
      <c r="A79" s="68" t="s">
        <v>4823</v>
      </c>
      <c r="B79" s="4" t="s">
        <v>4705</v>
      </c>
      <c r="C79" s="10" t="s">
        <v>4824</v>
      </c>
      <c r="D79" s="10"/>
    </row>
    <row r="80" spans="1:7">
      <c r="A80" s="68" t="s">
        <v>4825</v>
      </c>
      <c r="B80" t="s">
        <v>4826</v>
      </c>
      <c r="E80" t="s">
        <v>4827</v>
      </c>
    </row>
    <row r="81" spans="1:3">
      <c r="A81" s="68" t="s">
        <v>4595</v>
      </c>
      <c r="B81" t="s">
        <v>4828</v>
      </c>
    </row>
    <row r="82" spans="1:3">
      <c r="A82" s="68" t="s">
        <v>4829</v>
      </c>
      <c r="B82" t="s">
        <v>4830</v>
      </c>
    </row>
    <row r="83" spans="1:3">
      <c r="B83" s="4" t="s">
        <v>4831</v>
      </c>
      <c r="C83" s="85"/>
    </row>
    <row r="84" spans="1:3">
      <c r="A84" s="68" t="s">
        <v>4832</v>
      </c>
      <c r="B84" t="s">
        <v>4833</v>
      </c>
    </row>
    <row r="85" spans="1:3">
      <c r="A85" s="68" t="s">
        <v>4834</v>
      </c>
      <c r="B85" s="75" t="s">
        <v>4835</v>
      </c>
    </row>
    <row r="86" spans="1:3">
      <c r="A86" s="68" t="s">
        <v>4836</v>
      </c>
      <c r="B86" s="75" t="s">
        <v>4837</v>
      </c>
    </row>
    <row r="87" spans="1:3">
      <c r="A87" s="68" t="s">
        <v>4838</v>
      </c>
      <c r="B87" t="s">
        <v>4839</v>
      </c>
    </row>
    <row r="88" spans="1:3">
      <c r="A88" s="68" t="s">
        <v>4840</v>
      </c>
      <c r="B88" s="75" t="s">
        <v>4841</v>
      </c>
      <c r="C88" s="18" t="s">
        <v>3243</v>
      </c>
    </row>
    <row r="89" spans="1:3">
      <c r="A89" s="68" t="s">
        <v>4842</v>
      </c>
      <c r="B89" t="s">
        <v>4843</v>
      </c>
    </row>
    <row r="90" spans="1:3">
      <c r="A90" s="68" t="s">
        <v>4844</v>
      </c>
      <c r="B90" t="s">
        <v>4845</v>
      </c>
    </row>
    <row r="91" spans="1:3">
      <c r="A91" s="68" t="s">
        <v>4846</v>
      </c>
      <c r="B91" t="s">
        <v>4847</v>
      </c>
    </row>
    <row r="92" spans="1:3">
      <c r="A92" s="68" t="s">
        <v>4848</v>
      </c>
      <c r="B92" s="4" t="s">
        <v>4849</v>
      </c>
    </row>
    <row r="94" spans="1:3">
      <c r="A94" s="68" t="s">
        <v>4850</v>
      </c>
      <c r="B94" t="s">
        <v>4851</v>
      </c>
    </row>
    <row r="95" spans="1:3">
      <c r="A95" s="69" t="s">
        <v>4695</v>
      </c>
      <c r="B95" s="4" t="s">
        <v>4706</v>
      </c>
    </row>
    <row r="96" spans="1:3">
      <c r="A96" s="68" t="s">
        <v>4852</v>
      </c>
      <c r="B96" t="s">
        <v>4853</v>
      </c>
    </row>
    <row r="97" spans="1:4">
      <c r="A97" s="68" t="s">
        <v>4854</v>
      </c>
      <c r="B97" t="s">
        <v>4855</v>
      </c>
    </row>
    <row r="98" spans="1:4">
      <c r="A98" s="68" t="s">
        <v>4856</v>
      </c>
      <c r="B98" t="s">
        <v>4857</v>
      </c>
    </row>
    <row r="99" spans="1:4">
      <c r="A99" s="68" t="s">
        <v>4858</v>
      </c>
      <c r="B99" t="s">
        <v>4859</v>
      </c>
    </row>
    <row r="100" spans="1:4">
      <c r="A100" s="68" t="s">
        <v>4860</v>
      </c>
      <c r="B100" t="s">
        <v>4861</v>
      </c>
    </row>
    <row r="101" spans="1:4">
      <c r="A101" s="68" t="s">
        <v>4862</v>
      </c>
      <c r="B101" t="s">
        <v>4863</v>
      </c>
    </row>
    <row r="102" spans="1:4">
      <c r="A102" s="68" t="s">
        <v>4864</v>
      </c>
      <c r="B102" t="s">
        <v>4865</v>
      </c>
    </row>
    <row r="103" spans="1:4">
      <c r="A103" s="68" t="s">
        <v>4866</v>
      </c>
      <c r="B103" t="s">
        <v>4867</v>
      </c>
    </row>
    <row r="104" spans="1:4">
      <c r="A104" s="68" t="s">
        <v>4868</v>
      </c>
      <c r="B104" t="s">
        <v>4869</v>
      </c>
    </row>
    <row r="105" spans="1:4">
      <c r="A105" s="68" t="s">
        <v>4870</v>
      </c>
      <c r="B105" t="s">
        <v>4871</v>
      </c>
    </row>
    <row r="106" spans="1:4">
      <c r="A106" s="71" t="s">
        <v>4872</v>
      </c>
      <c r="B106" t="s">
        <v>4873</v>
      </c>
    </row>
    <row r="107" spans="1:4">
      <c r="A107" s="68" t="s">
        <v>4874</v>
      </c>
      <c r="B107" t="s">
        <v>4812</v>
      </c>
    </row>
    <row r="108" spans="1:4">
      <c r="A108" s="68" t="s">
        <v>4709</v>
      </c>
      <c r="B108" s="4" t="s">
        <v>4710</v>
      </c>
      <c r="C108" s="10" t="s">
        <v>4875</v>
      </c>
      <c r="D108" s="10"/>
    </row>
    <row r="109" spans="1:4">
      <c r="A109" s="68" t="s">
        <v>4714</v>
      </c>
      <c r="B109" s="4" t="s">
        <v>4715</v>
      </c>
      <c r="C109" s="85"/>
      <c r="D109" s="85"/>
    </row>
    <row r="110" spans="1:4">
      <c r="A110" s="69"/>
    </row>
    <row r="111" spans="1:4">
      <c r="A111" s="68" t="s">
        <v>4876</v>
      </c>
      <c r="B111" t="s">
        <v>4877</v>
      </c>
    </row>
    <row r="112" spans="1:4">
      <c r="A112" s="68" t="s">
        <v>4878</v>
      </c>
      <c r="B112" t="s">
        <v>4879</v>
      </c>
    </row>
    <row r="113" spans="1:5">
      <c r="A113" s="68" t="s">
        <v>4681</v>
      </c>
      <c r="B113" t="s">
        <v>4880</v>
      </c>
    </row>
    <row r="114" spans="1:5">
      <c r="C114" s="85" t="s">
        <v>4881</v>
      </c>
      <c r="D114" s="85"/>
    </row>
    <row r="115" spans="1:5">
      <c r="A115" s="68" t="s">
        <v>4719</v>
      </c>
      <c r="B115" s="103" t="s">
        <v>4720</v>
      </c>
      <c r="C115" s="10" t="s">
        <v>4882</v>
      </c>
      <c r="D115" s="10"/>
      <c r="E115" t="s">
        <v>4883</v>
      </c>
    </row>
    <row r="117" spans="1:5">
      <c r="A117" s="68" t="s">
        <v>4884</v>
      </c>
      <c r="B117" s="79" t="s">
        <v>4885</v>
      </c>
    </row>
    <row r="119" spans="1:5">
      <c r="A119" s="68" t="s">
        <v>4886</v>
      </c>
      <c r="B119" t="s">
        <v>4887</v>
      </c>
    </row>
    <row r="120" spans="1:5">
      <c r="A120" s="68" t="s">
        <v>4695</v>
      </c>
      <c r="B120" t="s">
        <v>4706</v>
      </c>
    </row>
    <row r="122" spans="1:5">
      <c r="A122" s="68" t="s">
        <v>4888</v>
      </c>
      <c r="B122" t="s">
        <v>4889</v>
      </c>
    </row>
    <row r="123" spans="1:5">
      <c r="A123" s="68" t="s">
        <v>4890</v>
      </c>
      <c r="B123" t="s">
        <v>4891</v>
      </c>
    </row>
    <row r="126" spans="1:5">
      <c r="A126" s="68" t="s">
        <v>4892</v>
      </c>
      <c r="B126" t="s">
        <v>4893</v>
      </c>
    </row>
    <row r="127" spans="1:5">
      <c r="A127" s="68" t="s">
        <v>4894</v>
      </c>
      <c r="B127" t="s">
        <v>4895</v>
      </c>
    </row>
    <row r="128" spans="1:5">
      <c r="A128" s="68" t="s">
        <v>4896</v>
      </c>
      <c r="B128" t="s">
        <v>4897</v>
      </c>
    </row>
    <row r="130" spans="1:5">
      <c r="A130" s="68" t="s">
        <v>4898</v>
      </c>
      <c r="B130" t="s">
        <v>4899</v>
      </c>
    </row>
    <row r="131" spans="1:5">
      <c r="A131" s="69" t="s">
        <v>4820</v>
      </c>
      <c r="B131" s="4" t="s">
        <v>4900</v>
      </c>
      <c r="C131" s="85" t="s">
        <v>4822</v>
      </c>
      <c r="D131" s="85"/>
      <c r="E131" t="s">
        <v>4901</v>
      </c>
    </row>
    <row r="132" spans="1:5">
      <c r="E132" t="s">
        <v>4902</v>
      </c>
    </row>
    <row r="133" spans="1:5">
      <c r="A133" s="68" t="s">
        <v>4903</v>
      </c>
      <c r="B133" t="s">
        <v>4904</v>
      </c>
    </row>
    <row r="134" spans="1:5">
      <c r="A134" s="68" t="s">
        <v>4905</v>
      </c>
      <c r="B134" s="4" t="s">
        <v>4906</v>
      </c>
    </row>
    <row r="136" spans="1:5">
      <c r="A136" s="68" t="s">
        <v>4907</v>
      </c>
      <c r="B136" t="s">
        <v>4908</v>
      </c>
      <c r="E136" s="15" t="s">
        <v>4909</v>
      </c>
    </row>
    <row r="137" spans="1:5">
      <c r="A137" s="68" t="s">
        <v>4726</v>
      </c>
      <c r="B137" t="s">
        <v>4727</v>
      </c>
    </row>
    <row r="139" spans="1:5">
      <c r="A139" s="68" t="s">
        <v>4910</v>
      </c>
      <c r="B139" t="s">
        <v>4911</v>
      </c>
      <c r="E139" t="s">
        <v>4912</v>
      </c>
    </row>
    <row r="140" spans="1:5">
      <c r="A140" s="68" t="s">
        <v>4913</v>
      </c>
      <c r="B140" t="s">
        <v>4914</v>
      </c>
      <c r="E140" s="15" t="s">
        <v>4915</v>
      </c>
    </row>
    <row r="141" spans="1:5">
      <c r="A141" s="68" t="s">
        <v>4916</v>
      </c>
      <c r="B141" t="s">
        <v>4917</v>
      </c>
    </row>
    <row r="142" spans="1:5">
      <c r="A142" s="68" t="s">
        <v>4918</v>
      </c>
      <c r="B142" t="s">
        <v>4919</v>
      </c>
    </row>
    <row r="143" spans="1:5">
      <c r="A143" s="68" t="s">
        <v>4916</v>
      </c>
      <c r="B143" t="s">
        <v>4920</v>
      </c>
    </row>
    <row r="144" spans="1:5">
      <c r="A144" s="68" t="s">
        <v>4921</v>
      </c>
      <c r="B144" t="s">
        <v>4922</v>
      </c>
    </row>
    <row r="145" spans="1:4">
      <c r="A145" s="68" t="s">
        <v>4923</v>
      </c>
      <c r="B145" t="s">
        <v>4924</v>
      </c>
      <c r="C145" s="18" t="s">
        <v>4925</v>
      </c>
    </row>
    <row r="146" spans="1:4">
      <c r="A146" s="68" t="s">
        <v>4926</v>
      </c>
      <c r="B146" t="s">
        <v>4927</v>
      </c>
    </row>
    <row r="147" spans="1:4">
      <c r="A147" s="68" t="s">
        <v>4928</v>
      </c>
      <c r="B147" t="s">
        <v>4929</v>
      </c>
    </row>
    <row r="148" spans="1:4">
      <c r="A148" s="71" t="s">
        <v>4930</v>
      </c>
      <c r="B148" t="s">
        <v>4931</v>
      </c>
    </row>
    <row r="149" spans="1:4">
      <c r="A149" s="68" t="s">
        <v>4932</v>
      </c>
      <c r="B149" t="s">
        <v>4933</v>
      </c>
    </row>
    <row r="150" spans="1:4">
      <c r="A150" s="68" t="s">
        <v>4934</v>
      </c>
      <c r="B150" t="s">
        <v>4935</v>
      </c>
    </row>
    <row r="151" spans="1:4">
      <c r="A151" s="68" t="s">
        <v>4936</v>
      </c>
      <c r="B151" t="s">
        <v>4937</v>
      </c>
    </row>
    <row r="152" spans="1:4">
      <c r="A152" s="68" t="s">
        <v>4938</v>
      </c>
      <c r="B152" t="s">
        <v>4939</v>
      </c>
    </row>
    <row r="155" spans="1:4">
      <c r="A155" s="68" t="s">
        <v>4940</v>
      </c>
      <c r="B155" t="s">
        <v>4941</v>
      </c>
    </row>
    <row r="156" spans="1:4">
      <c r="A156" s="68" t="s">
        <v>4942</v>
      </c>
      <c r="B156" t="s">
        <v>4943</v>
      </c>
    </row>
    <row r="157" spans="1:4">
      <c r="A157" s="68" t="s">
        <v>4944</v>
      </c>
      <c r="B157" t="s">
        <v>4945</v>
      </c>
    </row>
    <row r="158" spans="1:4">
      <c r="A158" s="68" t="s">
        <v>4946</v>
      </c>
      <c r="B158" t="s">
        <v>4947</v>
      </c>
    </row>
    <row r="159" spans="1:4">
      <c r="A159" s="68" t="s">
        <v>4723</v>
      </c>
      <c r="B159" s="4" t="s">
        <v>4724</v>
      </c>
      <c r="C159" s="10" t="s">
        <v>4948</v>
      </c>
      <c r="D159" s="10"/>
    </row>
    <row r="160" spans="1:4">
      <c r="A160" s="68" t="s">
        <v>4949</v>
      </c>
      <c r="B160" t="s">
        <v>4950</v>
      </c>
    </row>
    <row r="161" spans="1:4">
      <c r="A161" s="68" t="s">
        <v>4951</v>
      </c>
      <c r="B161" t="s">
        <v>4952</v>
      </c>
    </row>
    <row r="162" spans="1:4">
      <c r="A162" s="68" t="s">
        <v>4953</v>
      </c>
      <c r="B162" t="s">
        <v>4954</v>
      </c>
    </row>
    <row r="163" spans="1:4">
      <c r="A163" s="68" t="s">
        <v>4955</v>
      </c>
      <c r="B163" t="s">
        <v>4956</v>
      </c>
    </row>
    <row r="164" spans="1:4">
      <c r="A164" s="68" t="s">
        <v>4957</v>
      </c>
      <c r="B164" t="s">
        <v>4958</v>
      </c>
    </row>
    <row r="165" spans="1:4">
      <c r="A165" s="69" t="s">
        <v>4959</v>
      </c>
    </row>
    <row r="166" spans="1:4">
      <c r="A166" s="68" t="s">
        <v>4960</v>
      </c>
      <c r="B166" t="s">
        <v>4961</v>
      </c>
    </row>
    <row r="167" spans="1:4">
      <c r="A167" s="68" t="s">
        <v>4962</v>
      </c>
      <c r="B167" t="s">
        <v>4963</v>
      </c>
      <c r="C167" s="10" t="s">
        <v>4964</v>
      </c>
      <c r="D167" s="10"/>
    </row>
    <row r="168" spans="1:4">
      <c r="A168" s="68" t="s">
        <v>4965</v>
      </c>
      <c r="B168" s="90" t="s">
        <v>4966</v>
      </c>
    </row>
    <row r="169" spans="1:4">
      <c r="D169" s="10"/>
    </row>
    <row r="170" spans="1:4">
      <c r="A170" s="68" t="s">
        <v>4967</v>
      </c>
      <c r="B170" t="s">
        <v>4968</v>
      </c>
    </row>
    <row r="171" spans="1:4">
      <c r="A171" s="68" t="s">
        <v>4969</v>
      </c>
      <c r="B171" t="s">
        <v>4970</v>
      </c>
    </row>
    <row r="172" spans="1:4">
      <c r="A172" s="68" t="s">
        <v>4971</v>
      </c>
      <c r="B172" t="s">
        <v>4972</v>
      </c>
    </row>
    <row r="173" spans="1:4">
      <c r="A173" s="68" t="s">
        <v>4973</v>
      </c>
      <c r="B173" t="s">
        <v>4974</v>
      </c>
    </row>
    <row r="174" spans="1:4">
      <c r="A174" s="68" t="s">
        <v>4975</v>
      </c>
      <c r="B174" t="s">
        <v>4976</v>
      </c>
    </row>
    <row r="175" spans="1:4">
      <c r="A175" s="68" t="s">
        <v>4977</v>
      </c>
      <c r="B175" s="4" t="s">
        <v>4978</v>
      </c>
      <c r="C175" s="10" t="s">
        <v>4979</v>
      </c>
    </row>
    <row r="176" spans="1:4">
      <c r="A176" s="68" t="s">
        <v>4980</v>
      </c>
      <c r="B176" t="s">
        <v>4981</v>
      </c>
    </row>
    <row r="177" spans="1:4">
      <c r="A177" s="68" t="s">
        <v>4982</v>
      </c>
      <c r="B177" t="s">
        <v>4983</v>
      </c>
    </row>
    <row r="178" spans="1:4">
      <c r="A178" s="68" t="s">
        <v>4984</v>
      </c>
      <c r="B178" t="s">
        <v>4985</v>
      </c>
    </row>
    <row r="179" spans="1:4">
      <c r="A179" s="68" t="s">
        <v>4986</v>
      </c>
      <c r="B179" t="s">
        <v>4987</v>
      </c>
    </row>
    <row r="180" spans="1:4">
      <c r="A180" s="68" t="s">
        <v>4988</v>
      </c>
      <c r="B180" t="s">
        <v>4989</v>
      </c>
    </row>
    <row r="181" spans="1:4">
      <c r="A181" s="68" t="s">
        <v>4990</v>
      </c>
      <c r="B181" t="s">
        <v>4991</v>
      </c>
    </row>
    <row r="182" spans="1:4">
      <c r="A182" s="68" t="s">
        <v>4992</v>
      </c>
      <c r="B182" s="104" t="s">
        <v>4993</v>
      </c>
    </row>
    <row r="184" spans="1:4">
      <c r="B184" s="18"/>
    </row>
    <row r="187" spans="1:4">
      <c r="B187" s="18"/>
    </row>
    <row r="188" spans="1:4">
      <c r="A188" s="76"/>
      <c r="B188" s="18"/>
    </row>
    <row r="189" spans="1:4">
      <c r="B189" s="18"/>
      <c r="C189" s="85"/>
      <c r="D189" s="85"/>
    </row>
    <row r="191" spans="1:4">
      <c r="B191" s="18"/>
    </row>
    <row r="193" spans="1:4">
      <c r="A193" s="71" t="s">
        <v>4994</v>
      </c>
    </row>
    <row r="194" spans="1:4">
      <c r="A194" s="68" t="s">
        <v>4995</v>
      </c>
      <c r="B194" t="s">
        <v>4996</v>
      </c>
    </row>
    <row r="195" spans="1:4">
      <c r="A195" s="68" t="s">
        <v>4997</v>
      </c>
      <c r="B195" t="s">
        <v>4998</v>
      </c>
    </row>
    <row r="196" spans="1:4">
      <c r="A196" s="68" t="s">
        <v>4999</v>
      </c>
      <c r="B196" t="s">
        <v>5000</v>
      </c>
    </row>
    <row r="197" spans="1:4">
      <c r="B197" t="s">
        <v>5001</v>
      </c>
    </row>
    <row r="198" spans="1:4">
      <c r="A198" s="68" t="s">
        <v>5002</v>
      </c>
      <c r="B198" t="s">
        <v>5003</v>
      </c>
    </row>
    <row r="199" spans="1:4">
      <c r="A199" s="68" t="s">
        <v>5004</v>
      </c>
      <c r="B199" t="s">
        <v>5005</v>
      </c>
    </row>
    <row r="200" spans="1:4">
      <c r="A200" s="68" t="s">
        <v>4729</v>
      </c>
      <c r="B200" s="4" t="s">
        <v>4730</v>
      </c>
      <c r="C200" s="10" t="s">
        <v>5006</v>
      </c>
      <c r="D200" s="10"/>
    </row>
    <row r="201" spans="1:4">
      <c r="A201" s="68" t="s">
        <v>5007</v>
      </c>
      <c r="B201" t="s">
        <v>5008</v>
      </c>
    </row>
    <row r="202" spans="1:4">
      <c r="A202" s="68" t="s">
        <v>5009</v>
      </c>
      <c r="B202" t="s">
        <v>5010</v>
      </c>
    </row>
    <row r="203" spans="1:4">
      <c r="A203" s="68" t="s">
        <v>5011</v>
      </c>
      <c r="B203" t="s">
        <v>5012</v>
      </c>
    </row>
    <row r="204" spans="1:4">
      <c r="A204" s="68" t="s">
        <v>4995</v>
      </c>
      <c r="B204" t="s">
        <v>4996</v>
      </c>
    </row>
    <row r="205" spans="1:4">
      <c r="A205" s="68" t="s">
        <v>5013</v>
      </c>
      <c r="B205" t="s">
        <v>5014</v>
      </c>
    </row>
    <row r="206" spans="1:4">
      <c r="A206" s="68" t="s">
        <v>5015</v>
      </c>
      <c r="B206" t="s">
        <v>5016</v>
      </c>
    </row>
    <row r="207" spans="1:4">
      <c r="A207" s="68" t="s">
        <v>5017</v>
      </c>
      <c r="B207" t="s">
        <v>5018</v>
      </c>
    </row>
    <row r="208" spans="1:4">
      <c r="A208" s="68" t="s">
        <v>5019</v>
      </c>
      <c r="B208" t="s">
        <v>5020</v>
      </c>
    </row>
    <row r="209" spans="1:4">
      <c r="A209" s="68" t="s">
        <v>5021</v>
      </c>
      <c r="B209" t="s">
        <v>5022</v>
      </c>
    </row>
    <row r="210" spans="1:4">
      <c r="A210" s="68" t="s">
        <v>4733</v>
      </c>
      <c r="B210" s="4" t="s">
        <v>4734</v>
      </c>
      <c r="C210" s="10" t="s">
        <v>5023</v>
      </c>
      <c r="D210" s="10"/>
    </row>
    <row r="211" spans="1:4">
      <c r="A211" s="68" t="s">
        <v>5024</v>
      </c>
      <c r="B211" t="s">
        <v>5025</v>
      </c>
    </row>
    <row r="212" spans="1:4">
      <c r="A212" s="68" t="s">
        <v>5026</v>
      </c>
      <c r="B212" t="s">
        <v>5027</v>
      </c>
    </row>
    <row r="213" spans="1:4">
      <c r="A213" s="68" t="s">
        <v>4823</v>
      </c>
      <c r="B213" t="s">
        <v>4705</v>
      </c>
    </row>
    <row r="214" spans="1:4">
      <c r="A214" s="68" t="s">
        <v>5028</v>
      </c>
      <c r="B214" t="s">
        <v>5029</v>
      </c>
    </row>
    <row r="215" spans="1:4">
      <c r="A215" s="68" t="s">
        <v>5030</v>
      </c>
      <c r="B215" t="s">
        <v>5031</v>
      </c>
    </row>
    <row r="216" spans="1:4">
      <c r="A216" s="68" t="s">
        <v>5032</v>
      </c>
      <c r="B216" t="s">
        <v>5033</v>
      </c>
    </row>
    <row r="217" spans="1:4">
      <c r="A217" s="68" t="s">
        <v>4702</v>
      </c>
      <c r="B217" t="s">
        <v>4703</v>
      </c>
    </row>
    <row r="218" spans="1:4">
      <c r="A218" s="68" t="s">
        <v>5034</v>
      </c>
      <c r="B218" t="s">
        <v>5035</v>
      </c>
    </row>
    <row r="219" spans="1:4">
      <c r="A219" s="68" t="s">
        <v>5036</v>
      </c>
      <c r="B219" t="s">
        <v>5037</v>
      </c>
    </row>
    <row r="221" spans="1:4">
      <c r="A221" s="68" t="s">
        <v>5038</v>
      </c>
      <c r="B221" t="s">
        <v>5039</v>
      </c>
    </row>
    <row r="222" spans="1:4">
      <c r="A222" s="68" t="s">
        <v>5040</v>
      </c>
      <c r="B222" t="s">
        <v>5041</v>
      </c>
    </row>
    <row r="223" spans="1:4">
      <c r="A223" s="68" t="s">
        <v>5042</v>
      </c>
      <c r="B223" t="s">
        <v>5043</v>
      </c>
    </row>
    <row r="224" spans="1:4">
      <c r="A224" s="68" t="s">
        <v>5044</v>
      </c>
      <c r="B224" t="s">
        <v>5045</v>
      </c>
    </row>
    <row r="225" spans="1:4">
      <c r="A225" s="68" t="s">
        <v>5046</v>
      </c>
      <c r="B225" t="s">
        <v>5047</v>
      </c>
    </row>
    <row r="226" spans="1:4">
      <c r="A226" s="68" t="s">
        <v>5048</v>
      </c>
      <c r="B226" t="s">
        <v>5049</v>
      </c>
    </row>
    <row r="227" spans="1:4">
      <c r="A227" s="68" t="s">
        <v>5050</v>
      </c>
      <c r="B227" t="s">
        <v>5051</v>
      </c>
    </row>
    <row r="228" spans="1:4">
      <c r="A228" s="68" t="s">
        <v>5052</v>
      </c>
      <c r="B228" t="s">
        <v>5053</v>
      </c>
    </row>
    <row r="229" spans="1:4">
      <c r="A229" s="68" t="s">
        <v>5054</v>
      </c>
      <c r="B229" t="s">
        <v>5055</v>
      </c>
    </row>
    <row r="230" spans="1:4">
      <c r="A230" s="68" t="s">
        <v>5056</v>
      </c>
      <c r="B230" t="s">
        <v>5057</v>
      </c>
    </row>
    <row r="231" spans="1:4">
      <c r="A231" s="68" t="s">
        <v>5058</v>
      </c>
      <c r="B231" t="s">
        <v>5059</v>
      </c>
    </row>
    <row r="232" spans="1:4">
      <c r="A232" s="68" t="s">
        <v>4735</v>
      </c>
      <c r="B232" s="4" t="s">
        <v>4736</v>
      </c>
      <c r="C232" s="10" t="s">
        <v>5060</v>
      </c>
      <c r="D232" s="10"/>
    </row>
    <row r="233" spans="1:4">
      <c r="A233" s="68" t="s">
        <v>5061</v>
      </c>
      <c r="B233" t="s">
        <v>5062</v>
      </c>
    </row>
    <row r="234" spans="1:4">
      <c r="A234" s="68" t="s">
        <v>5063</v>
      </c>
      <c r="B234" t="s">
        <v>5064</v>
      </c>
    </row>
    <row r="235" spans="1:4">
      <c r="A235" s="68" t="s">
        <v>5065</v>
      </c>
      <c r="B235" t="s">
        <v>5066</v>
      </c>
    </row>
    <row r="237" spans="1:4">
      <c r="A237" s="68">
        <v>82199</v>
      </c>
      <c r="B237" s="4" t="s">
        <v>4801</v>
      </c>
      <c r="C237" s="10" t="s">
        <v>4802</v>
      </c>
      <c r="D237" s="10"/>
    </row>
    <row r="239" spans="1:4">
      <c r="A239" s="68" t="s">
        <v>5067</v>
      </c>
      <c r="B239" t="s">
        <v>5068</v>
      </c>
    </row>
    <row r="240" spans="1:4">
      <c r="A240" s="68" t="s">
        <v>5069</v>
      </c>
      <c r="B240" t="s">
        <v>5070</v>
      </c>
    </row>
    <row r="241" spans="1:3">
      <c r="A241" s="68" t="s">
        <v>5071</v>
      </c>
      <c r="B241" t="s">
        <v>5072</v>
      </c>
    </row>
    <row r="242" spans="1:3">
      <c r="A242" s="68" t="s">
        <v>5073</v>
      </c>
      <c r="B242" t="s">
        <v>5074</v>
      </c>
    </row>
    <row r="243" spans="1:3">
      <c r="A243" s="68" t="s">
        <v>5075</v>
      </c>
      <c r="B243" t="s">
        <v>5076</v>
      </c>
    </row>
    <row r="244" spans="1:3">
      <c r="A244" s="68" t="s">
        <v>5046</v>
      </c>
      <c r="B244" t="s">
        <v>5047</v>
      </c>
    </row>
    <row r="245" spans="1:3">
      <c r="A245" s="68" t="s">
        <v>5077</v>
      </c>
      <c r="B245" s="4" t="s">
        <v>5078</v>
      </c>
      <c r="C245" s="10" t="s">
        <v>4762</v>
      </c>
    </row>
    <row r="246" spans="1:3">
      <c r="A246" s="68" t="s">
        <v>5079</v>
      </c>
      <c r="B246" t="s">
        <v>5080</v>
      </c>
    </row>
    <row r="247" spans="1:3">
      <c r="A247" s="68" t="s">
        <v>5081</v>
      </c>
      <c r="B247" t="s">
        <v>5082</v>
      </c>
    </row>
    <row r="248" spans="1:3">
      <c r="A248" s="68" t="s">
        <v>5083</v>
      </c>
      <c r="B248" t="s">
        <v>5084</v>
      </c>
    </row>
    <row r="250" spans="1:3">
      <c r="A250" s="68" t="s">
        <v>5085</v>
      </c>
      <c r="B250" t="s">
        <v>5086</v>
      </c>
    </row>
    <row r="251" spans="1:3">
      <c r="A251" s="68" t="s">
        <v>5087</v>
      </c>
      <c r="B251" t="s">
        <v>5088</v>
      </c>
    </row>
    <row r="252" spans="1:3">
      <c r="A252" s="68" t="s">
        <v>5089</v>
      </c>
      <c r="B252" t="s">
        <v>5090</v>
      </c>
    </row>
    <row r="253" spans="1:3">
      <c r="A253" s="68" t="s">
        <v>5091</v>
      </c>
      <c r="B253" t="s">
        <v>5092</v>
      </c>
    </row>
    <row r="255" spans="1:3">
      <c r="A255" s="68" t="s">
        <v>5093</v>
      </c>
      <c r="B255" t="s">
        <v>5094</v>
      </c>
    </row>
    <row r="256" spans="1:3">
      <c r="A256" s="68" t="s">
        <v>5095</v>
      </c>
      <c r="B256" t="s">
        <v>5096</v>
      </c>
    </row>
    <row r="257" spans="1:2">
      <c r="A257" s="68" t="s">
        <v>5097</v>
      </c>
      <c r="B257" t="s">
        <v>5098</v>
      </c>
    </row>
    <row r="258" spans="1:2">
      <c r="A258" s="68" t="s">
        <v>4579</v>
      </c>
      <c r="B258" t="s">
        <v>5099</v>
      </c>
    </row>
    <row r="259" spans="1:2">
      <c r="A259" s="68" t="s">
        <v>5100</v>
      </c>
      <c r="B259" t="s">
        <v>5101</v>
      </c>
    </row>
    <row r="260" spans="1:2">
      <c r="A260" s="68" t="s">
        <v>5102</v>
      </c>
      <c r="B260" t="s">
        <v>5103</v>
      </c>
    </row>
    <row r="261" spans="1:2">
      <c r="A261" s="68" t="s">
        <v>5104</v>
      </c>
      <c r="B261" t="s">
        <v>5105</v>
      </c>
    </row>
    <row r="262" spans="1:2">
      <c r="A262" s="68" t="s">
        <v>5106</v>
      </c>
      <c r="B262" t="s">
        <v>5107</v>
      </c>
    </row>
    <row r="263" spans="1:2">
      <c r="A263" s="68" t="s">
        <v>5108</v>
      </c>
      <c r="B263" t="s">
        <v>5109</v>
      </c>
    </row>
    <row r="264" spans="1:2">
      <c r="A264" s="68" t="s">
        <v>5110</v>
      </c>
      <c r="B264" t="s">
        <v>5111</v>
      </c>
    </row>
    <row r="265" spans="1:2">
      <c r="A265" s="68" t="s">
        <v>5112</v>
      </c>
      <c r="B265" t="s">
        <v>5113</v>
      </c>
    </row>
    <row r="266" spans="1:2">
      <c r="A266" s="68" t="s">
        <v>5114</v>
      </c>
      <c r="B266" t="s">
        <v>5115</v>
      </c>
    </row>
    <row r="267" spans="1:2">
      <c r="A267" s="68" t="s">
        <v>5116</v>
      </c>
      <c r="B267" t="s">
        <v>5117</v>
      </c>
    </row>
    <row r="268" spans="1:2">
      <c r="A268" s="68" t="s">
        <v>5118</v>
      </c>
      <c r="B268" t="s">
        <v>5119</v>
      </c>
    </row>
    <row r="269" spans="1:2">
      <c r="A269" s="68" t="s">
        <v>5120</v>
      </c>
      <c r="B269" t="s">
        <v>5121</v>
      </c>
    </row>
    <row r="270" spans="1:2">
      <c r="A270" s="68" t="s">
        <v>5122</v>
      </c>
      <c r="B270" t="s">
        <v>5123</v>
      </c>
    </row>
    <row r="271" spans="1:2">
      <c r="A271" s="68" t="s">
        <v>4774</v>
      </c>
      <c r="B271" t="s">
        <v>4775</v>
      </c>
    </row>
    <row r="272" spans="1:2">
      <c r="A272" s="68" t="s">
        <v>5124</v>
      </c>
      <c r="B272" t="s">
        <v>5125</v>
      </c>
    </row>
    <row r="273" spans="1:2">
      <c r="A273" s="69" t="s">
        <v>5126</v>
      </c>
      <c r="B273" s="4" t="s">
        <v>5127</v>
      </c>
    </row>
    <row r="274" spans="1:2">
      <c r="A274" s="68" t="s">
        <v>5128</v>
      </c>
      <c r="B274" t="s">
        <v>5129</v>
      </c>
    </row>
    <row r="275" spans="1:2">
      <c r="A275" s="68" t="s">
        <v>5124</v>
      </c>
      <c r="B275" t="s">
        <v>5125</v>
      </c>
    </row>
    <row r="276" spans="1:2">
      <c r="A276" s="68" t="s">
        <v>5130</v>
      </c>
      <c r="B276" t="s">
        <v>5131</v>
      </c>
    </row>
    <row r="277" spans="1:2">
      <c r="A277" s="68" t="s">
        <v>5132</v>
      </c>
      <c r="B277" t="s">
        <v>5133</v>
      </c>
    </row>
    <row r="278" spans="1:2">
      <c r="A278" s="68" t="s">
        <v>5134</v>
      </c>
      <c r="B278" t="s">
        <v>5135</v>
      </c>
    </row>
    <row r="279" spans="1:2">
      <c r="A279" s="68" t="s">
        <v>5136</v>
      </c>
      <c r="B279" t="s">
        <v>5137</v>
      </c>
    </row>
    <row r="280" spans="1:2">
      <c r="A280" s="68" t="s">
        <v>5138</v>
      </c>
      <c r="B280" t="s">
        <v>5139</v>
      </c>
    </row>
    <row r="281" spans="1:2">
      <c r="A281" s="68" t="s">
        <v>5140</v>
      </c>
      <c r="B281" t="s">
        <v>5141</v>
      </c>
    </row>
    <row r="282" spans="1:2">
      <c r="A282" s="68" t="s">
        <v>5142</v>
      </c>
      <c r="B282" t="s">
        <v>5143</v>
      </c>
    </row>
    <row r="283" spans="1:2">
      <c r="A283" s="68" t="s">
        <v>5144</v>
      </c>
      <c r="B283" t="s">
        <v>5145</v>
      </c>
    </row>
    <row r="284" spans="1:2">
      <c r="A284" s="68" t="s">
        <v>5146</v>
      </c>
      <c r="B284" t="s">
        <v>5147</v>
      </c>
    </row>
    <row r="285" spans="1:2">
      <c r="A285" s="68" t="s">
        <v>5122</v>
      </c>
      <c r="B285" t="s">
        <v>5123</v>
      </c>
    </row>
    <row r="286" spans="1:2">
      <c r="A286" s="68" t="s">
        <v>5148</v>
      </c>
      <c r="B286" t="s">
        <v>5149</v>
      </c>
    </row>
    <row r="287" spans="1:2">
      <c r="A287" s="68" t="s">
        <v>5150</v>
      </c>
      <c r="B287" t="s">
        <v>5151</v>
      </c>
    </row>
    <row r="288" spans="1:2">
      <c r="A288" s="68" t="s">
        <v>5152</v>
      </c>
      <c r="B288" t="s">
        <v>5153</v>
      </c>
    </row>
    <row r="289" spans="1:2">
      <c r="A289" s="68" t="s">
        <v>5154</v>
      </c>
      <c r="B289" s="4" t="s">
        <v>5155</v>
      </c>
    </row>
    <row r="290" spans="1:2">
      <c r="A290" s="68" t="s">
        <v>5156</v>
      </c>
      <c r="B290" t="s">
        <v>5157</v>
      </c>
    </row>
    <row r="291" spans="1:2">
      <c r="A291" s="68" t="s">
        <v>5158</v>
      </c>
      <c r="B291" t="s">
        <v>5159</v>
      </c>
    </row>
    <row r="294" spans="1:2">
      <c r="A294" s="68" t="s">
        <v>4962</v>
      </c>
      <c r="B294" t="s">
        <v>4963</v>
      </c>
    </row>
    <row r="295" spans="1:2">
      <c r="A295" s="68" t="s">
        <v>5160</v>
      </c>
      <c r="B295" t="s">
        <v>5161</v>
      </c>
    </row>
    <row r="296" spans="1:2">
      <c r="B296" t="s">
        <v>5162</v>
      </c>
    </row>
    <row r="297" spans="1:2">
      <c r="A297" s="68" t="s">
        <v>5163</v>
      </c>
      <c r="B297" t="s">
        <v>5164</v>
      </c>
    </row>
    <row r="298" spans="1:2">
      <c r="A298" s="68" t="s">
        <v>4763</v>
      </c>
      <c r="B298" t="s">
        <v>4764</v>
      </c>
    </row>
    <row r="299" spans="1:2">
      <c r="A299" s="68" t="s">
        <v>5165</v>
      </c>
      <c r="B299" t="s">
        <v>5166</v>
      </c>
    </row>
    <row r="300" spans="1:2">
      <c r="A300" s="68" t="s">
        <v>5167</v>
      </c>
      <c r="B300" t="s">
        <v>5168</v>
      </c>
    </row>
    <row r="301" spans="1:2">
      <c r="A301" s="68" t="s">
        <v>4848</v>
      </c>
      <c r="B301" t="s">
        <v>4849</v>
      </c>
    </row>
    <row r="302" spans="1:2">
      <c r="A302" s="68" t="s">
        <v>5169</v>
      </c>
      <c r="B302" t="s">
        <v>5170</v>
      </c>
    </row>
    <row r="303" spans="1:2">
      <c r="A303" s="68" t="s">
        <v>5171</v>
      </c>
      <c r="B303" t="s">
        <v>5172</v>
      </c>
    </row>
    <row r="304" spans="1:2">
      <c r="A304" s="68" t="s">
        <v>5173</v>
      </c>
      <c r="B304" t="s">
        <v>5174</v>
      </c>
    </row>
    <row r="305" spans="1:2">
      <c r="A305" s="68" t="s">
        <v>5175</v>
      </c>
      <c r="B305" t="s">
        <v>5176</v>
      </c>
    </row>
    <row r="306" spans="1:2">
      <c r="A306" s="68" t="s">
        <v>5177</v>
      </c>
      <c r="B306" t="s">
        <v>5178</v>
      </c>
    </row>
    <row r="307" spans="1:2">
      <c r="A307" s="68" t="s">
        <v>5179</v>
      </c>
      <c r="B307" t="s">
        <v>5180</v>
      </c>
    </row>
    <row r="308" spans="1:2">
      <c r="A308" s="69" t="s">
        <v>5181</v>
      </c>
    </row>
    <row r="309" spans="1:2">
      <c r="A309" s="68" t="s">
        <v>5182</v>
      </c>
      <c r="B309" t="s">
        <v>5183</v>
      </c>
    </row>
    <row r="310" spans="1:2">
      <c r="A310" s="68" t="s">
        <v>5184</v>
      </c>
      <c r="B310" t="s">
        <v>5185</v>
      </c>
    </row>
    <row r="311" spans="1:2">
      <c r="A311" s="68" t="s">
        <v>5186</v>
      </c>
      <c r="B311" t="s">
        <v>5187</v>
      </c>
    </row>
    <row r="312" spans="1:2">
      <c r="A312" s="68" t="s">
        <v>5188</v>
      </c>
      <c r="B312" t="s">
        <v>5189</v>
      </c>
    </row>
    <row r="313" spans="1:2">
      <c r="A313" s="68" t="s">
        <v>5190</v>
      </c>
      <c r="B313" t="s">
        <v>5191</v>
      </c>
    </row>
    <row r="314" spans="1:2">
      <c r="A314" s="68" t="s">
        <v>5192</v>
      </c>
      <c r="B314" t="s">
        <v>5193</v>
      </c>
    </row>
    <row r="315" spans="1:2">
      <c r="A315" s="68" t="s">
        <v>5194</v>
      </c>
      <c r="B315" t="s">
        <v>5195</v>
      </c>
    </row>
    <row r="316" spans="1:2">
      <c r="A316" s="68" t="s">
        <v>5065</v>
      </c>
      <c r="B316" t="s">
        <v>5066</v>
      </c>
    </row>
    <row r="317" spans="1:2">
      <c r="A317" s="68" t="s">
        <v>5196</v>
      </c>
      <c r="B317" t="s">
        <v>5197</v>
      </c>
    </row>
    <row r="318" spans="1:2">
      <c r="A318" s="68" t="s">
        <v>5160</v>
      </c>
      <c r="B318" t="s">
        <v>5161</v>
      </c>
    </row>
    <row r="319" spans="1:2">
      <c r="A319" s="68" t="s">
        <v>5198</v>
      </c>
      <c r="B319" t="s">
        <v>5199</v>
      </c>
    </row>
    <row r="320" spans="1:2">
      <c r="A320" s="69" t="s">
        <v>4962</v>
      </c>
      <c r="B320" s="4" t="s">
        <v>4963</v>
      </c>
    </row>
    <row r="321" spans="1:2">
      <c r="A321" s="68" t="s">
        <v>5200</v>
      </c>
      <c r="B321" t="s">
        <v>5201</v>
      </c>
    </row>
    <row r="322" spans="1:2">
      <c r="B322" t="s">
        <v>5202</v>
      </c>
    </row>
    <row r="323" spans="1:2">
      <c r="A323" s="69" t="s">
        <v>5203</v>
      </c>
      <c r="B323" s="4" t="s">
        <v>5204</v>
      </c>
    </row>
  </sheetData>
  <hyperlinks>
    <hyperlink ref="C3" r:id="rId1" xr:uid="{00000000-0004-0000-0700-000000000000}"/>
    <hyperlink ref="C5" r:id="rId2" xr:uid="{00000000-0004-0000-0700-000001000000}"/>
    <hyperlink ref="C6" r:id="rId3" xr:uid="{00000000-0004-0000-0700-000002000000}"/>
    <hyperlink ref="C7" r:id="rId4" xr:uid="{00000000-0004-0000-0700-000003000000}"/>
    <hyperlink ref="J12" r:id="rId5" tooltip="go to NSN view" display="https://www.dibbs.bsm.dla.mil/RFQ/RFQNsn.aspx?value=5325014622867&amp;category=nsn&amp;Scope=all" xr:uid="{00000000-0004-0000-0700-000004000000}"/>
    <hyperlink ref="C14" r:id="rId6" xr:uid="{00000000-0004-0000-0700-000005000000}"/>
    <hyperlink ref="C16" r:id="rId7" xr:uid="{00000000-0004-0000-0700-000006000000}"/>
    <hyperlink ref="C18" r:id="rId8" xr:uid="{00000000-0004-0000-0700-000007000000}"/>
    <hyperlink ref="C19" r:id="rId9" xr:uid="{00000000-0004-0000-0700-000008000000}"/>
    <hyperlink ref="C20" r:id="rId10" xr:uid="{00000000-0004-0000-0700-000009000000}"/>
    <hyperlink ref="C21" r:id="rId11" xr:uid="{00000000-0004-0000-0700-00000A000000}"/>
    <hyperlink ref="C25" r:id="rId12" xr:uid="{00000000-0004-0000-0700-00000B000000}"/>
    <hyperlink ref="B27" r:id="rId13" xr:uid="{00000000-0004-0000-0700-00000C000000}"/>
    <hyperlink ref="C27" r:id="rId14" xr:uid="{00000000-0004-0000-0700-00000D000000}"/>
    <hyperlink ref="C28" r:id="rId15" xr:uid="{00000000-0004-0000-0700-00000E000000}"/>
    <hyperlink ref="E29" r:id="rId16" xr:uid="{00000000-0004-0000-0700-00000F000000}"/>
    <hyperlink ref="C31" r:id="rId17" xr:uid="{00000000-0004-0000-0700-000010000000}"/>
    <hyperlink ref="C34" r:id="rId18" xr:uid="{00000000-0004-0000-0700-000011000000}"/>
    <hyperlink ref="C35" r:id="rId19" xr:uid="{00000000-0004-0000-0700-000012000000}"/>
    <hyperlink ref="C37" r:id="rId20" xr:uid="{00000000-0004-0000-0700-000013000000}"/>
    <hyperlink ref="C39" r:id="rId21" xr:uid="{00000000-0004-0000-0700-000014000000}"/>
    <hyperlink ref="C41" r:id="rId22" xr:uid="{00000000-0004-0000-0700-000015000000}"/>
    <hyperlink ref="C42" r:id="rId23" xr:uid="{00000000-0004-0000-0700-000016000000}"/>
    <hyperlink ref="C43" r:id="rId24" xr:uid="{00000000-0004-0000-0700-000017000000}"/>
    <hyperlink ref="C45" r:id="rId25" xr:uid="{00000000-0004-0000-0700-000018000000}"/>
    <hyperlink ref="C46" r:id="rId26" xr:uid="{00000000-0004-0000-0700-000019000000}"/>
    <hyperlink ref="F50" r:id="rId27" xr:uid="{00000000-0004-0000-0700-00001A000000}"/>
    <hyperlink ref="C51" r:id="rId28" xr:uid="{00000000-0004-0000-0700-00001B000000}"/>
    <hyperlink ref="C52" r:id="rId29" xr:uid="{00000000-0004-0000-0700-00001C000000}"/>
    <hyperlink ref="F52" r:id="rId30" xr:uid="{00000000-0004-0000-0700-00001D000000}"/>
    <hyperlink ref="C53" r:id="rId31" xr:uid="{00000000-0004-0000-0700-00001E000000}"/>
    <hyperlink ref="F55" r:id="rId32" xr:uid="{00000000-0004-0000-0700-00001F000000}"/>
    <hyperlink ref="C56" r:id="rId33" xr:uid="{00000000-0004-0000-0700-000020000000}"/>
    <hyperlink ref="F56" r:id="rId34" xr:uid="{00000000-0004-0000-0700-000021000000}"/>
    <hyperlink ref="C57" r:id="rId35" xr:uid="{00000000-0004-0000-0700-000022000000}"/>
    <hyperlink ref="F57" r:id="rId36" xr:uid="{00000000-0004-0000-0700-000023000000}"/>
    <hyperlink ref="B58" r:id="rId37" xr:uid="{00000000-0004-0000-0700-000024000000}"/>
    <hyperlink ref="C59" r:id="rId38" xr:uid="{00000000-0004-0000-0700-000025000000}"/>
    <hyperlink ref="F59" r:id="rId39" xr:uid="{00000000-0004-0000-0700-000026000000}"/>
    <hyperlink ref="C60" r:id="rId40" xr:uid="{00000000-0004-0000-0700-000027000000}"/>
    <hyperlink ref="F60" r:id="rId41" xr:uid="{00000000-0004-0000-0700-000028000000}"/>
    <hyperlink ref="E63" r:id="rId42" display="sgalla@worldmagnetics.com" xr:uid="{00000000-0004-0000-0700-000029000000}"/>
    <hyperlink ref="C64" r:id="rId43" xr:uid="{00000000-0004-0000-0700-00002A000000}"/>
    <hyperlink ref="F64" r:id="rId44" display="mailto:parts@KTSDI.com" xr:uid="{00000000-0004-0000-0700-00002B000000}"/>
    <hyperlink ref="F65" r:id="rId45" xr:uid="{00000000-0004-0000-0700-00002C000000}"/>
    <hyperlink ref="C66" r:id="rId46" xr:uid="{00000000-0004-0000-0700-00002D000000}"/>
    <hyperlink ref="F66" r:id="rId47" xr:uid="{00000000-0004-0000-0700-00002E000000}"/>
    <hyperlink ref="C67" r:id="rId48" xr:uid="{00000000-0004-0000-0700-00002F000000}"/>
    <hyperlink ref="F67" r:id="rId49" xr:uid="{00000000-0004-0000-0700-000030000000}"/>
    <hyperlink ref="C69" r:id="rId50" xr:uid="{00000000-0004-0000-0700-000031000000}"/>
    <hyperlink ref="C74" r:id="rId51" xr:uid="{00000000-0004-0000-0700-000032000000}"/>
    <hyperlink ref="C75" r:id="rId52" xr:uid="{00000000-0004-0000-0700-000033000000}"/>
    <hyperlink ref="C77" r:id="rId53" xr:uid="{00000000-0004-0000-0700-000034000000}"/>
    <hyperlink ref="C78" r:id="rId54" xr:uid="{00000000-0004-0000-0700-000035000000}"/>
    <hyperlink ref="C79" r:id="rId55" xr:uid="{00000000-0004-0000-0700-000036000000}"/>
    <hyperlink ref="C108" r:id="rId56" xr:uid="{00000000-0004-0000-0700-000037000000}"/>
    <hyperlink ref="C114" r:id="rId57" xr:uid="{00000000-0004-0000-0700-000038000000}"/>
    <hyperlink ref="C115" r:id="rId58" xr:uid="{00000000-0004-0000-0700-000039000000}"/>
    <hyperlink ref="C131" r:id="rId59" xr:uid="{00000000-0004-0000-0700-00003A000000}"/>
    <hyperlink ref="C159" r:id="rId60" xr:uid="{00000000-0004-0000-0700-00003B000000}"/>
    <hyperlink ref="C167" r:id="rId61" xr:uid="{00000000-0004-0000-0700-00003C000000}"/>
    <hyperlink ref="C175" r:id="rId62" xr:uid="{00000000-0004-0000-0700-00003D000000}"/>
    <hyperlink ref="C200" r:id="rId63" xr:uid="{00000000-0004-0000-0700-00003E000000}"/>
    <hyperlink ref="C210" r:id="rId64" xr:uid="{00000000-0004-0000-0700-00003F000000}"/>
    <hyperlink ref="C232" r:id="rId65" xr:uid="{00000000-0004-0000-0700-000040000000}"/>
    <hyperlink ref="C237" r:id="rId66" xr:uid="{00000000-0004-0000-0700-000041000000}"/>
    <hyperlink ref="C245" r:id="rId67" xr:uid="{00000000-0004-0000-0700-000042000000}"/>
  </hyperlinks>
  <pageMargins left="0.7" right="0.7" top="0.75" bottom="0.75" header="0.3" footer="0.3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20"/>
  <sheetViews>
    <sheetView workbookViewId="0"/>
  </sheetViews>
  <sheetFormatPr defaultRowHeight="15"/>
  <cols>
    <col min="1" max="1" width="9.5703125" bestFit="1" customWidth="1"/>
    <col min="2" max="2" width="20.42578125" customWidth="1"/>
    <col min="3" max="3" width="39.85546875" customWidth="1"/>
  </cols>
  <sheetData>
    <row r="1" spans="1:10">
      <c r="B1" t="s">
        <v>5205</v>
      </c>
    </row>
    <row r="2" spans="1:10" ht="15.75" customHeight="1">
      <c r="A2" s="68" t="s">
        <v>4548</v>
      </c>
      <c r="B2" s="4" t="s">
        <v>131</v>
      </c>
      <c r="C2" s="10" t="s">
        <v>4549</v>
      </c>
    </row>
    <row r="3" spans="1:10" ht="15.75" customHeight="1">
      <c r="A3" s="68" t="s">
        <v>4553</v>
      </c>
      <c r="B3" t="s">
        <v>4554</v>
      </c>
      <c r="C3" s="18"/>
    </row>
    <row r="4" spans="1:10" ht="15.75" customHeight="1">
      <c r="A4" s="68" t="s">
        <v>4558</v>
      </c>
      <c r="B4" s="4" t="s">
        <v>4559</v>
      </c>
      <c r="C4" s="10" t="s">
        <v>4549</v>
      </c>
    </row>
    <row r="5" spans="1:10" ht="15.75" customHeight="1">
      <c r="A5" s="68" t="s">
        <v>4564</v>
      </c>
      <c r="B5" s="4" t="s">
        <v>223</v>
      </c>
      <c r="C5" s="85" t="s">
        <v>4565</v>
      </c>
    </row>
    <row r="6" spans="1:10" ht="15.75" customHeight="1">
      <c r="A6" s="68" t="s">
        <v>4569</v>
      </c>
      <c r="B6" t="s">
        <v>4570</v>
      </c>
      <c r="C6" s="85" t="s">
        <v>4571</v>
      </c>
      <c r="J6">
        <v>0</v>
      </c>
    </row>
    <row r="7" spans="1:10" ht="15.75" customHeight="1">
      <c r="A7" s="68" t="s">
        <v>5206</v>
      </c>
      <c r="B7" t="s">
        <v>117</v>
      </c>
      <c r="C7" s="18"/>
      <c r="J7">
        <v>11388</v>
      </c>
    </row>
    <row r="8" spans="1:10" ht="15.75" customHeight="1">
      <c r="A8" s="68" t="s">
        <v>5054</v>
      </c>
      <c r="C8" s="18"/>
      <c r="J8">
        <v>18328</v>
      </c>
    </row>
    <row r="9" spans="1:10" ht="15.75" customHeight="1">
      <c r="A9" s="68" t="s">
        <v>4576</v>
      </c>
      <c r="B9" s="18" t="s">
        <v>4577</v>
      </c>
      <c r="C9" s="18"/>
      <c r="J9">
        <v>1827.36</v>
      </c>
    </row>
    <row r="10" spans="1:10" ht="15.75" customHeight="1">
      <c r="A10" s="68" t="s">
        <v>4588</v>
      </c>
      <c r="B10" s="18" t="s">
        <v>123</v>
      </c>
      <c r="C10" s="18"/>
      <c r="J10">
        <v>7345</v>
      </c>
    </row>
    <row r="11" spans="1:10" ht="15.75" customHeight="1">
      <c r="A11" s="68" t="s">
        <v>4546</v>
      </c>
      <c r="B11" s="18" t="s">
        <v>135</v>
      </c>
      <c r="C11" s="18"/>
      <c r="D11">
        <v>29</v>
      </c>
      <c r="E11">
        <v>35</v>
      </c>
      <c r="F11">
        <f>+D11*E11</f>
        <v>1015</v>
      </c>
      <c r="J11">
        <v>1561.3</v>
      </c>
    </row>
    <row r="12" spans="1:10" ht="15.75" customHeight="1">
      <c r="A12" s="68" t="s">
        <v>4595</v>
      </c>
      <c r="B12" s="18" t="s">
        <v>4596</v>
      </c>
      <c r="C12" s="18" t="s">
        <v>4597</v>
      </c>
      <c r="F12">
        <v>740</v>
      </c>
      <c r="J12">
        <v>815.04</v>
      </c>
    </row>
    <row r="13" spans="1:10" ht="15.75" customHeight="1">
      <c r="A13" s="68" t="s">
        <v>4584</v>
      </c>
      <c r="B13" s="4" t="s">
        <v>4585</v>
      </c>
      <c r="C13" s="85" t="s">
        <v>4603</v>
      </c>
      <c r="F13">
        <f>+F11/F12</f>
        <v>1.3716216216216217</v>
      </c>
      <c r="J13">
        <v>10192.620000000001</v>
      </c>
    </row>
    <row r="14" spans="1:10" ht="15.75" customHeight="1">
      <c r="A14" s="68" t="s">
        <v>4589</v>
      </c>
      <c r="B14" s="18" t="s">
        <v>121</v>
      </c>
      <c r="C14" s="18"/>
      <c r="D14">
        <v>431.3</v>
      </c>
      <c r="E14">
        <v>17</v>
      </c>
      <c r="F14">
        <f>+D14*E14</f>
        <v>7332.1</v>
      </c>
      <c r="J14">
        <v>0</v>
      </c>
    </row>
    <row r="15" spans="1:10" ht="15.75" customHeight="1">
      <c r="A15" s="68" t="s">
        <v>4592</v>
      </c>
      <c r="B15" s="18" t="s">
        <v>139</v>
      </c>
      <c r="C15" s="85" t="s">
        <v>4612</v>
      </c>
      <c r="J15">
        <f>SUM(J6:J14)</f>
        <v>51457.320000000007</v>
      </c>
    </row>
    <row r="16" spans="1:10" ht="15.75" customHeight="1">
      <c r="A16" s="68"/>
      <c r="B16" s="18"/>
      <c r="C16" s="18"/>
    </row>
    <row r="17" spans="1:3" ht="15.75" customHeight="1">
      <c r="A17" s="68" t="s">
        <v>4598</v>
      </c>
      <c r="B17" s="18" t="s">
        <v>4599</v>
      </c>
      <c r="C17" s="85" t="s">
        <v>4620</v>
      </c>
    </row>
    <row r="18" spans="1:3" ht="15.75" customHeight="1">
      <c r="A18" s="68" t="s">
        <v>4623</v>
      </c>
      <c r="B18" s="18" t="s">
        <v>5207</v>
      </c>
      <c r="C18" s="85" t="s">
        <v>4624</v>
      </c>
    </row>
    <row r="19" spans="1:3" ht="15" customHeight="1">
      <c r="A19" s="69" t="s">
        <v>4629</v>
      </c>
      <c r="B19" s="18" t="s">
        <v>5208</v>
      </c>
      <c r="C19" s="86" t="s">
        <v>4630</v>
      </c>
    </row>
    <row r="20" spans="1:3" ht="15.75" customHeight="1">
      <c r="A20" s="69" t="s">
        <v>4604</v>
      </c>
      <c r="B20" s="66" t="s">
        <v>4605</v>
      </c>
      <c r="C20" s="85" t="s">
        <v>4634</v>
      </c>
    </row>
  </sheetData>
  <hyperlinks>
    <hyperlink ref="C2" r:id="rId1" xr:uid="{00000000-0004-0000-0800-000000000000}"/>
    <hyperlink ref="C4" r:id="rId2" xr:uid="{00000000-0004-0000-0800-000001000000}"/>
    <hyperlink ref="C5" r:id="rId3" xr:uid="{00000000-0004-0000-0800-000002000000}"/>
    <hyperlink ref="C6" r:id="rId4" xr:uid="{00000000-0004-0000-0800-000003000000}"/>
    <hyperlink ref="C13" r:id="rId5" xr:uid="{00000000-0004-0000-0800-000004000000}"/>
    <hyperlink ref="C15" r:id="rId6" xr:uid="{00000000-0004-0000-0800-000005000000}"/>
    <hyperlink ref="C17" r:id="rId7" xr:uid="{00000000-0004-0000-0800-000006000000}"/>
    <hyperlink ref="C18" r:id="rId8" xr:uid="{00000000-0004-0000-0800-000007000000}"/>
    <hyperlink ref="C19" r:id="rId9" xr:uid="{00000000-0004-0000-0800-000008000000}"/>
    <hyperlink ref="C20" r:id="rId10" xr:uid="{00000000-0004-0000-0800-000009000000}"/>
  </hyperlink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13</vt:i4>
      </vt:variant>
    </vt:vector>
  </HeadingPairs>
  <TitlesOfParts>
    <vt:vector size="31" baseType="lpstr">
      <vt:lpstr>QuoteCal</vt:lpstr>
      <vt:lpstr>FLATAX</vt:lpstr>
      <vt:lpstr>DLAORDERS</vt:lpstr>
      <vt:lpstr>SHipInvice</vt:lpstr>
      <vt:lpstr>OTHERORDERS</vt:lpstr>
      <vt:lpstr>Qcal</vt:lpstr>
      <vt:lpstr>Receiving</vt:lpstr>
      <vt:lpstr>CageNSN</vt:lpstr>
      <vt:lpstr>Sheet4</vt:lpstr>
      <vt:lpstr>Servicestimeshhet</vt:lpstr>
      <vt:lpstr>2016Expan</vt:lpstr>
      <vt:lpstr>Sheet5</vt:lpstr>
      <vt:lpstr>Sheet3</vt:lpstr>
      <vt:lpstr>Sheet6</vt:lpstr>
      <vt:lpstr>Invoices</vt:lpstr>
      <vt:lpstr>Glenair</vt:lpstr>
      <vt:lpstr>CageCodes</vt:lpstr>
      <vt:lpstr>Sheet1</vt:lpstr>
      <vt:lpstr>DLAORDERS!Award_Date</vt:lpstr>
      <vt:lpstr>Award_Price</vt:lpstr>
      <vt:lpstr>Company_Name</vt:lpstr>
      <vt:lpstr>DLAORDERS!Contract_Number</vt:lpstr>
      <vt:lpstr>DLAORDERS!Due_Date</vt:lpstr>
      <vt:lpstr>SHipInvice!Invoice_Number</vt:lpstr>
      <vt:lpstr>DLAORDERS!Margin</vt:lpstr>
      <vt:lpstr>DLAORDERS!NSN_Number</vt:lpstr>
      <vt:lpstr>DLAORDERS!Part_Cost</vt:lpstr>
      <vt:lpstr>DLAORDERS!PO_Number</vt:lpstr>
      <vt:lpstr>Quantity</vt:lpstr>
      <vt:lpstr>SHipInvice!Shipment_Date</vt:lpstr>
      <vt:lpstr>SHipInvice!Shipment_Number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Kalwar</dc:creator>
  <cp:lastModifiedBy>Avinash Patel</cp:lastModifiedBy>
  <cp:lastPrinted>2019-02-25T17:00:58Z</cp:lastPrinted>
  <dcterms:created xsi:type="dcterms:W3CDTF">2016-08-23T12:41:39Z</dcterms:created>
  <dcterms:modified xsi:type="dcterms:W3CDTF">2019-03-19T15:59:56Z</dcterms:modified>
</cp:coreProperties>
</file>