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M GH\Finance\"/>
    </mc:Choice>
  </mc:AlternateContent>
  <xr:revisionPtr revIDLastSave="0" documentId="13_ncr:1_{F868894E-9A3D-45B3-8D9E-22E9D1B4C536}" xr6:coauthVersionLast="47" xr6:coauthVersionMax="47" xr10:uidLastSave="{00000000-0000-0000-0000-000000000000}"/>
  <bookViews>
    <workbookView xWindow="-120" yWindow="-120" windowWidth="20730" windowHeight="11760" xr2:uid="{E69DA4D4-FB25-40FF-8987-8E42B274C5E4}"/>
  </bookViews>
  <sheets>
    <sheet name="Cover" sheetId="12" r:id="rId1"/>
    <sheet name="Dashboard" sheetId="10" r:id="rId2"/>
    <sheet name="Outputs" sheetId="13" r:id="rId3"/>
    <sheet name="Control Panel" sheetId="4" r:id="rId4"/>
    <sheet name="Scenarios" sheetId="2" r:id="rId5"/>
    <sheet name="Y1 Financial Statements" sheetId="3" r:id="rId6"/>
    <sheet name="Historical Analysis" sheetId="1" r:id="rId7"/>
    <sheet name="Financial Statements" sheetId="7" r:id="rId8"/>
    <sheet name="DCF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8" l="1"/>
  <c r="D8" i="8"/>
  <c r="E7" i="8"/>
  <c r="E8" i="8" s="1"/>
  <c r="D114" i="7"/>
  <c r="D113" i="7"/>
  <c r="D112" i="7"/>
  <c r="D105" i="7"/>
  <c r="E102" i="7"/>
  <c r="F102" i="7" s="1"/>
  <c r="G102" i="7" s="1"/>
  <c r="E96" i="7"/>
  <c r="G93" i="7"/>
  <c r="F93" i="7"/>
  <c r="D93" i="7"/>
  <c r="E92" i="7"/>
  <c r="E93" i="7" s="1"/>
  <c r="D89" i="7"/>
  <c r="G88" i="7"/>
  <c r="G89" i="7" s="1"/>
  <c r="F88" i="7"/>
  <c r="F89" i="7" s="1"/>
  <c r="E88" i="7"/>
  <c r="E113" i="7" s="1"/>
  <c r="D86" i="7"/>
  <c r="E80" i="7"/>
  <c r="F80" i="7" s="1"/>
  <c r="G80" i="7" s="1"/>
  <c r="D73" i="7"/>
  <c r="E71" i="7"/>
  <c r="F71" i="7" s="1"/>
  <c r="G71" i="7" s="1"/>
  <c r="E66" i="7"/>
  <c r="F66" i="7" s="1"/>
  <c r="G66" i="7" s="1"/>
  <c r="D63" i="7"/>
  <c r="D68" i="7" s="1"/>
  <c r="F62" i="7"/>
  <c r="G62" i="7" s="1"/>
  <c r="E62" i="7"/>
  <c r="D56" i="7"/>
  <c r="D57" i="7" s="1"/>
  <c r="E54" i="7"/>
  <c r="F54" i="7" s="1"/>
  <c r="G54" i="7" s="1"/>
  <c r="E46" i="7"/>
  <c r="F46" i="7" s="1"/>
  <c r="G46" i="7" s="1"/>
  <c r="D38" i="7"/>
  <c r="E37" i="7"/>
  <c r="E112" i="7" s="1"/>
  <c r="E34" i="7"/>
  <c r="G33" i="7"/>
  <c r="F33" i="7"/>
  <c r="E33" i="7"/>
  <c r="D25" i="7"/>
  <c r="E20" i="7"/>
  <c r="F20" i="7" s="1"/>
  <c r="G20" i="7" s="1"/>
  <c r="E12" i="7"/>
  <c r="F12" i="7" s="1"/>
  <c r="G12" i="7" s="1"/>
  <c r="D9" i="7"/>
  <c r="E8" i="7"/>
  <c r="F7" i="7" s="1"/>
  <c r="E7" i="7"/>
  <c r="E4" i="7"/>
  <c r="F4" i="7" s="1"/>
  <c r="G4" i="7" s="1"/>
  <c r="G92" i="1"/>
  <c r="F92" i="1"/>
  <c r="E92" i="1"/>
  <c r="D92" i="1"/>
  <c r="G88" i="1"/>
  <c r="F88" i="1"/>
  <c r="E88" i="1"/>
  <c r="D88" i="1"/>
  <c r="G84" i="1"/>
  <c r="F84" i="1"/>
  <c r="E84" i="1"/>
  <c r="D84" i="1"/>
  <c r="G81" i="1"/>
  <c r="F81" i="1"/>
  <c r="E81" i="1"/>
  <c r="D81" i="1"/>
  <c r="G68" i="1"/>
  <c r="F68" i="1"/>
  <c r="E68" i="1"/>
  <c r="D68" i="1"/>
  <c r="G58" i="1"/>
  <c r="G63" i="1" s="1"/>
  <c r="F58" i="1"/>
  <c r="F63" i="1" s="1"/>
  <c r="E58" i="1"/>
  <c r="E63" i="1" s="1"/>
  <c r="D58" i="1"/>
  <c r="D63" i="1" s="1"/>
  <c r="G52" i="1"/>
  <c r="G53" i="1" s="1"/>
  <c r="F52" i="1"/>
  <c r="F53" i="1" s="1"/>
  <c r="E52" i="1"/>
  <c r="E53" i="1" s="1"/>
  <c r="D52" i="1"/>
  <c r="D53" i="1" s="1"/>
  <c r="W32" i="1"/>
  <c r="V32" i="1"/>
  <c r="U32" i="1"/>
  <c r="T32" i="1"/>
  <c r="W31" i="1"/>
  <c r="V31" i="1"/>
  <c r="T31" i="1"/>
  <c r="O31" i="1"/>
  <c r="N31" i="1"/>
  <c r="V16" i="1" s="1"/>
  <c r="M31" i="1"/>
  <c r="U16" i="1" s="1"/>
  <c r="L31" i="1"/>
  <c r="G28" i="1"/>
  <c r="O33" i="1" s="1"/>
  <c r="W18" i="1" s="1"/>
  <c r="H17" i="3" s="1"/>
  <c r="F28" i="1"/>
  <c r="E28" i="1"/>
  <c r="M33" i="1" s="1"/>
  <c r="U18" i="1" s="1"/>
  <c r="D28" i="1"/>
  <c r="L33" i="1" s="1"/>
  <c r="O25" i="1"/>
  <c r="N25" i="1"/>
  <c r="M25" i="1"/>
  <c r="L25" i="1"/>
  <c r="O24" i="1"/>
  <c r="O21" i="1"/>
  <c r="O20" i="1"/>
  <c r="N20" i="1"/>
  <c r="M20" i="1"/>
  <c r="L20" i="1"/>
  <c r="O19" i="1"/>
  <c r="W16" i="1"/>
  <c r="O16" i="1"/>
  <c r="N16" i="1"/>
  <c r="M16" i="1"/>
  <c r="L16" i="1"/>
  <c r="O15" i="1"/>
  <c r="N15" i="1"/>
  <c r="M15" i="1"/>
  <c r="L15" i="1"/>
  <c r="O14" i="1"/>
  <c r="G11" i="1"/>
  <c r="O35" i="1" s="1"/>
  <c r="W20" i="1" s="1"/>
  <c r="F11" i="1"/>
  <c r="N37" i="1" s="1"/>
  <c r="V22" i="1" s="1"/>
  <c r="E11" i="1"/>
  <c r="M18" i="1" s="1"/>
  <c r="D11" i="1"/>
  <c r="L34" i="1" s="1"/>
  <c r="W10" i="1"/>
  <c r="V10" i="1"/>
  <c r="U10" i="1"/>
  <c r="L10" i="1"/>
  <c r="W9" i="1"/>
  <c r="V9" i="1"/>
  <c r="U9" i="1"/>
  <c r="N9" i="1"/>
  <c r="W8" i="1"/>
  <c r="V8" i="1"/>
  <c r="U8" i="1"/>
  <c r="L8" i="1"/>
  <c r="G116" i="3"/>
  <c r="F116" i="3"/>
  <c r="E116" i="3"/>
  <c r="D116" i="3"/>
  <c r="L115" i="3"/>
  <c r="H115" i="3"/>
  <c r="G112" i="3"/>
  <c r="F112" i="3"/>
  <c r="E112" i="3"/>
  <c r="D112" i="3"/>
  <c r="J111" i="3"/>
  <c r="I111" i="3"/>
  <c r="H111" i="3"/>
  <c r="G108" i="3"/>
  <c r="F108" i="3"/>
  <c r="E108" i="3"/>
  <c r="D108" i="3"/>
  <c r="J107" i="3"/>
  <c r="J108" i="3" s="1"/>
  <c r="I107" i="3"/>
  <c r="I108" i="3" s="1"/>
  <c r="H107" i="3"/>
  <c r="L107" i="3" s="1"/>
  <c r="L108" i="3" s="1"/>
  <c r="G105" i="3"/>
  <c r="F105" i="3"/>
  <c r="E105" i="3"/>
  <c r="D105" i="3"/>
  <c r="J103" i="3"/>
  <c r="I103" i="3"/>
  <c r="H103" i="3"/>
  <c r="L103" i="3" s="1"/>
  <c r="I102" i="3"/>
  <c r="H102" i="3"/>
  <c r="G93" i="3"/>
  <c r="F93" i="3"/>
  <c r="F94" i="3" s="1"/>
  <c r="E93" i="3"/>
  <c r="E94" i="3" s="1"/>
  <c r="D93" i="3"/>
  <c r="H91" i="3"/>
  <c r="H110" i="3" s="1"/>
  <c r="H86" i="3"/>
  <c r="G83" i="3"/>
  <c r="G88" i="3" s="1"/>
  <c r="F83" i="3"/>
  <c r="F88" i="3" s="1"/>
  <c r="E83" i="3"/>
  <c r="E88" i="3" s="1"/>
  <c r="D83" i="3"/>
  <c r="D88" i="3" s="1"/>
  <c r="H82" i="3"/>
  <c r="I82" i="3" s="1"/>
  <c r="J82" i="3" s="1"/>
  <c r="L82" i="3" s="1"/>
  <c r="G77" i="3"/>
  <c r="G78" i="3" s="1"/>
  <c r="F77" i="3"/>
  <c r="F78" i="3" s="1"/>
  <c r="E77" i="3"/>
  <c r="E78" i="3" s="1"/>
  <c r="D77" i="3"/>
  <c r="D78" i="3" s="1"/>
  <c r="H75" i="3"/>
  <c r="I75" i="3" s="1"/>
  <c r="J75" i="3" s="1"/>
  <c r="L75" i="3" s="1"/>
  <c r="H70" i="3"/>
  <c r="I70" i="3" s="1"/>
  <c r="L62" i="3"/>
  <c r="J60" i="3"/>
  <c r="I60" i="3"/>
  <c r="H60" i="3"/>
  <c r="J59" i="3"/>
  <c r="I59" i="3"/>
  <c r="H59" i="3"/>
  <c r="I53" i="3"/>
  <c r="G53" i="3"/>
  <c r="F53" i="3"/>
  <c r="E53" i="3"/>
  <c r="D53" i="3"/>
  <c r="L52" i="3"/>
  <c r="L51" i="3"/>
  <c r="J50" i="3"/>
  <c r="J102" i="3" s="1"/>
  <c r="L49" i="3"/>
  <c r="H48" i="3"/>
  <c r="L48" i="3" s="1"/>
  <c r="L47" i="3"/>
  <c r="L45" i="3"/>
  <c r="H44" i="3"/>
  <c r="L42" i="3"/>
  <c r="L40" i="3"/>
  <c r="J39" i="3"/>
  <c r="L39" i="3" s="1"/>
  <c r="G36" i="3"/>
  <c r="F36" i="3"/>
  <c r="E36" i="3"/>
  <c r="D36" i="3"/>
  <c r="D54" i="3" s="1"/>
  <c r="J35" i="3"/>
  <c r="I35" i="3"/>
  <c r="H35" i="3"/>
  <c r="J34" i="3"/>
  <c r="I34" i="3"/>
  <c r="J33" i="3"/>
  <c r="I33" i="3"/>
  <c r="H33" i="3"/>
  <c r="H15" i="3"/>
  <c r="E11" i="3"/>
  <c r="G10" i="3"/>
  <c r="F10" i="3"/>
  <c r="E10" i="3"/>
  <c r="H9" i="3"/>
  <c r="H34" i="3" s="1"/>
  <c r="G9" i="3"/>
  <c r="F9" i="3"/>
  <c r="E9" i="3"/>
  <c r="G8" i="3"/>
  <c r="F8" i="3"/>
  <c r="E8" i="3"/>
  <c r="E41" i="2"/>
  <c r="E40" i="2"/>
  <c r="E39" i="2"/>
  <c r="E36" i="2"/>
  <c r="F36" i="2" s="1"/>
  <c r="G36" i="2" s="1"/>
  <c r="E33" i="2"/>
  <c r="E32" i="2"/>
  <c r="E31" i="2"/>
  <c r="E28" i="2"/>
  <c r="F28" i="2" s="1"/>
  <c r="G28" i="2" s="1"/>
  <c r="F25" i="2"/>
  <c r="F41" i="2" s="1"/>
  <c r="F24" i="2"/>
  <c r="F40" i="2" s="1"/>
  <c r="F23" i="2"/>
  <c r="F39" i="2" s="1"/>
  <c r="E20" i="2"/>
  <c r="F20" i="2" s="1"/>
  <c r="G20" i="2" s="1"/>
  <c r="E12" i="2"/>
  <c r="F12" i="2" s="1"/>
  <c r="G12" i="2" s="1"/>
  <c r="D9" i="2"/>
  <c r="E8" i="2"/>
  <c r="F7" i="2" s="1"/>
  <c r="E7" i="2"/>
  <c r="F4" i="2"/>
  <c r="G4" i="2" s="1"/>
  <c r="E4" i="2"/>
  <c r="F34" i="4"/>
  <c r="G35" i="7" s="1"/>
  <c r="E34" i="4"/>
  <c r="F35" i="7" s="1"/>
  <c r="D34" i="4"/>
  <c r="E35" i="7" s="1"/>
  <c r="F33" i="4"/>
  <c r="G34" i="7" s="1"/>
  <c r="E33" i="4"/>
  <c r="F34" i="7" s="1"/>
  <c r="D30" i="4"/>
  <c r="E30" i="4" s="1"/>
  <c r="F30" i="4" s="1"/>
  <c r="G13" i="4"/>
  <c r="C13" i="4"/>
  <c r="B13" i="4"/>
  <c r="Y13" i="10"/>
  <c r="Y12" i="10"/>
  <c r="Y11" i="10"/>
  <c r="Z10" i="10"/>
  <c r="AA10" i="10" s="1"/>
  <c r="AB10" i="10" s="1"/>
  <c r="Y4" i="10"/>
  <c r="Z3" i="10"/>
  <c r="AA3" i="10" s="1"/>
  <c r="AB3" i="10" s="1"/>
  <c r="L13" i="12" a="1"/>
  <c r="L13" i="12" s="1"/>
  <c r="E13" i="12" a="1"/>
  <c r="E13" i="12" s="1"/>
  <c r="L12" i="12" a="1"/>
  <c r="L12" i="12" s="1"/>
  <c r="I12" i="12" a="1"/>
  <c r="I12" i="12" s="1"/>
  <c r="E12" i="12" a="1"/>
  <c r="E12" i="12" s="1"/>
  <c r="L11" i="12" a="1"/>
  <c r="L11" i="12" s="1"/>
  <c r="I11" i="12" a="1"/>
  <c r="I11" i="12" s="1"/>
  <c r="E11" i="12" a="1"/>
  <c r="E11" i="12" s="1"/>
  <c r="X8" i="1" l="1"/>
  <c r="N28" i="1"/>
  <c r="V14" i="1" s="1"/>
  <c r="N18" i="1"/>
  <c r="P25" i="1"/>
  <c r="T25" i="1"/>
  <c r="E9" i="8"/>
  <c r="F7" i="8"/>
  <c r="F8" i="8" s="1"/>
  <c r="D74" i="7"/>
  <c r="D76" i="7" s="1"/>
  <c r="D39" i="7"/>
  <c r="D109" i="7" s="1"/>
  <c r="D110" i="7" s="1"/>
  <c r="D111" i="7" s="1"/>
  <c r="D115" i="7" s="1"/>
  <c r="Y6" i="10" s="1"/>
  <c r="D95" i="7"/>
  <c r="D97" i="7" s="1"/>
  <c r="D41" i="7"/>
  <c r="Y7" i="10" s="1"/>
  <c r="E9" i="7"/>
  <c r="F8" i="7"/>
  <c r="O9" i="1"/>
  <c r="U25" i="1"/>
  <c r="T26" i="1"/>
  <c r="L32" i="1"/>
  <c r="T17" i="1" s="1"/>
  <c r="P31" i="1"/>
  <c r="N8" i="1"/>
  <c r="X9" i="1"/>
  <c r="N10" i="1"/>
  <c r="V11" i="1"/>
  <c r="L19" i="1"/>
  <c r="O22" i="1"/>
  <c r="O27" i="1"/>
  <c r="U31" i="1"/>
  <c r="X31" i="1" s="1"/>
  <c r="X32" i="1"/>
  <c r="L35" i="1"/>
  <c r="T20" i="1" s="1"/>
  <c r="O8" i="1"/>
  <c r="X10" i="1"/>
  <c r="L17" i="1"/>
  <c r="L24" i="1"/>
  <c r="V25" i="1"/>
  <c r="D29" i="1"/>
  <c r="L29" i="1" s="1"/>
  <c r="O37" i="1"/>
  <c r="W22" i="1" s="1"/>
  <c r="P15" i="1"/>
  <c r="P16" i="1"/>
  <c r="T16" i="1"/>
  <c r="X16" i="1" s="1"/>
  <c r="N17" i="1"/>
  <c r="P20" i="1"/>
  <c r="L21" i="1"/>
  <c r="W25" i="1"/>
  <c r="W29" i="1"/>
  <c r="M67" i="1"/>
  <c r="M61" i="1"/>
  <c r="M51" i="1"/>
  <c r="M50" i="1"/>
  <c r="M49" i="1"/>
  <c r="M45" i="1"/>
  <c r="M56" i="1"/>
  <c r="M66" i="1"/>
  <c r="M57" i="1"/>
  <c r="M48" i="1"/>
  <c r="M68" i="1"/>
  <c r="N67" i="1"/>
  <c r="N66" i="1"/>
  <c r="N61" i="1"/>
  <c r="N57" i="1"/>
  <c r="N56" i="1"/>
  <c r="N51" i="1"/>
  <c r="N50" i="1"/>
  <c r="N49" i="1"/>
  <c r="N48" i="1"/>
  <c r="N45" i="1"/>
  <c r="F69" i="1"/>
  <c r="T18" i="1"/>
  <c r="O67" i="1"/>
  <c r="O66" i="1"/>
  <c r="O61" i="1"/>
  <c r="O57" i="1"/>
  <c r="O56" i="1"/>
  <c r="O51" i="1"/>
  <c r="O50" i="1"/>
  <c r="O49" i="1"/>
  <c r="O48" i="1"/>
  <c r="O45" i="1"/>
  <c r="O63" i="1"/>
  <c r="G69" i="1"/>
  <c r="M63" i="1"/>
  <c r="T19" i="1"/>
  <c r="N63" i="1"/>
  <c r="L67" i="1"/>
  <c r="L66" i="1"/>
  <c r="L61" i="1"/>
  <c r="L57" i="1"/>
  <c r="L56" i="1"/>
  <c r="L51" i="1"/>
  <c r="L50" i="1"/>
  <c r="L49" i="1"/>
  <c r="L48" i="1"/>
  <c r="L45" i="1"/>
  <c r="L63" i="1"/>
  <c r="D69" i="1"/>
  <c r="M14" i="1"/>
  <c r="M26" i="1"/>
  <c r="U28" i="1"/>
  <c r="M52" i="1"/>
  <c r="M58" i="1"/>
  <c r="E69" i="1"/>
  <c r="M8" i="1"/>
  <c r="L9" i="1"/>
  <c r="O10" i="1"/>
  <c r="W11" i="1"/>
  <c r="N14" i="1"/>
  <c r="M17" i="1"/>
  <c r="O18" i="1"/>
  <c r="M19" i="1"/>
  <c r="M21" i="1"/>
  <c r="L22" i="1"/>
  <c r="N23" i="1"/>
  <c r="M24" i="1"/>
  <c r="N26" i="1"/>
  <c r="U26" i="1"/>
  <c r="L27" i="1"/>
  <c r="O28" i="1"/>
  <c r="W14" i="1" s="1"/>
  <c r="V28" i="1"/>
  <c r="E29" i="1"/>
  <c r="T29" i="1"/>
  <c r="M32" i="1"/>
  <c r="U17" i="1" s="1"/>
  <c r="N34" i="1"/>
  <c r="V19" i="1" s="1"/>
  <c r="M35" i="1"/>
  <c r="U20" i="1" s="1"/>
  <c r="D36" i="1"/>
  <c r="D38" i="1" s="1"/>
  <c r="L38" i="1" s="1"/>
  <c r="L37" i="1"/>
  <c r="N52" i="1"/>
  <c r="N58" i="1"/>
  <c r="N68" i="1"/>
  <c r="N33" i="1"/>
  <c r="V18" i="1" s="1"/>
  <c r="M9" i="1"/>
  <c r="L18" i="1"/>
  <c r="N19" i="1"/>
  <c r="N21" i="1"/>
  <c r="M22" i="1"/>
  <c r="O23" i="1"/>
  <c r="N24" i="1"/>
  <c r="O26" i="1"/>
  <c r="V26" i="1"/>
  <c r="M27" i="1"/>
  <c r="L28" i="1"/>
  <c r="W28" i="1"/>
  <c r="F29" i="1"/>
  <c r="U29" i="1"/>
  <c r="N32" i="1"/>
  <c r="V17" i="1" s="1"/>
  <c r="O34" i="1"/>
  <c r="W19" i="1" s="1"/>
  <c r="N35" i="1"/>
  <c r="V20" i="1" s="1"/>
  <c r="M37" i="1"/>
  <c r="U22" i="1" s="1"/>
  <c r="O52" i="1"/>
  <c r="O58" i="1"/>
  <c r="O68" i="1"/>
  <c r="M23" i="1"/>
  <c r="M34" i="1"/>
  <c r="U19" i="1" s="1"/>
  <c r="M10" i="1"/>
  <c r="U11" i="1"/>
  <c r="L14" i="1"/>
  <c r="O17" i="1"/>
  <c r="N22" i="1"/>
  <c r="L23" i="1"/>
  <c r="L26" i="1"/>
  <c r="W26" i="1"/>
  <c r="N27" i="1"/>
  <c r="M28" i="1"/>
  <c r="U14" i="1" s="1"/>
  <c r="T28" i="1"/>
  <c r="G29" i="1"/>
  <c r="V29" i="1"/>
  <c r="O32" i="1"/>
  <c r="W17" i="1" s="1"/>
  <c r="L52" i="1"/>
  <c r="L58" i="1"/>
  <c r="L68" i="1"/>
  <c r="E9" i="2"/>
  <c r="G25" i="2"/>
  <c r="G41" i="2" s="1"/>
  <c r="F8" i="2"/>
  <c r="L35" i="3"/>
  <c r="G13" i="3"/>
  <c r="D13" i="3"/>
  <c r="I86" i="3"/>
  <c r="L34" i="3"/>
  <c r="I36" i="3"/>
  <c r="I55" i="3" s="1"/>
  <c r="L50" i="3"/>
  <c r="E13" i="3"/>
  <c r="L60" i="3"/>
  <c r="J70" i="3"/>
  <c r="L70" i="3" s="1"/>
  <c r="J36" i="3"/>
  <c r="L111" i="3"/>
  <c r="J43" i="3"/>
  <c r="L43" i="3" s="1"/>
  <c r="F11" i="3"/>
  <c r="F54" i="3"/>
  <c r="F61" i="3" s="1"/>
  <c r="F63" i="3" s="1"/>
  <c r="E54" i="3"/>
  <c r="E61" i="3" s="1"/>
  <c r="E63" i="3" s="1"/>
  <c r="J86" i="3"/>
  <c r="H36" i="3"/>
  <c r="D61" i="3"/>
  <c r="F13" i="3"/>
  <c r="I58" i="3"/>
  <c r="H112" i="3"/>
  <c r="G94" i="3"/>
  <c r="J41" i="3"/>
  <c r="L33" i="3"/>
  <c r="H53" i="3"/>
  <c r="L59" i="3"/>
  <c r="D94" i="3"/>
  <c r="L102" i="3"/>
  <c r="I91" i="3"/>
  <c r="G54" i="3"/>
  <c r="G61" i="3" s="1"/>
  <c r="G63" i="3" s="1"/>
  <c r="H108" i="3"/>
  <c r="G11" i="3"/>
  <c r="L44" i="3"/>
  <c r="G23" i="2"/>
  <c r="G39" i="2" s="1"/>
  <c r="F31" i="2"/>
  <c r="E17" i="2"/>
  <c r="E17" i="7" s="1"/>
  <c r="E24" i="7" s="1"/>
  <c r="Z13" i="10" s="1"/>
  <c r="G24" i="2"/>
  <c r="G40" i="2" s="1"/>
  <c r="F113" i="7"/>
  <c r="E16" i="2"/>
  <c r="E16" i="7" s="1"/>
  <c r="E23" i="7" s="1"/>
  <c r="E49" i="7"/>
  <c r="E89" i="7"/>
  <c r="E15" i="2"/>
  <c r="E15" i="7" s="1"/>
  <c r="E22" i="7" s="1"/>
  <c r="F33" i="2"/>
  <c r="F17" i="2" s="1"/>
  <c r="F17" i="7" s="1"/>
  <c r="G113" i="7"/>
  <c r="F15" i="2"/>
  <c r="F15" i="7" s="1"/>
  <c r="F32" i="2"/>
  <c r="F16" i="2" s="1"/>
  <c r="F16" i="7" s="1"/>
  <c r="E83" i="7"/>
  <c r="E105" i="7"/>
  <c r="X25" i="1" l="1"/>
  <c r="G7" i="8"/>
  <c r="G8" i="8" s="1"/>
  <c r="F9" i="8"/>
  <c r="D104" i="7"/>
  <c r="D106" i="7" s="1"/>
  <c r="Y5" i="10" s="1"/>
  <c r="G8" i="7"/>
  <c r="F9" i="7"/>
  <c r="G7" i="7"/>
  <c r="P17" i="1"/>
  <c r="C41" i="4"/>
  <c r="H21" i="3"/>
  <c r="I73" i="3" s="1"/>
  <c r="X26" i="1"/>
  <c r="C42" i="4" s="1"/>
  <c r="X20" i="1"/>
  <c r="P21" i="1"/>
  <c r="P8" i="1"/>
  <c r="X18" i="1"/>
  <c r="P10" i="1"/>
  <c r="X17" i="1"/>
  <c r="H16" i="3" s="1"/>
  <c r="J57" i="3" s="1"/>
  <c r="P24" i="1"/>
  <c r="P19" i="1"/>
  <c r="F36" i="1"/>
  <c r="F38" i="1" s="1"/>
  <c r="N38" i="1" s="1"/>
  <c r="N29" i="1"/>
  <c r="P32" i="1"/>
  <c r="X19" i="1"/>
  <c r="O29" i="1"/>
  <c r="G36" i="1"/>
  <c r="G38" i="1" s="1"/>
  <c r="O38" i="1" s="1"/>
  <c r="P35" i="1"/>
  <c r="C44" i="4"/>
  <c r="H24" i="3"/>
  <c r="H81" i="3" s="1"/>
  <c r="H83" i="3" s="1"/>
  <c r="H88" i="3" s="1"/>
  <c r="T22" i="1"/>
  <c r="X22" i="1" s="1"/>
  <c r="P37" i="1"/>
  <c r="P34" i="1"/>
  <c r="X28" i="1"/>
  <c r="P26" i="1"/>
  <c r="P14" i="1"/>
  <c r="P28" i="1"/>
  <c r="T14" i="1"/>
  <c r="X14" i="1" s="1"/>
  <c r="X29" i="1"/>
  <c r="P27" i="1"/>
  <c r="P23" i="1"/>
  <c r="X11" i="1"/>
  <c r="P18" i="1"/>
  <c r="E36" i="1"/>
  <c r="E38" i="1" s="1"/>
  <c r="M38" i="1" s="1"/>
  <c r="M29" i="1"/>
  <c r="P22" i="1"/>
  <c r="P9" i="1"/>
  <c r="P33" i="1"/>
  <c r="G31" i="2"/>
  <c r="G15" i="2" s="1"/>
  <c r="G15" i="7" s="1"/>
  <c r="G33" i="2"/>
  <c r="G17" i="2" s="1"/>
  <c r="G17" i="7" s="1"/>
  <c r="F24" i="7"/>
  <c r="G8" i="2"/>
  <c r="F9" i="2"/>
  <c r="G7" i="2"/>
  <c r="J55" i="3"/>
  <c r="J46" i="3"/>
  <c r="L46" i="3" s="1"/>
  <c r="J56" i="3"/>
  <c r="I56" i="3"/>
  <c r="L56" i="3" s="1"/>
  <c r="H56" i="3"/>
  <c r="I54" i="3"/>
  <c r="L86" i="3"/>
  <c r="J91" i="3"/>
  <c r="I110" i="3"/>
  <c r="D63" i="3"/>
  <c r="H55" i="3"/>
  <c r="H54" i="3"/>
  <c r="J53" i="3"/>
  <c r="L41" i="3"/>
  <c r="H58" i="3"/>
  <c r="L36" i="3"/>
  <c r="G32" i="2"/>
  <c r="G16" i="2" s="1"/>
  <c r="G16" i="7" s="1"/>
  <c r="Z11" i="10"/>
  <c r="E25" i="7"/>
  <c r="F22" i="7"/>
  <c r="F23" i="7"/>
  <c r="Z12" i="10"/>
  <c r="F37" i="7"/>
  <c r="F49" i="7" s="1"/>
  <c r="G9" i="8" l="1"/>
  <c r="G24" i="7"/>
  <c r="AB13" i="10" s="1"/>
  <c r="G9" i="7"/>
  <c r="H22" i="3"/>
  <c r="H74" i="3" s="1"/>
  <c r="I57" i="3"/>
  <c r="H57" i="3"/>
  <c r="L57" i="3" s="1"/>
  <c r="H73" i="3"/>
  <c r="P38" i="1"/>
  <c r="I81" i="3"/>
  <c r="I83" i="3" s="1"/>
  <c r="I88" i="3" s="1"/>
  <c r="J81" i="3"/>
  <c r="I61" i="3"/>
  <c r="I63" i="3" s="1"/>
  <c r="I101" i="3" s="1"/>
  <c r="P29" i="1"/>
  <c r="AA13" i="10"/>
  <c r="G9" i="2"/>
  <c r="L55" i="3"/>
  <c r="J58" i="3"/>
  <c r="L58" i="3" s="1"/>
  <c r="J73" i="3"/>
  <c r="J54" i="3"/>
  <c r="L91" i="3"/>
  <c r="J110" i="3"/>
  <c r="J112" i="3" s="1"/>
  <c r="H61" i="3"/>
  <c r="L53" i="3"/>
  <c r="I112" i="3"/>
  <c r="G37" i="7"/>
  <c r="E60" i="7"/>
  <c r="E29" i="7"/>
  <c r="E30" i="7"/>
  <c r="Z4" i="10"/>
  <c r="E31" i="7"/>
  <c r="E32" i="7"/>
  <c r="E28" i="7"/>
  <c r="E53" i="7"/>
  <c r="AA12" i="10"/>
  <c r="G23" i="7"/>
  <c r="AB12" i="10" s="1"/>
  <c r="F112" i="7"/>
  <c r="F105" i="7"/>
  <c r="F83" i="7"/>
  <c r="F25" i="7"/>
  <c r="AA11" i="10"/>
  <c r="G22" i="7"/>
  <c r="H104" i="3" l="1"/>
  <c r="J74" i="3"/>
  <c r="L74" i="3" s="1"/>
  <c r="I74" i="3"/>
  <c r="I104" i="3" s="1"/>
  <c r="I105" i="3" s="1"/>
  <c r="I114" i="3" s="1"/>
  <c r="J61" i="3"/>
  <c r="J63" i="3" s="1"/>
  <c r="J101" i="3" s="1"/>
  <c r="L81" i="3"/>
  <c r="L83" i="3" s="1"/>
  <c r="J83" i="3"/>
  <c r="J88" i="3" s="1"/>
  <c r="L88" i="3" s="1"/>
  <c r="L110" i="3"/>
  <c r="L112" i="3" s="1"/>
  <c r="L54" i="3"/>
  <c r="H63" i="3"/>
  <c r="L73" i="3"/>
  <c r="E38" i="7"/>
  <c r="E39" i="7" s="1"/>
  <c r="E52" i="7"/>
  <c r="G112" i="7"/>
  <c r="G105" i="7"/>
  <c r="G83" i="7"/>
  <c r="G25" i="7"/>
  <c r="AB11" i="10"/>
  <c r="F30" i="7"/>
  <c r="F31" i="7"/>
  <c r="AA4" i="10"/>
  <c r="F32" i="7"/>
  <c r="F28" i="7"/>
  <c r="F60" i="7"/>
  <c r="F29" i="7"/>
  <c r="F53" i="7"/>
  <c r="G49" i="7"/>
  <c r="L61" i="3" l="1"/>
  <c r="J104" i="3"/>
  <c r="L104" i="3" s="1"/>
  <c r="H101" i="3"/>
  <c r="H92" i="3"/>
  <c r="L63" i="3"/>
  <c r="G31" i="7"/>
  <c r="G32" i="7"/>
  <c r="G28" i="7"/>
  <c r="AB4" i="10"/>
  <c r="G60" i="7"/>
  <c r="G29" i="7"/>
  <c r="G53" i="7"/>
  <c r="G30" i="7"/>
  <c r="E85" i="7"/>
  <c r="F38" i="7"/>
  <c r="F39" i="7" s="1"/>
  <c r="F52" i="7"/>
  <c r="E109" i="7"/>
  <c r="E104" i="7"/>
  <c r="E106" i="7" s="1"/>
  <c r="E40" i="7"/>
  <c r="J105" i="3" l="1"/>
  <c r="J114" i="3" s="1"/>
  <c r="L101" i="3"/>
  <c r="L105" i="3" s="1"/>
  <c r="L114" i="3" s="1"/>
  <c r="L116" i="3" s="1"/>
  <c r="H105" i="3"/>
  <c r="H114" i="3" s="1"/>
  <c r="H116" i="3" s="1"/>
  <c r="H76" i="3" s="1"/>
  <c r="H93" i="3"/>
  <c r="H94" i="3" s="1"/>
  <c r="I92" i="3"/>
  <c r="E110" i="7"/>
  <c r="E111" i="7" s="1"/>
  <c r="F85" i="7"/>
  <c r="F109" i="7"/>
  <c r="F104" i="7"/>
  <c r="F106" i="7" s="1"/>
  <c r="E41" i="7"/>
  <c r="E61" i="7"/>
  <c r="Z5" i="10"/>
  <c r="E11" i="8"/>
  <c r="G38" i="7"/>
  <c r="G39" i="7" s="1"/>
  <c r="G52" i="7"/>
  <c r="G85" i="7" s="1"/>
  <c r="J92" i="3" l="1"/>
  <c r="I93" i="3"/>
  <c r="I94" i="3" s="1"/>
  <c r="I115" i="3"/>
  <c r="I116" i="3" s="1"/>
  <c r="I76" i="3" s="1"/>
  <c r="H77" i="3"/>
  <c r="H78" i="3" s="1"/>
  <c r="G109" i="7"/>
  <c r="G104" i="7"/>
  <c r="G106" i="7" s="1"/>
  <c r="Z7" i="10"/>
  <c r="E82" i="7"/>
  <c r="E42" i="7"/>
  <c r="F40" i="7"/>
  <c r="F41" i="7" s="1"/>
  <c r="AA5" i="10"/>
  <c r="F11" i="8"/>
  <c r="F61" i="7"/>
  <c r="E84" i="7"/>
  <c r="E114" i="7" s="1"/>
  <c r="E115" i="7" s="1"/>
  <c r="E63" i="7"/>
  <c r="E68" i="7" s="1"/>
  <c r="F110" i="7"/>
  <c r="F111" i="7" s="1"/>
  <c r="J115" i="3" l="1"/>
  <c r="J116" i="3" s="1"/>
  <c r="J76" i="3" s="1"/>
  <c r="I77" i="3"/>
  <c r="I78" i="3" s="1"/>
  <c r="L92" i="3"/>
  <c r="L93" i="3" s="1"/>
  <c r="L94" i="3" s="1"/>
  <c r="J93" i="3"/>
  <c r="J94" i="3" s="1"/>
  <c r="E12" i="8"/>
  <c r="E16" i="8" s="1"/>
  <c r="Z6" i="10"/>
  <c r="G61" i="7"/>
  <c r="G63" i="7" s="1"/>
  <c r="G68" i="7" s="1"/>
  <c r="F63" i="7"/>
  <c r="F68" i="7" s="1"/>
  <c r="E72" i="7"/>
  <c r="E86" i="7"/>
  <c r="E95" i="7" s="1"/>
  <c r="E97" i="7" s="1"/>
  <c r="E55" i="7" s="1"/>
  <c r="G11" i="8"/>
  <c r="G15" i="8" s="1"/>
  <c r="G17" i="8" s="1"/>
  <c r="D22" i="8" s="1"/>
  <c r="AB5" i="10"/>
  <c r="F84" i="7"/>
  <c r="F114" i="7" s="1"/>
  <c r="F115" i="7" s="1"/>
  <c r="G110" i="7"/>
  <c r="G111" i="7" s="1"/>
  <c r="AA7" i="10"/>
  <c r="F82" i="7"/>
  <c r="F42" i="7"/>
  <c r="G40" i="7"/>
  <c r="G41" i="7" s="1"/>
  <c r="F86" i="7" l="1"/>
  <c r="F95" i="7" s="1"/>
  <c r="L76" i="3"/>
  <c r="L77" i="3" s="1"/>
  <c r="L78" i="3" s="1"/>
  <c r="J77" i="3"/>
  <c r="J78" i="3" s="1"/>
  <c r="G84" i="7"/>
  <c r="G114" i="7" s="1"/>
  <c r="G115" i="7" s="1"/>
  <c r="AA6" i="10"/>
  <c r="F12" i="8"/>
  <c r="F16" i="8" s="1"/>
  <c r="G82" i="7"/>
  <c r="AB7" i="10"/>
  <c r="G42" i="7"/>
  <c r="F96" i="7"/>
  <c r="F97" i="7" s="1"/>
  <c r="F55" i="7" s="1"/>
  <c r="E56" i="7"/>
  <c r="E57" i="7" s="1"/>
  <c r="F72" i="7"/>
  <c r="E73" i="7"/>
  <c r="E74" i="7" s="1"/>
  <c r="G86" i="7" l="1"/>
  <c r="G95" i="7" s="1"/>
  <c r="AB6" i="10"/>
  <c r="G12" i="8"/>
  <c r="G16" i="8" s="1"/>
  <c r="D21" i="8" s="1"/>
  <c r="D23" i="8" s="1"/>
  <c r="D25" i="8" s="1"/>
  <c r="E76" i="7"/>
  <c r="G96" i="7"/>
  <c r="F56" i="7"/>
  <c r="F57" i="7" s="1"/>
  <c r="F73" i="7"/>
  <c r="F74" i="7" s="1"/>
  <c r="G72" i="7"/>
  <c r="G73" i="7" s="1"/>
  <c r="G74" i="7" s="1"/>
  <c r="G97" i="7"/>
  <c r="G55" i="7" s="1"/>
  <c r="G56" i="7" s="1"/>
  <c r="G57" i="7" s="1"/>
  <c r="G76" i="7" l="1"/>
  <c r="F7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<sst xmlns="http://schemas.openxmlformats.org/spreadsheetml/2006/main" count="537" uniqueCount="212">
  <si>
    <t>Revenue</t>
  </si>
  <si>
    <t>End-of-term</t>
  </si>
  <si>
    <t>na</t>
  </si>
  <si>
    <t>Gold Mock</t>
  </si>
  <si>
    <t>Platinum service</t>
  </si>
  <si>
    <t>Total Revenue</t>
  </si>
  <si>
    <t>Typing</t>
  </si>
  <si>
    <t>Invigilation</t>
  </si>
  <si>
    <t>Paper Cost</t>
  </si>
  <si>
    <t>Printing (outsourced)</t>
  </si>
  <si>
    <t>Answer booklets printing</t>
  </si>
  <si>
    <t>Examiners: Questions &amp; Marking Scheme</t>
  </si>
  <si>
    <t>Examiners: Marking</t>
  </si>
  <si>
    <t>Toner</t>
  </si>
  <si>
    <t>T&amp;T</t>
  </si>
  <si>
    <t>Delivery</t>
  </si>
  <si>
    <t>Electricity</t>
  </si>
  <si>
    <t>Depreciation</t>
  </si>
  <si>
    <t>Allowances</t>
  </si>
  <si>
    <t>Miscellaneous</t>
  </si>
  <si>
    <t>Gross Profit/(Loss)</t>
  </si>
  <si>
    <t>10% Management fee</t>
  </si>
  <si>
    <t>Commissions</t>
  </si>
  <si>
    <t>Stationery</t>
  </si>
  <si>
    <t>Transfer Charges</t>
  </si>
  <si>
    <t>Marketing</t>
  </si>
  <si>
    <t>Business Registration</t>
  </si>
  <si>
    <t>Operating Profit/(Loss)</t>
  </si>
  <si>
    <t>Tax (Withholding)</t>
  </si>
  <si>
    <t>Net profit/(Loss)</t>
  </si>
  <si>
    <t>BALANCE SHEET</t>
  </si>
  <si>
    <t>Non-Current Assets</t>
  </si>
  <si>
    <t>Printer</t>
  </si>
  <si>
    <t>Current Assets</t>
  </si>
  <si>
    <t>Inventory</t>
  </si>
  <si>
    <t>Accounts receivable</t>
  </si>
  <si>
    <t>Deferred tax</t>
  </si>
  <si>
    <t>Cash</t>
  </si>
  <si>
    <t>Total Current assets</t>
  </si>
  <si>
    <t>Total Assets</t>
  </si>
  <si>
    <t>Current Liabilities</t>
  </si>
  <si>
    <t>Accounts Payable</t>
  </si>
  <si>
    <t>Other Current Liabilities</t>
  </si>
  <si>
    <t>Total Current Liabilities</t>
  </si>
  <si>
    <t>Non-Current Liabilities</t>
  </si>
  <si>
    <t>Debt</t>
  </si>
  <si>
    <t>Total Liabilities</t>
  </si>
  <si>
    <t>Shareholders' Equity</t>
  </si>
  <si>
    <t>Stated Capital</t>
  </si>
  <si>
    <t>Retained Earnings</t>
  </si>
  <si>
    <t>Total Shareholder's Equity</t>
  </si>
  <si>
    <t>Total Shareholder's Equity &amp; Liabilities</t>
  </si>
  <si>
    <t>STATEMENT OF CASHFLOW</t>
  </si>
  <si>
    <t>Net Profit</t>
  </si>
  <si>
    <t>Add Depreciation</t>
  </si>
  <si>
    <t xml:space="preserve">Deferred tax liability/(Asset)         </t>
  </si>
  <si>
    <t>Working Capital Changes</t>
  </si>
  <si>
    <t>Cashflow from Operating Activities</t>
  </si>
  <si>
    <t>Capex</t>
  </si>
  <si>
    <t xml:space="preserve">Cashflow from Investing Activities </t>
  </si>
  <si>
    <t>Proceeds from issuance of stock</t>
  </si>
  <si>
    <t>Proceeds from issuance of debt</t>
  </si>
  <si>
    <t>Cashflow from Financing Activities</t>
  </si>
  <si>
    <t>Increase (Decrease) in Cash</t>
  </si>
  <si>
    <t>Cash at beginning of month</t>
  </si>
  <si>
    <t>Cash at end of month</t>
  </si>
  <si>
    <t>Pct of EOT &amp; Gold Mock</t>
  </si>
  <si>
    <t>End-of-term (EOT) Exams</t>
  </si>
  <si>
    <t>Pct of Platinum Service</t>
  </si>
  <si>
    <t>Pct of Total Revenue</t>
  </si>
  <si>
    <t>Gross Profit/(Loss) Margin</t>
  </si>
  <si>
    <t>Net profit/(Loss) Margin</t>
  </si>
  <si>
    <t>INCOME STATEMENT</t>
  </si>
  <si>
    <t>STATEMENT OF FINANCIAL POSITION</t>
  </si>
  <si>
    <t>CASHFLOW STATEMENT</t>
  </si>
  <si>
    <t>COMMON SIZE ANALYSIS</t>
  </si>
  <si>
    <t xml:space="preserve">End-of-term (EOT) Exams </t>
  </si>
  <si>
    <t>EOT Exams happen every 3-4 months period</t>
  </si>
  <si>
    <t>COMMON-SIZE SUMMARY &amp; HISTORICAL ANALYSIS</t>
  </si>
  <si>
    <t>Segmented Revenue Growth Rate</t>
  </si>
  <si>
    <t xml:space="preserve">Segmented Revenue </t>
  </si>
  <si>
    <t>Cost of Sales</t>
  </si>
  <si>
    <t>Total Cost of Sales</t>
  </si>
  <si>
    <t>Income Statement</t>
  </si>
  <si>
    <t>Cost of sales</t>
  </si>
  <si>
    <t>Inventory Days</t>
  </si>
  <si>
    <t>Accounts Receivable Days</t>
  </si>
  <si>
    <t>Cash Capex % of revenue</t>
  </si>
  <si>
    <t xml:space="preserve"> </t>
  </si>
  <si>
    <t>Days</t>
  </si>
  <si>
    <t>Current ratio</t>
  </si>
  <si>
    <t>Debt to Equity ratio</t>
  </si>
  <si>
    <t>4-month Average</t>
  </si>
  <si>
    <t>Revenue Growth Assumption</t>
  </si>
  <si>
    <t>COS Assumption</t>
  </si>
  <si>
    <t>Capital Investment</t>
  </si>
  <si>
    <t>Settlement of other current liabilities</t>
  </si>
  <si>
    <t>Accounts receivable Days</t>
  </si>
  <si>
    <t>Business Account Reg. / Merchant momo Reg.</t>
  </si>
  <si>
    <t>Issue of Debt</t>
  </si>
  <si>
    <t>2023 Consolidated</t>
  </si>
  <si>
    <t>Pct of COS</t>
  </si>
  <si>
    <t>Revenue Growth</t>
  </si>
  <si>
    <t>Rent</t>
  </si>
  <si>
    <t>Salaries</t>
  </si>
  <si>
    <t>Management fee</t>
  </si>
  <si>
    <t>Base</t>
  </si>
  <si>
    <t>Bull</t>
  </si>
  <si>
    <t>Bear</t>
  </si>
  <si>
    <t>Live</t>
  </si>
  <si>
    <t>Base Revenue taper</t>
  </si>
  <si>
    <t>Income Statement Assumptions</t>
  </si>
  <si>
    <t xml:space="preserve">COS </t>
  </si>
  <si>
    <t>Expense Forecast Assumptions</t>
  </si>
  <si>
    <t>Revenue Forecast Assumptions</t>
  </si>
  <si>
    <t>Current Assets &amp; Liabilities</t>
  </si>
  <si>
    <t>Accrued Expenses</t>
  </si>
  <si>
    <t>Accrued Expenses (% of revenue)</t>
  </si>
  <si>
    <t>Bull Case (Base + %)</t>
  </si>
  <si>
    <t>Bear Case (Base -%)</t>
  </si>
  <si>
    <t>Toggle Selection &amp; Control</t>
  </si>
  <si>
    <t>Scenario Selection Toggle</t>
  </si>
  <si>
    <t xml:space="preserve">Base (+) 25%. </t>
  </si>
  <si>
    <t xml:space="preserve">Base (-) 25%. </t>
  </si>
  <si>
    <t>Based on Historical and Anticipated Growth</t>
  </si>
  <si>
    <t>Scenario</t>
  </si>
  <si>
    <t>Time Periods</t>
  </si>
  <si>
    <t>BOP</t>
  </si>
  <si>
    <t>EOP</t>
  </si>
  <si>
    <t>Segmented Revenue Growth</t>
  </si>
  <si>
    <t>Operating Expenses</t>
  </si>
  <si>
    <t>Transfer/Bank Charges</t>
  </si>
  <si>
    <t>Total Operating Expenses</t>
  </si>
  <si>
    <t>Operating Income</t>
  </si>
  <si>
    <t>Provision for Taxes</t>
  </si>
  <si>
    <t>Net Income</t>
  </si>
  <si>
    <t>Business Registration/Accounts setup</t>
  </si>
  <si>
    <t>Tax rate</t>
  </si>
  <si>
    <t>Statement of Financial Position</t>
  </si>
  <si>
    <t>Pct of Printer</t>
  </si>
  <si>
    <t>Payment of Debt</t>
  </si>
  <si>
    <t>Proceeds(payment) from issuance of debt</t>
  </si>
  <si>
    <t>EBITDA/Net Income</t>
  </si>
  <si>
    <t>Check</t>
  </si>
  <si>
    <t>Valuation Date / Fiscal Year-End</t>
  </si>
  <si>
    <t>Date for NPV Calculation</t>
  </si>
  <si>
    <t>Year Fraction</t>
  </si>
  <si>
    <t>Free Cash Flow to Firm (FCFF)</t>
  </si>
  <si>
    <t>Determination of EBITDA and Free Cashflow</t>
  </si>
  <si>
    <t>EBIT</t>
  </si>
  <si>
    <t>D&amp;A</t>
  </si>
  <si>
    <t>EBITDA</t>
  </si>
  <si>
    <t>Operating Profit</t>
  </si>
  <si>
    <t>Less: Unlevered Taxes</t>
  </si>
  <si>
    <t>Net Operating Profit After Tax</t>
  </si>
  <si>
    <t>Plus: Depreciation</t>
  </si>
  <si>
    <t>Less: Capex</t>
  </si>
  <si>
    <t>Plus: Changes in Net Working Capital</t>
  </si>
  <si>
    <t>Free Cashflow to the Firm(FCFF)</t>
  </si>
  <si>
    <t>Cash at beginning</t>
  </si>
  <si>
    <t xml:space="preserve">Cash at end </t>
  </si>
  <si>
    <t>Terminal Value</t>
  </si>
  <si>
    <t>Terminal Value: Perpetual Growth</t>
  </si>
  <si>
    <t>Valuation FCFF</t>
  </si>
  <si>
    <t>Long-Term Growth Rate</t>
  </si>
  <si>
    <t>WACC</t>
  </si>
  <si>
    <t xml:space="preserve">EBITDA </t>
  </si>
  <si>
    <t>NPV - Future Cash Flows</t>
  </si>
  <si>
    <t>NPV - Terminal Value</t>
  </si>
  <si>
    <t>Enterprise Value</t>
  </si>
  <si>
    <t>Equity Value</t>
  </si>
  <si>
    <t xml:space="preserve">DCF Value Summary </t>
  </si>
  <si>
    <t>Centre, Immaculate Ghana®</t>
  </si>
  <si>
    <t>Valuation Model</t>
  </si>
  <si>
    <t>Inputs and Assumptions</t>
  </si>
  <si>
    <t>Model Outputs</t>
  </si>
  <si>
    <t>Calculations and Analytics</t>
  </si>
  <si>
    <t>Company Overview</t>
  </si>
  <si>
    <t>Revenue Summary</t>
  </si>
  <si>
    <t>Base Case</t>
  </si>
  <si>
    <t>Bull Case</t>
  </si>
  <si>
    <t>Bear Case</t>
  </si>
  <si>
    <t>Base Case EBITDA</t>
  </si>
  <si>
    <t>Bull Case EBITDA</t>
  </si>
  <si>
    <t xml:space="preserve">Bear Case EBITDA </t>
  </si>
  <si>
    <t>FCFF</t>
  </si>
  <si>
    <t>Base Case FCFF</t>
  </si>
  <si>
    <t>Bull Case FCFF</t>
  </si>
  <si>
    <t>Bear Case  FCFF</t>
  </si>
  <si>
    <t>Net Earnings</t>
  </si>
  <si>
    <t>Base Case Net Earnings</t>
  </si>
  <si>
    <t>Bull Case Net Earnings</t>
  </si>
  <si>
    <t>Bear Case  Net Earnings</t>
  </si>
  <si>
    <t>Days in month</t>
  </si>
  <si>
    <t>Less: Net Debt (Cash)</t>
  </si>
  <si>
    <t>Base Case Enterprise Value</t>
  </si>
  <si>
    <t>Bull Case Enterprise Value</t>
  </si>
  <si>
    <t>Bear Case Enterprise Value</t>
  </si>
  <si>
    <t xml:space="preserve">Revenue By Category </t>
  </si>
  <si>
    <t>Historical and Forecast Financial Performance (GHC '000)</t>
  </si>
  <si>
    <t>Key Summary Outputs</t>
  </si>
  <si>
    <t>All Amounts in graph Denominated in GHC'000 Unless Otherwise Stated</t>
  </si>
  <si>
    <t>Discounted Cash Flow (DCF) Analysis</t>
  </si>
  <si>
    <t>Financial Forecast</t>
  </si>
  <si>
    <t>Year 1 Financial Statements</t>
  </si>
  <si>
    <t>Historical Financial Analysis</t>
  </si>
  <si>
    <t>Inputs and Assumptions (Control Panel)</t>
  </si>
  <si>
    <t>Forecast Scenerios</t>
  </si>
  <si>
    <t>Total Revenues</t>
  </si>
  <si>
    <t>EBITDA &amp; FCFF (Base Case)</t>
  </si>
  <si>
    <t>Net Earnings (Base Case)</t>
  </si>
  <si>
    <t>Enterprise Value By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</si>
</sst>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mmm\-yy\A"/>
    <numFmt numFmtId="165" formatCode="mmm\-yy\F"/>
    <numFmt numFmtId="166" formatCode="_(* #,##0.0_);_(* \(#,##0.0\);_(* &quot;-&quot;??_);_(@_)"/>
    <numFmt numFmtId="167" formatCode="0.0"/>
    <numFmt numFmtId="168" formatCode="_(* #,##0.0_);_(* \(#,##0.0\);_(* &quot;-&quot;?_);_(@_)"/>
    <numFmt numFmtId="169" formatCode="0.0%"/>
    <numFmt numFmtId="170" formatCode="0\A"/>
    <numFmt numFmtId="171" formatCode="0\F"/>
    <numFmt numFmtId="172" formatCode="#,##0.0_);\(#,##0.0\)"/>
    <numFmt numFmtId="173" formatCode="&quot;No&quot;;;&quot;Yes&quot;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4"/>
      <color theme="1"/>
      <name val="Calibri"/>
      <family val="2"/>
      <scheme val="minor"/>
    </font>
    <font>
      <b/>
      <sz val="48"/>
      <name val="Calibri"/>
      <family val="2"/>
      <scheme val="minor"/>
    </font>
    <font>
      <b/>
      <sz val="36"/>
      <name val="Calibri"/>
      <family val="2"/>
      <scheme val="minor"/>
    </font>
    <font>
      <sz val="11"/>
      <color rgb="FF0A00D6"/>
      <name val="Calibri"/>
      <family val="2"/>
      <scheme val="minor"/>
    </font>
    <font>
      <sz val="11"/>
      <color rgb="FF0B00EA"/>
      <name val="Calibri"/>
      <family val="2"/>
      <scheme val="minor"/>
    </font>
    <font>
      <b/>
      <sz val="11"/>
      <color rgb="FF0B00EA"/>
      <name val="Calibri"/>
      <family val="2"/>
      <scheme val="minor"/>
    </font>
    <font>
      <b/>
      <sz val="11"/>
      <color rgb="FF0A00D6"/>
      <name val="Calibri"/>
      <family val="2"/>
      <scheme val="minor"/>
    </font>
    <font>
      <b/>
      <sz val="14"/>
      <color rgb="FFFFFFFF"/>
      <name val="Arial Narrow"/>
      <family val="2"/>
    </font>
    <font>
      <sz val="10"/>
      <name val="Arial Narrow"/>
      <family val="2"/>
    </font>
    <font>
      <i/>
      <sz val="11"/>
      <color theme="0"/>
      <name val="Arial Narrow"/>
      <family val="2"/>
    </font>
    <font>
      <b/>
      <sz val="14"/>
      <color theme="0"/>
      <name val="Arial Narrow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2" fillId="0" borderId="0"/>
  </cellStyleXfs>
  <cellXfs count="210">
    <xf numFmtId="0" fontId="0" fillId="0" borderId="0" xfId="0"/>
    <xf numFmtId="164" fontId="3" fillId="0" borderId="1" xfId="0" applyNumberFormat="1" applyFont="1" applyBorder="1"/>
    <xf numFmtId="165" fontId="3" fillId="0" borderId="1" xfId="0" applyNumberFormat="1" applyFont="1" applyBorder="1"/>
    <xf numFmtId="165" fontId="4" fillId="0" borderId="0" xfId="0" applyNumberFormat="1" applyFont="1"/>
    <xf numFmtId="0" fontId="5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1" xfId="0" applyFont="1" applyBorder="1"/>
    <xf numFmtId="0" fontId="0" fillId="0" borderId="1" xfId="0" applyBorder="1"/>
    <xf numFmtId="0" fontId="5" fillId="0" borderId="0" xfId="0" applyFont="1" applyAlignment="1">
      <alignment horizontal="right"/>
    </xf>
    <xf numFmtId="0" fontId="4" fillId="0" borderId="2" xfId="0" applyFont="1" applyBorder="1"/>
    <xf numFmtId="0" fontId="0" fillId="0" borderId="2" xfId="0" applyBorder="1"/>
    <xf numFmtId="166" fontId="4" fillId="0" borderId="2" xfId="1" applyNumberFormat="1" applyFont="1" applyBorder="1"/>
    <xf numFmtId="167" fontId="0" fillId="0" borderId="0" xfId="0" applyNumberFormat="1"/>
    <xf numFmtId="0" fontId="4" fillId="0" borderId="3" xfId="0" applyFont="1" applyBorder="1"/>
    <xf numFmtId="166" fontId="4" fillId="0" borderId="3" xfId="1" applyNumberFormat="1" applyFont="1" applyBorder="1"/>
    <xf numFmtId="0" fontId="0" fillId="0" borderId="3" xfId="0" applyBorder="1"/>
    <xf numFmtId="0" fontId="4" fillId="0" borderId="4" xfId="0" applyFont="1" applyBorder="1"/>
    <xf numFmtId="166" fontId="4" fillId="0" borderId="4" xfId="1" applyNumberFormat="1" applyFont="1" applyBorder="1"/>
    <xf numFmtId="0" fontId="0" fillId="0" borderId="4" xfId="0" applyBorder="1"/>
    <xf numFmtId="9" fontId="0" fillId="0" borderId="0" xfId="2" applyFont="1"/>
    <xf numFmtId="166" fontId="0" fillId="0" borderId="0" xfId="1" applyNumberFormat="1" applyFont="1"/>
    <xf numFmtId="43" fontId="0" fillId="0" borderId="0" xfId="0" applyNumberFormat="1"/>
    <xf numFmtId="168" fontId="0" fillId="0" borderId="0" xfId="0" applyNumberFormat="1"/>
    <xf numFmtId="166" fontId="0" fillId="0" borderId="1" xfId="1" applyNumberFormat="1" applyFont="1" applyBorder="1"/>
    <xf numFmtId="166" fontId="0" fillId="0" borderId="0" xfId="0" applyNumberFormat="1"/>
    <xf numFmtId="166" fontId="4" fillId="0" borderId="3" xfId="0" applyNumberFormat="1" applyFont="1" applyBorder="1"/>
    <xf numFmtId="43" fontId="4" fillId="0" borderId="4" xfId="0" applyNumberFormat="1" applyFont="1" applyBorder="1"/>
    <xf numFmtId="0" fontId="5" fillId="0" borderId="1" xfId="0" applyFont="1" applyBorder="1"/>
    <xf numFmtId="9" fontId="6" fillId="0" borderId="0" xfId="2" applyFont="1"/>
    <xf numFmtId="9" fontId="6" fillId="0" borderId="0" xfId="2" applyFont="1" applyAlignment="1">
      <alignment horizontal="right"/>
    </xf>
    <xf numFmtId="9" fontId="0" fillId="0" borderId="0" xfId="2" applyFont="1" applyAlignment="1">
      <alignment horizontal="right"/>
    </xf>
    <xf numFmtId="0" fontId="0" fillId="0" borderId="0" xfId="0" applyAlignment="1">
      <alignment horizontal="right"/>
    </xf>
    <xf numFmtId="169" fontId="0" fillId="0" borderId="0" xfId="2" applyNumberFormat="1" applyFont="1"/>
    <xf numFmtId="169" fontId="0" fillId="0" borderId="0" xfId="2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0" fontId="8" fillId="0" borderId="0" xfId="0" applyFont="1"/>
    <xf numFmtId="0" fontId="8" fillId="0" borderId="3" xfId="0" applyFont="1" applyBorder="1"/>
    <xf numFmtId="0" fontId="9" fillId="2" borderId="0" xfId="0" applyFont="1" applyFill="1"/>
    <xf numFmtId="9" fontId="9" fillId="2" borderId="0" xfId="2" applyFont="1" applyFill="1"/>
    <xf numFmtId="164" fontId="3" fillId="0" borderId="0" xfId="0" applyNumberFormat="1" applyFont="1" applyBorder="1"/>
    <xf numFmtId="0" fontId="7" fillId="2" borderId="0" xfId="0" applyFont="1" applyFill="1"/>
    <xf numFmtId="169" fontId="0" fillId="0" borderId="1" xfId="2" applyNumberFormat="1" applyFont="1" applyBorder="1"/>
    <xf numFmtId="169" fontId="4" fillId="0" borderId="3" xfId="2" applyNumberFormat="1" applyFont="1" applyBorder="1"/>
    <xf numFmtId="169" fontId="0" fillId="0" borderId="3" xfId="2" applyNumberFormat="1" applyFont="1" applyBorder="1"/>
    <xf numFmtId="169" fontId="0" fillId="0" borderId="1" xfId="2" applyNumberFormat="1" applyFont="1" applyBorder="1" applyAlignment="1">
      <alignment horizontal="right"/>
    </xf>
    <xf numFmtId="169" fontId="4" fillId="0" borderId="3" xfId="2" applyNumberFormat="1" applyFont="1" applyBorder="1" applyAlignment="1">
      <alignment horizontal="right"/>
    </xf>
    <xf numFmtId="169" fontId="0" fillId="0" borderId="3" xfId="2" applyNumberFormat="1" applyFont="1" applyBorder="1" applyAlignment="1">
      <alignment horizontal="right"/>
    </xf>
    <xf numFmtId="169" fontId="4" fillId="0" borderId="2" xfId="2" applyNumberFormat="1" applyFont="1" applyBorder="1"/>
    <xf numFmtId="169" fontId="4" fillId="0" borderId="2" xfId="2" applyNumberFormat="1" applyFont="1" applyBorder="1" applyAlignment="1">
      <alignment horizontal="right"/>
    </xf>
    <xf numFmtId="0" fontId="4" fillId="0" borderId="0" xfId="0" applyFont="1" applyBorder="1"/>
    <xf numFmtId="0" fontId="0" fillId="3" borderId="0" xfId="0" applyFill="1"/>
    <xf numFmtId="0" fontId="9" fillId="3" borderId="1" xfId="0" applyFont="1" applyFill="1" applyBorder="1"/>
    <xf numFmtId="0" fontId="7" fillId="3" borderId="1" xfId="0" applyFont="1" applyFill="1" applyBorder="1"/>
    <xf numFmtId="0" fontId="7" fillId="3" borderId="0" xfId="0" applyFont="1" applyFill="1"/>
    <xf numFmtId="169" fontId="0" fillId="0" borderId="0" xfId="0" applyNumberFormat="1"/>
    <xf numFmtId="169" fontId="4" fillId="0" borderId="4" xfId="2" applyNumberFormat="1" applyFont="1" applyBorder="1"/>
    <xf numFmtId="169" fontId="4" fillId="0" borderId="4" xfId="2" applyNumberFormat="1" applyFont="1" applyBorder="1" applyAlignment="1">
      <alignment horizontal="right"/>
    </xf>
    <xf numFmtId="169" fontId="0" fillId="0" borderId="2" xfId="2" applyNumberFormat="1" applyFont="1" applyBorder="1"/>
    <xf numFmtId="169" fontId="0" fillId="0" borderId="2" xfId="2" applyNumberFormat="1" applyFon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Border="1"/>
    <xf numFmtId="169" fontId="4" fillId="0" borderId="0" xfId="2" applyNumberFormat="1" applyFont="1" applyBorder="1"/>
    <xf numFmtId="169" fontId="0" fillId="0" borderId="0" xfId="2" applyNumberFormat="1" applyFont="1" applyBorder="1"/>
    <xf numFmtId="169" fontId="4" fillId="0" borderId="1" xfId="2" applyNumberFormat="1" applyFont="1" applyBorder="1"/>
    <xf numFmtId="166" fontId="4" fillId="0" borderId="0" xfId="1" applyNumberFormat="1" applyFont="1" applyBorder="1"/>
    <xf numFmtId="9" fontId="0" fillId="4" borderId="0" xfId="2" applyFont="1" applyFill="1" applyAlignment="1">
      <alignment horizontal="right"/>
    </xf>
    <xf numFmtId="169" fontId="5" fillId="4" borderId="0" xfId="2" applyNumberFormat="1" applyFont="1" applyFill="1" applyAlignment="1">
      <alignment horizontal="right"/>
    </xf>
    <xf numFmtId="169" fontId="5" fillId="4" borderId="2" xfId="2" applyNumberFormat="1" applyFont="1" applyFill="1" applyBorder="1" applyAlignment="1">
      <alignment horizontal="right"/>
    </xf>
    <xf numFmtId="169" fontId="6" fillId="0" borderId="0" xfId="2" applyNumberFormat="1" applyFont="1" applyAlignment="1">
      <alignment horizontal="right"/>
    </xf>
    <xf numFmtId="169" fontId="6" fillId="0" borderId="2" xfId="2" applyNumberFormat="1" applyFont="1" applyBorder="1" applyAlignment="1">
      <alignment horizontal="right"/>
    </xf>
    <xf numFmtId="9" fontId="0" fillId="4" borderId="2" xfId="2" applyFont="1" applyFill="1" applyBorder="1" applyAlignment="1">
      <alignment horizontal="right"/>
    </xf>
    <xf numFmtId="0" fontId="6" fillId="0" borderId="0" xfId="0" applyFont="1" applyAlignment="1">
      <alignment horizontal="right"/>
    </xf>
    <xf numFmtId="166" fontId="0" fillId="0" borderId="0" xfId="1" applyNumberFormat="1" applyFont="1" applyAlignment="1">
      <alignment horizontal="right"/>
    </xf>
    <xf numFmtId="169" fontId="2" fillId="0" borderId="0" xfId="2" applyNumberFormat="1" applyFont="1" applyBorder="1"/>
    <xf numFmtId="169" fontId="5" fillId="0" borderId="0" xfId="2" applyNumberFormat="1" applyFont="1" applyBorder="1"/>
    <xf numFmtId="169" fontId="6" fillId="0" borderId="0" xfId="2" applyNumberFormat="1" applyFont="1" applyBorder="1" applyAlignment="1">
      <alignment horizontal="right"/>
    </xf>
    <xf numFmtId="0" fontId="0" fillId="0" borderId="0" xfId="0" applyFont="1" applyBorder="1"/>
    <xf numFmtId="169" fontId="5" fillId="0" borderId="0" xfId="2" applyNumberFormat="1" applyFont="1" applyFill="1" applyBorder="1" applyAlignment="1">
      <alignment horizontal="right"/>
    </xf>
    <xf numFmtId="9" fontId="4" fillId="0" borderId="0" xfId="2" applyFont="1" applyFill="1" applyBorder="1"/>
    <xf numFmtId="9" fontId="0" fillId="0" borderId="0" xfId="0" applyNumberFormat="1" applyBorder="1"/>
    <xf numFmtId="165" fontId="4" fillId="0" borderId="5" xfId="0" applyNumberFormat="1" applyFont="1" applyBorder="1"/>
    <xf numFmtId="165" fontId="4" fillId="0" borderId="6" xfId="0" applyNumberFormat="1" applyFont="1" applyBorder="1"/>
    <xf numFmtId="0" fontId="0" fillId="0" borderId="7" xfId="0" applyBorder="1"/>
    <xf numFmtId="0" fontId="0" fillId="0" borderId="6" xfId="0" applyBorder="1"/>
    <xf numFmtId="165" fontId="3" fillId="0" borderId="0" xfId="0" applyNumberFormat="1" applyFont="1" applyBorder="1"/>
    <xf numFmtId="165" fontId="4" fillId="0" borderId="7" xfId="0" applyNumberFormat="1" applyFont="1" applyBorder="1"/>
    <xf numFmtId="0" fontId="0" fillId="0" borderId="0" xfId="0" applyNumberFormat="1" applyAlignment="1">
      <alignment horizontal="right"/>
    </xf>
    <xf numFmtId="0" fontId="0" fillId="0" borderId="0" xfId="2" applyNumberFormat="1" applyFont="1" applyAlignment="1">
      <alignment horizontal="right"/>
    </xf>
    <xf numFmtId="0" fontId="0" fillId="0" borderId="0" xfId="0" applyNumberFormat="1"/>
    <xf numFmtId="169" fontId="0" fillId="0" borderId="0" xfId="0" applyNumberFormat="1" applyBorder="1"/>
    <xf numFmtId="170" fontId="0" fillId="0" borderId="0" xfId="0" applyNumberFormat="1"/>
    <xf numFmtId="171" fontId="0" fillId="0" borderId="0" xfId="0" applyNumberFormat="1"/>
    <xf numFmtId="170" fontId="0" fillId="0" borderId="2" xfId="0" applyNumberFormat="1" applyBorder="1"/>
    <xf numFmtId="171" fontId="0" fillId="0" borderId="2" xfId="0" applyNumberFormat="1" applyBorder="1"/>
    <xf numFmtId="0" fontId="0" fillId="4" borderId="0" xfId="0" applyFill="1"/>
    <xf numFmtId="9" fontId="0" fillId="0" borderId="0" xfId="0" applyNumberFormat="1"/>
    <xf numFmtId="0" fontId="7" fillId="0" borderId="0" xfId="0" applyFont="1" applyFill="1"/>
    <xf numFmtId="0" fontId="0" fillId="0" borderId="0" xfId="0" applyFill="1"/>
    <xf numFmtId="0" fontId="0" fillId="0" borderId="11" xfId="0" applyBorder="1"/>
    <xf numFmtId="170" fontId="4" fillId="0" borderId="0" xfId="0" applyNumberFormat="1" applyFont="1"/>
    <xf numFmtId="171" fontId="4" fillId="0" borderId="0" xfId="0" applyNumberFormat="1" applyFont="1"/>
    <xf numFmtId="170" fontId="4" fillId="0" borderId="0" xfId="0" applyNumberFormat="1" applyFont="1" applyBorder="1"/>
    <xf numFmtId="170" fontId="4" fillId="0" borderId="1" xfId="0" applyNumberFormat="1" applyFont="1" applyBorder="1"/>
    <xf numFmtId="171" fontId="4" fillId="0" borderId="0" xfId="0" applyNumberFormat="1" applyFont="1" applyBorder="1"/>
    <xf numFmtId="171" fontId="4" fillId="0" borderId="1" xfId="0" applyNumberFormat="1" applyFont="1" applyBorder="1"/>
    <xf numFmtId="0" fontId="0" fillId="0" borderId="15" xfId="0" applyBorder="1"/>
    <xf numFmtId="9" fontId="0" fillId="0" borderId="3" xfId="0" applyNumberFormat="1" applyBorder="1"/>
    <xf numFmtId="0" fontId="0" fillId="0" borderId="16" xfId="0" applyBorder="1"/>
    <xf numFmtId="9" fontId="0" fillId="4" borderId="0" xfId="0" applyNumberFormat="1" applyFill="1"/>
    <xf numFmtId="14" fontId="0" fillId="0" borderId="0" xfId="0" applyNumberFormat="1"/>
    <xf numFmtId="172" fontId="0" fillId="0" borderId="0" xfId="0" applyNumberFormat="1" applyAlignment="1">
      <alignment horizontal="right"/>
    </xf>
    <xf numFmtId="172" fontId="0" fillId="0" borderId="0" xfId="1" applyNumberFormat="1" applyFont="1" applyAlignment="1">
      <alignment horizontal="right"/>
    </xf>
    <xf numFmtId="172" fontId="0" fillId="0" borderId="6" xfId="1" applyNumberFormat="1" applyFont="1" applyBorder="1" applyAlignment="1">
      <alignment horizontal="right"/>
    </xf>
    <xf numFmtId="172" fontId="0" fillId="0" borderId="6" xfId="0" applyNumberFormat="1" applyBorder="1" applyAlignment="1">
      <alignment horizontal="right"/>
    </xf>
    <xf numFmtId="172" fontId="4" fillId="0" borderId="2" xfId="1" applyNumberFormat="1" applyFont="1" applyBorder="1"/>
    <xf numFmtId="172" fontId="4" fillId="0" borderId="8" xfId="1" applyNumberFormat="1" applyFont="1" applyBorder="1"/>
    <xf numFmtId="172" fontId="0" fillId="0" borderId="0" xfId="0" applyNumberFormat="1" applyBorder="1"/>
    <xf numFmtId="172" fontId="0" fillId="0" borderId="6" xfId="0" applyNumberFormat="1" applyBorder="1"/>
    <xf numFmtId="172" fontId="0" fillId="0" borderId="1" xfId="0" applyNumberFormat="1" applyBorder="1"/>
    <xf numFmtId="172" fontId="0" fillId="0" borderId="7" xfId="0" applyNumberFormat="1" applyBorder="1"/>
    <xf numFmtId="172" fontId="0" fillId="0" borderId="0" xfId="0" applyNumberFormat="1"/>
    <xf numFmtId="172" fontId="5" fillId="0" borderId="0" xfId="1" applyNumberFormat="1" applyFont="1"/>
    <xf numFmtId="172" fontId="6" fillId="0" borderId="6" xfId="0" applyNumberFormat="1" applyFont="1" applyBorder="1"/>
    <xf numFmtId="172" fontId="6" fillId="0" borderId="6" xfId="1" applyNumberFormat="1" applyFont="1" applyBorder="1"/>
    <xf numFmtId="172" fontId="4" fillId="0" borderId="3" xfId="1" applyNumberFormat="1" applyFont="1" applyBorder="1"/>
    <xf numFmtId="172" fontId="3" fillId="0" borderId="9" xfId="1" applyNumberFormat="1" applyFont="1" applyBorder="1"/>
    <xf numFmtId="172" fontId="6" fillId="0" borderId="0" xfId="1" applyNumberFormat="1" applyFont="1"/>
    <xf numFmtId="172" fontId="3" fillId="0" borderId="8" xfId="1" applyNumberFormat="1" applyFont="1" applyBorder="1"/>
    <xf numFmtId="172" fontId="4" fillId="0" borderId="4" xfId="1" applyNumberFormat="1" applyFont="1" applyBorder="1"/>
    <xf numFmtId="172" fontId="3" fillId="0" borderId="10" xfId="1" applyNumberFormat="1" applyFont="1" applyBorder="1"/>
    <xf numFmtId="172" fontId="4" fillId="0" borderId="10" xfId="1" applyNumberFormat="1" applyFont="1" applyBorder="1"/>
    <xf numFmtId="172" fontId="4" fillId="0" borderId="9" xfId="1" applyNumberFormat="1" applyFont="1" applyBorder="1"/>
    <xf numFmtId="172" fontId="0" fillId="0" borderId="0" xfId="1" applyNumberFormat="1" applyFont="1"/>
    <xf numFmtId="172" fontId="0" fillId="0" borderId="6" xfId="1" applyNumberFormat="1" applyFont="1" applyBorder="1"/>
    <xf numFmtId="172" fontId="4" fillId="0" borderId="3" xfId="0" applyNumberFormat="1" applyFont="1" applyBorder="1"/>
    <xf numFmtId="172" fontId="4" fillId="0" borderId="9" xfId="0" applyNumberFormat="1" applyFont="1" applyBorder="1"/>
    <xf numFmtId="172" fontId="4" fillId="0" borderId="4" xfId="0" applyNumberFormat="1" applyFont="1" applyBorder="1"/>
    <xf numFmtId="172" fontId="4" fillId="0" borderId="10" xfId="0" applyNumberFormat="1" applyFont="1" applyBorder="1"/>
    <xf numFmtId="172" fontId="4" fillId="0" borderId="2" xfId="0" applyNumberFormat="1" applyFont="1" applyBorder="1"/>
    <xf numFmtId="172" fontId="4" fillId="0" borderId="1" xfId="0" applyNumberFormat="1" applyFont="1" applyBorder="1"/>
    <xf numFmtId="0" fontId="9" fillId="0" borderId="0" xfId="0" applyFont="1" applyFill="1"/>
    <xf numFmtId="9" fontId="9" fillId="0" borderId="0" xfId="2" applyFont="1" applyFill="1"/>
    <xf numFmtId="9" fontId="9" fillId="0" borderId="2" xfId="2" applyFont="1" applyFill="1" applyBorder="1"/>
    <xf numFmtId="170" fontId="4" fillId="0" borderId="2" xfId="0" applyNumberFormat="1" applyFont="1" applyBorder="1"/>
    <xf numFmtId="171" fontId="4" fillId="0" borderId="2" xfId="0" applyNumberFormat="1" applyFont="1" applyBorder="1"/>
    <xf numFmtId="0" fontId="0" fillId="4" borderId="1" xfId="0" applyFill="1" applyBorder="1"/>
    <xf numFmtId="0" fontId="9" fillId="3" borderId="0" xfId="0" applyFont="1" applyFill="1"/>
    <xf numFmtId="9" fontId="10" fillId="3" borderId="0" xfId="2" applyFont="1" applyFill="1"/>
    <xf numFmtId="0" fontId="10" fillId="3" borderId="0" xfId="0" applyFont="1" applyFill="1"/>
    <xf numFmtId="0" fontId="9" fillId="0" borderId="0" xfId="0" applyFont="1"/>
    <xf numFmtId="0" fontId="7" fillId="0" borderId="0" xfId="0" applyFont="1"/>
    <xf numFmtId="0" fontId="9" fillId="0" borderId="2" xfId="0" applyFont="1" applyBorder="1"/>
    <xf numFmtId="43" fontId="0" fillId="0" borderId="0" xfId="1" applyFont="1"/>
    <xf numFmtId="0" fontId="10" fillId="0" borderId="0" xfId="0" applyFont="1" applyFill="1"/>
    <xf numFmtId="9" fontId="10" fillId="0" borderId="0" xfId="2" applyFont="1" applyFill="1"/>
    <xf numFmtId="173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 applyFill="1" applyBorder="1"/>
    <xf numFmtId="172" fontId="4" fillId="0" borderId="0" xfId="0" applyNumberFormat="1" applyFont="1"/>
    <xf numFmtId="0" fontId="0" fillId="0" borderId="0" xfId="0" applyFont="1"/>
    <xf numFmtId="9" fontId="5" fillId="0" borderId="0" xfId="0" applyNumberFormat="1" applyFont="1" applyBorder="1"/>
    <xf numFmtId="0" fontId="4" fillId="0" borderId="2" xfId="2" applyNumberFormat="1" applyFont="1" applyBorder="1"/>
    <xf numFmtId="0" fontId="0" fillId="0" borderId="2" xfId="2" applyNumberFormat="1" applyFont="1" applyBorder="1"/>
    <xf numFmtId="172" fontId="4" fillId="0" borderId="0" xfId="0" applyNumberFormat="1" applyFont="1" applyBorder="1"/>
    <xf numFmtId="0" fontId="13" fillId="0" borderId="0" xfId="0" applyFont="1"/>
    <xf numFmtId="0" fontId="11" fillId="0" borderId="0" xfId="3"/>
    <xf numFmtId="0" fontId="14" fillId="0" borderId="0" xfId="0" applyFont="1"/>
    <xf numFmtId="0" fontId="15" fillId="0" borderId="0" xfId="0" applyFont="1" applyAlignment="1">
      <alignment vertical="top"/>
    </xf>
    <xf numFmtId="171" fontId="3" fillId="0" borderId="1" xfId="0" applyNumberFormat="1" applyFont="1" applyBorder="1"/>
    <xf numFmtId="172" fontId="16" fillId="0" borderId="0" xfId="0" applyNumberFormat="1" applyFont="1"/>
    <xf numFmtId="172" fontId="17" fillId="0" borderId="0" xfId="0" applyNumberFormat="1" applyFont="1"/>
    <xf numFmtId="9" fontId="17" fillId="0" borderId="14" xfId="0" applyNumberFormat="1" applyFont="1" applyBorder="1"/>
    <xf numFmtId="0" fontId="17" fillId="0" borderId="0" xfId="0" applyNumberFormat="1" applyFont="1"/>
    <xf numFmtId="9" fontId="17" fillId="0" borderId="13" xfId="0" applyNumberFormat="1" applyFont="1" applyBorder="1"/>
    <xf numFmtId="9" fontId="17" fillId="0" borderId="12" xfId="0" applyNumberFormat="1" applyFont="1" applyBorder="1"/>
    <xf numFmtId="169" fontId="17" fillId="0" borderId="0" xfId="2" applyNumberFormat="1" applyFont="1"/>
    <xf numFmtId="169" fontId="17" fillId="0" borderId="0" xfId="0" applyNumberFormat="1" applyFont="1"/>
    <xf numFmtId="170" fontId="18" fillId="0" borderId="1" xfId="0" applyNumberFormat="1" applyFont="1" applyBorder="1"/>
    <xf numFmtId="0" fontId="17" fillId="0" borderId="0" xfId="0" applyFont="1"/>
    <xf numFmtId="169" fontId="17" fillId="0" borderId="0" xfId="0" applyNumberFormat="1" applyFont="1" applyFill="1"/>
    <xf numFmtId="9" fontId="17" fillId="4" borderId="0" xfId="0" applyNumberFormat="1" applyFont="1" applyFill="1"/>
    <xf numFmtId="9" fontId="17" fillId="0" borderId="0" xfId="2" applyFont="1" applyAlignment="1">
      <alignment horizontal="right"/>
    </xf>
    <xf numFmtId="43" fontId="17" fillId="0" borderId="0" xfId="1" applyFont="1" applyAlignment="1">
      <alignment horizontal="right"/>
    </xf>
    <xf numFmtId="169" fontId="17" fillId="0" borderId="0" xfId="2" applyNumberFormat="1" applyFont="1" applyBorder="1"/>
    <xf numFmtId="166" fontId="17" fillId="0" borderId="0" xfId="1" applyNumberFormat="1" applyFont="1" applyAlignment="1">
      <alignment horizontal="right"/>
    </xf>
    <xf numFmtId="166" fontId="17" fillId="0" borderId="0" xfId="1" applyNumberFormat="1" applyFont="1"/>
    <xf numFmtId="43" fontId="17" fillId="0" borderId="0" xfId="1" applyFont="1"/>
    <xf numFmtId="172" fontId="17" fillId="0" borderId="0" xfId="1" applyNumberFormat="1" applyFont="1"/>
    <xf numFmtId="166" fontId="17" fillId="0" borderId="0" xfId="0" applyNumberFormat="1" applyFont="1"/>
    <xf numFmtId="168" fontId="17" fillId="0" borderId="0" xfId="0" applyNumberFormat="1" applyFont="1"/>
    <xf numFmtId="43" fontId="17" fillId="0" borderId="0" xfId="0" applyNumberFormat="1" applyFont="1"/>
    <xf numFmtId="0" fontId="17" fillId="0" borderId="0" xfId="0" applyFont="1" applyAlignment="1">
      <alignment horizontal="right"/>
    </xf>
    <xf numFmtId="14" fontId="17" fillId="0" borderId="0" xfId="0" applyNumberFormat="1" applyFont="1"/>
    <xf numFmtId="172" fontId="6" fillId="0" borderId="0" xfId="0" applyNumberFormat="1" applyFont="1"/>
    <xf numFmtId="170" fontId="3" fillId="0" borderId="0" xfId="0" applyNumberFormat="1" applyFont="1"/>
    <xf numFmtId="170" fontId="3" fillId="0" borderId="1" xfId="0" applyNumberFormat="1" applyFont="1" applyBorder="1"/>
    <xf numFmtId="14" fontId="16" fillId="0" borderId="0" xfId="0" applyNumberFormat="1" applyFont="1"/>
    <xf numFmtId="172" fontId="19" fillId="0" borderId="2" xfId="0" applyNumberFormat="1" applyFont="1" applyBorder="1"/>
    <xf numFmtId="172" fontId="19" fillId="0" borderId="0" xfId="0" applyNumberFormat="1" applyFont="1" applyBorder="1"/>
    <xf numFmtId="172" fontId="6" fillId="0" borderId="1" xfId="0" applyNumberFormat="1" applyFont="1" applyBorder="1"/>
    <xf numFmtId="0" fontId="20" fillId="5" borderId="0" xfId="0" applyFont="1" applyFill="1" applyAlignment="1">
      <alignment horizontal="left" vertical="center" readingOrder="1"/>
    </xf>
    <xf numFmtId="0" fontId="21" fillId="5" borderId="0" xfId="4" applyFont="1" applyFill="1" applyAlignment="1">
      <alignment vertical="center"/>
    </xf>
    <xf numFmtId="37" fontId="22" fillId="5" borderId="0" xfId="0" applyNumberFormat="1" applyFont="1" applyFill="1" applyAlignment="1">
      <alignment vertical="top"/>
    </xf>
    <xf numFmtId="37" fontId="23" fillId="5" borderId="0" xfId="0" applyNumberFormat="1" applyFont="1" applyFill="1" applyAlignment="1">
      <alignment horizontal="left" vertical="top"/>
    </xf>
    <xf numFmtId="0" fontId="24" fillId="0" borderId="0" xfId="0" applyFont="1"/>
    <xf numFmtId="0" fontId="5" fillId="3" borderId="0" xfId="0" applyFont="1" applyFill="1"/>
    <xf numFmtId="43" fontId="4" fillId="0" borderId="0" xfId="0" applyNumberFormat="1" applyFont="1"/>
    <xf numFmtId="10" fontId="4" fillId="0" borderId="0" xfId="2" applyNumberFormat="1" applyFont="1" applyFill="1" applyBorder="1"/>
  </cellXfs>
  <cellStyles count="7">
    <cellStyle name="Comma" xfId="1" builtinId="3"/>
    <cellStyle name="Hyperlink" xfId="3" builtinId="8"/>
    <cellStyle name="Hyperlink 2" xfId="5" xr:uid="{2EADCACA-9DC6-499C-9A7A-10ABCD65575D}"/>
    <cellStyle name="Normal" xfId="0" builtinId="0"/>
    <cellStyle name="Normal 2" xfId="4" xr:uid="{1A080753-3D9D-4116-BCC3-2C220D74AEF1}"/>
    <cellStyle name="Normal 2 2" xfId="6" xr:uid="{FE0294F0-49E9-4629-A326-72B8216DD56D}"/>
    <cellStyle name="Percent" xfId="2" builtinId="5"/>
  </cellStyles>
  <dxfs count="2"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0A00D6"/>
      <color rgb="FF0B0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Dashboard!$Y$3:$AB$3</c:f>
              <c:numCache>
                <c:formatCode>0\F</c:formatCode>
                <c:ptCount val="4"/>
                <c:pt idx="0" formatCode="0\A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</c:numCache>
            </c:numRef>
          </c:cat>
          <c:val>
            <c:numRef>
              <c:f>Dashboard!$Y$4:$AB$4</c:f>
              <c:numCache>
                <c:formatCode>#,##0.0_);\(#,##0.0\)</c:formatCode>
                <c:ptCount val="4"/>
                <c:pt idx="0">
                  <c:v>67771.14</c:v>
                </c:pt>
                <c:pt idx="1">
                  <c:v>221052.27600000001</c:v>
                </c:pt>
                <c:pt idx="2">
                  <c:v>652596.07104000018</c:v>
                </c:pt>
                <c:pt idx="3">
                  <c:v>1746804.3921273602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4-4874-B858-319877971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-27"/>
        <c:axId val="107572255"/>
        <c:axId val="109835807"/>
      </c:barChart>
      <c:catAx>
        <c:axId val="107572255"/>
        <c:scaling>
          <c:orientation val="minMax"/>
        </c:scaling>
        <c:delete val="0"/>
        <c:axPos val="b"/>
        <c:numFmt formatCode="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35807"/>
        <c:crosses val="autoZero"/>
        <c:auto val="1"/>
        <c:lblAlgn val="ctr"/>
        <c:lblOffset val="100"/>
        <c:noMultiLvlLbl val="0"/>
      </c:catAx>
      <c:valAx>
        <c:axId val="109835807"/>
        <c:scaling>
          <c:orientation val="minMax"/>
        </c:scaling>
        <c:delete val="0"/>
        <c:axPos val="l"/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255"/>
        <c:crosses val="autoZero"/>
        <c:crossBetween val="between"/>
        <c:majorUnit val="750000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Net Earnings &amp; EBITDA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38648293963255"/>
          <c:y val="0.13467592592592595"/>
          <c:w val="0.85605796150481195"/>
          <c:h val="0.828865193934091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Dashboard!$W$5</c:f>
              <c:strCache>
                <c:ptCount val="1"/>
                <c:pt idx="0">
                  <c:v>EBITDA 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Dashboard!$Y$3:$AB$3</c:f>
              <c:numCache>
                <c:formatCode>0\F</c:formatCode>
                <c:ptCount val="4"/>
                <c:pt idx="0" formatCode="0\A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</c:numCache>
            </c:numRef>
          </c:cat>
          <c:val>
            <c:numRef>
              <c:f>Dashboard!$Y$5:$AB$5</c:f>
              <c:numCache>
                <c:formatCode>#,##0.0_);\(#,##0.0\)</c:formatCode>
                <c:ptCount val="4"/>
                <c:pt idx="0">
                  <c:v>-30668.801010962386</c:v>
                </c:pt>
                <c:pt idx="1">
                  <c:v>-64507.372036674933</c:v>
                </c:pt>
                <c:pt idx="2">
                  <c:v>9161.1519949712329</c:v>
                </c:pt>
                <c:pt idx="3">
                  <c:v>228199.56276828473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C-44D0-B0E0-A9C4A42785CC}"/>
            </c:ext>
          </c:extLst>
        </c:ser>
        <c:ser>
          <c:idx val="1"/>
          <c:order val="1"/>
          <c:tx>
            <c:strRef>
              <c:f>Dashboard!$W$7</c:f>
              <c:strCache>
                <c:ptCount val="1"/>
                <c:pt idx="0">
                  <c:v>Net Earnings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Dashboard!$Y$3:$AB$3</c:f>
              <c:numCache>
                <c:formatCode>0\F</c:formatCode>
                <c:ptCount val="4"/>
                <c:pt idx="0" formatCode="0\A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</c:numCache>
            </c:numRef>
          </c:cat>
          <c:val>
            <c:numRef>
              <c:f>Dashboard!$Y$7:$AB$7</c:f>
              <c:numCache>
                <c:formatCode>#,##0.0_);\(#,##0.0\)</c:formatCode>
                <c:ptCount val="4"/>
                <c:pt idx="0">
                  <c:v>-31455.301010962386</c:v>
                </c:pt>
                <c:pt idx="1">
                  <c:v>-65739.372036674933</c:v>
                </c:pt>
                <c:pt idx="2">
                  <c:v>6175.5519949712325</c:v>
                </c:pt>
                <c:pt idx="3">
                  <c:v>190613.09233938006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DC-44D0-B0E0-A9C4A4278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107567375"/>
        <c:axId val="107569039"/>
      </c:barChart>
      <c:catAx>
        <c:axId val="107567375"/>
        <c:scaling>
          <c:orientation val="minMax"/>
        </c:scaling>
        <c:delete val="0"/>
        <c:axPos val="b"/>
        <c:numFmt formatCode="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9039"/>
        <c:crosses val="autoZero"/>
        <c:auto val="1"/>
        <c:lblAlgn val="ctr"/>
        <c:lblOffset val="100"/>
        <c:noMultiLvlLbl val="0"/>
      </c:catAx>
      <c:valAx>
        <c:axId val="107569039"/>
        <c:scaling>
          <c:orientation val="minMax"/>
        </c:scaling>
        <c:delete val="0"/>
        <c:axPos val="l"/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7375"/>
        <c:crosses val="autoZero"/>
        <c:crossBetween val="between"/>
        <c:majorUnit val="150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783858267716535"/>
          <c:y val="0.15335593467483233"/>
          <c:w val="0.3165448381452318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Revenue Composition (2023A)</a:t>
            </a:r>
          </a:p>
        </c:rich>
      </c:tx>
      <c:layout>
        <c:manualLayout>
          <c:xMode val="edge"/>
          <c:yMode val="edge"/>
          <c:x val="0.17174257627042069"/>
          <c:y val="1.5686274509803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188975481730402"/>
          <c:y val="0.17824836601307192"/>
          <c:w val="0.52702477660968017"/>
          <c:h val="0.74920199680922228"/>
        </c:manualLayout>
      </c:layout>
      <c:pieChart>
        <c:varyColors val="1"/>
        <c:ser>
          <c:idx val="0"/>
          <c:order val="0"/>
          <c:tx>
            <c:strRef>
              <c:f>Dashboard!$Y$10</c:f>
              <c:strCache>
                <c:ptCount val="1"/>
                <c:pt idx="0">
                  <c:v>2023A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00206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6C5-4F0B-9453-BE7C3E2F1C45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C5-4F0B-9453-BE7C3E2F1C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6C5-4F0B-9453-BE7C3E2F1C45}"/>
              </c:ext>
            </c:extLst>
          </c:dPt>
          <c:dLbls>
            <c:dLbl>
              <c:idx val="0"/>
              <c:layout>
                <c:manualLayout>
                  <c:x val="-9.1954009672693099E-2"/>
                  <c:y val="-0.1568627450980392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6C5-4F0B-9453-BE7C3E2F1C45}"/>
                </c:ext>
              </c:extLst>
            </c:dLbl>
            <c:dLbl>
              <c:idx val="1"/>
              <c:layout>
                <c:manualLayout>
                  <c:x val="8.8275849285785177E-2"/>
                  <c:y val="0.1150326797385620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6C5-4F0B-9453-BE7C3E2F1C45}"/>
                </c:ext>
              </c:extLst>
            </c:dLbl>
            <c:dLbl>
              <c:idx val="2"/>
              <c:layout>
                <c:manualLayout>
                  <c:x val="4.4137924642892623E-2"/>
                  <c:y val="0.1307189542483660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6C5-4F0B-9453-BE7C3E2F1C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Dashboard!$W$11:$W$13</c:f>
              <c:strCache>
                <c:ptCount val="3"/>
                <c:pt idx="0">
                  <c:v>End-of-term</c:v>
                </c:pt>
                <c:pt idx="1">
                  <c:v>Gold Mock</c:v>
                </c:pt>
                <c:pt idx="2">
                  <c:v>Platinum service</c:v>
                </c:pt>
              </c:strCache>
            </c:strRef>
          </c:cat>
          <c:val>
            <c:numRef>
              <c:f>Dashboard!$Y$11:$Y$13</c:f>
              <c:numCache>
                <c:formatCode>#,##0.0_);\(#,##0.0\)</c:formatCode>
                <c:ptCount val="3"/>
                <c:pt idx="0">
                  <c:v>55351.14</c:v>
                </c:pt>
                <c:pt idx="1">
                  <c:v>6918</c:v>
                </c:pt>
                <c:pt idx="2">
                  <c:v>5502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5-4F0B-9453-BE7C3E2F1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693182920708458E-3"/>
          <c:y val="0.24248304256085637"/>
          <c:w val="0.28001979834992513"/>
          <c:h val="0.5588241469816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882033133891158"/>
          <c:y val="7.0853462157809979E-2"/>
          <c:w val="0.67989029461204986"/>
          <c:h val="0.81125094145840482"/>
        </c:manualLayout>
      </c:layout>
      <c:barChart>
        <c:barDir val="bar"/>
        <c:grouping val="clustered"/>
        <c:varyColors val="0"/>
        <c:ser>
          <c:idx val="1"/>
          <c:order val="1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Outputs!$O$29:$O$31</c:f>
              <c:strCache>
                <c:ptCount val="3"/>
                <c:pt idx="0">
                  <c:v>Base Case Enterprise Value</c:v>
                </c:pt>
                <c:pt idx="1">
                  <c:v>Bull Case Enterprise Value</c:v>
                </c:pt>
                <c:pt idx="2">
                  <c:v>Bear Case Enterprise Value</c:v>
                </c:pt>
              </c:strCache>
            </c:strRef>
          </c:cat>
          <c:val>
            <c:numRef>
              <c:f>Outputs!$Q$29:$Q$31</c:f>
              <c:numCache>
                <c:formatCode>#,##0.0_);\(#,##0.0\)</c:formatCode>
                <c:ptCount val="3"/>
                <c:pt idx="0">
                  <c:v>721577.66005370696</c:v>
                </c:pt>
                <c:pt idx="1">
                  <c:v>1212631.3637927796</c:v>
                </c:pt>
                <c:pt idx="2">
                  <c:v>347360.32125596137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AC-45B6-8170-2DF4CB908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axId val="813010431"/>
        <c:axId val="8130179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Outputs!$O$29:$O$31</c15:sqref>
                        </c15:formulaRef>
                      </c:ext>
                    </c:extLst>
                    <c:strCache>
                      <c:ptCount val="3"/>
                      <c:pt idx="0">
                        <c:v>Base Case Enterprise Value</c:v>
                      </c:pt>
                      <c:pt idx="1">
                        <c:v>Bull Case Enterprise Value</c:v>
                      </c:pt>
                      <c:pt idx="2">
                        <c:v>Bear Case Enterprise Value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Outputs!$P$29:$P$31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3AC-45B6-8170-2DF4CB9084B2}"/>
                  </c:ext>
                </c:extLst>
              </c15:ser>
            </c15:filteredBarSeries>
          </c:ext>
        </c:extLst>
      </c:barChart>
      <c:catAx>
        <c:axId val="813010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017919"/>
        <c:crosses val="autoZero"/>
        <c:auto val="1"/>
        <c:lblAlgn val="ctr"/>
        <c:lblOffset val="100"/>
        <c:noMultiLvlLbl val="0"/>
      </c:catAx>
      <c:valAx>
        <c:axId val="813017919"/>
        <c:scaling>
          <c:orientation val="minMax"/>
        </c:scaling>
        <c:delete val="0"/>
        <c:axPos val="b"/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010431"/>
        <c:crosses val="autoZero"/>
        <c:crossBetween val="between"/>
        <c:majorUnit val="150000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78770717737864"/>
          <c:y val="4.0284239108305787E-2"/>
          <c:w val="0.86596846491144064"/>
          <c:h val="0.85246703291000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Outputs!$O$6</c:f>
              <c:strCache>
                <c:ptCount val="1"/>
                <c:pt idx="0">
                  <c:v>Base Case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Outputs!$Q$5:$S$5</c:f>
              <c:numCache>
                <c:formatCode>0\F</c:formatCode>
                <c:ptCount val="3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</c:numCache>
            </c:numRef>
          </c:cat>
          <c:val>
            <c:numRef>
              <c:f>Outputs!$Q$6:$S$6</c:f>
              <c:numCache>
                <c:formatCode>#,##0.0_);\(#,##0.0\)</c:formatCode>
                <c:ptCount val="3"/>
                <c:pt idx="0">
                  <c:v>221404.56</c:v>
                </c:pt>
                <c:pt idx="1">
                  <c:v>785986.18799999997</c:v>
                </c:pt>
                <c:pt idx="2">
                  <c:v>2489611.25049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0-48A5-8257-3CBD00C49454}"/>
            </c:ext>
          </c:extLst>
        </c:ser>
        <c:ser>
          <c:idx val="1"/>
          <c:order val="1"/>
          <c:tx>
            <c:strRef>
              <c:f>Outputs!$O$7</c:f>
              <c:strCache>
                <c:ptCount val="1"/>
                <c:pt idx="0">
                  <c:v>Bull Case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Outputs!$Q$5:$S$5</c:f>
              <c:numCache>
                <c:formatCode>0\F</c:formatCode>
                <c:ptCount val="3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</c:numCache>
            </c:numRef>
          </c:cat>
          <c:val>
            <c:numRef>
              <c:f>Outputs!$Q$7:$S$7</c:f>
              <c:numCache>
                <c:formatCode>#,##0.0_);\(#,##0.0\)</c:formatCode>
                <c:ptCount val="3"/>
                <c:pt idx="0">
                  <c:v>297692.84399999992</c:v>
                </c:pt>
                <c:pt idx="1">
                  <c:v>1170949.6586399998</c:v>
                </c:pt>
                <c:pt idx="2">
                  <c:v>4123316.0816786392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A0-48A5-8257-3CBD00C49454}"/>
            </c:ext>
          </c:extLst>
        </c:ser>
        <c:ser>
          <c:idx val="2"/>
          <c:order val="2"/>
          <c:tx>
            <c:strRef>
              <c:f>Outputs!$O$8</c:f>
              <c:strCache>
                <c:ptCount val="1"/>
                <c:pt idx="0">
                  <c:v>Bear Case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Outputs!$Q$5:$S$5</c:f>
              <c:numCache>
                <c:formatCode>0\F</c:formatCode>
                <c:ptCount val="3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</c:numCache>
            </c:numRef>
          </c:cat>
          <c:val>
            <c:numRef>
              <c:f>Outputs!$Q$8:$S$8</c:f>
              <c:numCache>
                <c:formatCode>#,##0.0_);\(#,##0.0\)</c:formatCode>
                <c:ptCount val="3"/>
                <c:pt idx="0">
                  <c:v>221052.27600000001</c:v>
                </c:pt>
                <c:pt idx="1">
                  <c:v>652596.07104000018</c:v>
                </c:pt>
                <c:pt idx="2">
                  <c:v>1746804.3921273602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A0-48A5-8257-3CBD00C49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3"/>
        <c:overlap val="-27"/>
        <c:axId val="2079794320"/>
        <c:axId val="2079777680"/>
      </c:barChart>
      <c:catAx>
        <c:axId val="2079794320"/>
        <c:scaling>
          <c:orientation val="minMax"/>
        </c:scaling>
        <c:delete val="0"/>
        <c:axPos val="b"/>
        <c:numFmt formatCode="0\F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777680"/>
        <c:crosses val="autoZero"/>
        <c:auto val="1"/>
        <c:lblAlgn val="ctr"/>
        <c:lblOffset val="100"/>
        <c:noMultiLvlLbl val="0"/>
      </c:catAx>
      <c:valAx>
        <c:axId val="2079777680"/>
        <c:scaling>
          <c:orientation val="minMax"/>
        </c:scaling>
        <c:delete val="0"/>
        <c:axPos val="l"/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794320"/>
        <c:crosses val="autoZero"/>
        <c:crossBetween val="between"/>
        <c:majorUnit val="1000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93132377766206"/>
          <c:y val="0.21563993718349239"/>
          <c:w val="0.37144205683168097"/>
          <c:h val="9.7403323404266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90302683796573"/>
          <c:y val="6.0562911710087E-2"/>
          <c:w val="0.87285314525085356"/>
          <c:h val="0.832188172927553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Outputs!$O$6</c:f>
              <c:strCache>
                <c:ptCount val="1"/>
                <c:pt idx="0">
                  <c:v>Base Case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Outputs!$Q$5:$S$5</c:f>
              <c:numCache>
                <c:formatCode>0\F</c:formatCode>
                <c:ptCount val="3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</c:numCache>
            </c:numRef>
          </c:cat>
          <c:val>
            <c:numRef>
              <c:f>Outputs!$Q$6:$S$6</c:f>
              <c:numCache>
                <c:formatCode>#,##0.0_);\(#,##0.0\)</c:formatCode>
                <c:ptCount val="3"/>
                <c:pt idx="0">
                  <c:v>221404.56</c:v>
                </c:pt>
                <c:pt idx="1">
                  <c:v>785986.18799999997</c:v>
                </c:pt>
                <c:pt idx="2">
                  <c:v>2489611.25049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5-4AED-A6AA-4D87F67996B8}"/>
            </c:ext>
          </c:extLst>
        </c:ser>
        <c:ser>
          <c:idx val="1"/>
          <c:order val="1"/>
          <c:tx>
            <c:strRef>
              <c:f>Outputs!$O$7</c:f>
              <c:strCache>
                <c:ptCount val="1"/>
                <c:pt idx="0">
                  <c:v>Bull Case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Outputs!$Q$5:$S$5</c:f>
              <c:numCache>
                <c:formatCode>0\F</c:formatCode>
                <c:ptCount val="3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</c:numCache>
            </c:numRef>
          </c:cat>
          <c:val>
            <c:numRef>
              <c:f>Outputs!$Q$7:$S$7</c:f>
              <c:numCache>
                <c:formatCode>#,##0.0_);\(#,##0.0\)</c:formatCode>
                <c:ptCount val="3"/>
                <c:pt idx="0">
                  <c:v>297692.84399999992</c:v>
                </c:pt>
                <c:pt idx="1">
                  <c:v>1170949.6586399998</c:v>
                </c:pt>
                <c:pt idx="2">
                  <c:v>4123316.0816786392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25-4AED-A6AA-4D87F67996B8}"/>
            </c:ext>
          </c:extLst>
        </c:ser>
        <c:ser>
          <c:idx val="2"/>
          <c:order val="2"/>
          <c:tx>
            <c:strRef>
              <c:f>Outputs!$O$8</c:f>
              <c:strCache>
                <c:ptCount val="1"/>
                <c:pt idx="0">
                  <c:v>Bear Case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Outputs!$Q$5:$S$5</c:f>
              <c:numCache>
                <c:formatCode>0\F</c:formatCode>
                <c:ptCount val="3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</c:numCache>
            </c:numRef>
          </c:cat>
          <c:val>
            <c:numRef>
              <c:f>Outputs!$Q$8:$S$8</c:f>
              <c:numCache>
                <c:formatCode>#,##0.0_);\(#,##0.0\)</c:formatCode>
                <c:ptCount val="3"/>
                <c:pt idx="0">
                  <c:v>221052.27600000001</c:v>
                </c:pt>
                <c:pt idx="1">
                  <c:v>652596.07104000018</c:v>
                </c:pt>
                <c:pt idx="2">
                  <c:v>1746804.3921273602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25-4AED-A6AA-4D87F6799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3"/>
        <c:overlap val="-27"/>
        <c:axId val="2079794320"/>
        <c:axId val="2079777680"/>
      </c:barChart>
      <c:catAx>
        <c:axId val="2079794320"/>
        <c:scaling>
          <c:orientation val="minMax"/>
        </c:scaling>
        <c:delete val="0"/>
        <c:axPos val="b"/>
        <c:numFmt formatCode="0\F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777680"/>
        <c:crosses val="autoZero"/>
        <c:auto val="1"/>
        <c:lblAlgn val="ctr"/>
        <c:lblOffset val="100"/>
        <c:noMultiLvlLbl val="0"/>
      </c:catAx>
      <c:valAx>
        <c:axId val="2079777680"/>
        <c:scaling>
          <c:orientation val="minMax"/>
        </c:scaling>
        <c:delete val="0"/>
        <c:axPos val="l"/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794320"/>
        <c:crosses val="autoZero"/>
        <c:crossBetween val="between"/>
        <c:majorUnit val="1000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641897960002356"/>
          <c:y val="4.8339434088663501E-2"/>
          <c:w val="0.37144205683168097"/>
          <c:h val="9.7403323404266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8479481961454E-2"/>
          <c:y val="5.0925925925925923E-2"/>
          <c:w val="0.88613638055387289"/>
          <c:h val="0.912615193934091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Outputs!$O$12</c:f>
              <c:strCache>
                <c:ptCount val="1"/>
                <c:pt idx="0">
                  <c:v>Base Case EBITDA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Outputs!$Q$17:$S$17</c:f>
              <c:numCache>
                <c:formatCode>0\F</c:formatCode>
                <c:ptCount val="3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</c:numCache>
            </c:numRef>
          </c:cat>
          <c:val>
            <c:numRef>
              <c:f>Outputs!$Q$12:$S$12</c:f>
              <c:numCache>
                <c:formatCode>#,##0.0_);\(#,##0.0\)</c:formatCode>
                <c:ptCount val="3"/>
                <c:pt idx="0">
                  <c:v>-56100.983696837386</c:v>
                </c:pt>
                <c:pt idx="1">
                  <c:v>61886.797491532539</c:v>
                </c:pt>
                <c:pt idx="2">
                  <c:v>452035.43926571589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E-4241-B9DD-AFA457629745}"/>
            </c:ext>
          </c:extLst>
        </c:ser>
        <c:ser>
          <c:idx val="1"/>
          <c:order val="1"/>
          <c:tx>
            <c:strRef>
              <c:f>Outputs!$O$18</c:f>
              <c:strCache>
                <c:ptCount val="1"/>
                <c:pt idx="0">
                  <c:v>Base Case FCFF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Outputs!$Q$17:$S$17</c:f>
              <c:numCache>
                <c:formatCode>0\F</c:formatCode>
                <c:ptCount val="3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</c:numCache>
            </c:numRef>
          </c:cat>
          <c:val>
            <c:numRef>
              <c:f>Outputs!$Q$18:$S$18</c:f>
              <c:numCache>
                <c:formatCode>#,##0.0_);\(#,##0.0\)</c:formatCode>
                <c:ptCount val="3"/>
                <c:pt idx="0">
                  <c:v>-27429.213398332195</c:v>
                </c:pt>
                <c:pt idx="1">
                  <c:v>108148.82246059243</c:v>
                </c:pt>
                <c:pt idx="2">
                  <c:v>540229.61362508673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CE-4241-B9DD-AFA457629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794736"/>
        <c:axId val="2079790992"/>
      </c:barChart>
      <c:catAx>
        <c:axId val="2079794736"/>
        <c:scaling>
          <c:orientation val="minMax"/>
        </c:scaling>
        <c:delete val="0"/>
        <c:axPos val="b"/>
        <c:numFmt formatCode="0\F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790992"/>
        <c:crosses val="autoZero"/>
        <c:auto val="1"/>
        <c:lblAlgn val="ctr"/>
        <c:lblOffset val="100"/>
        <c:noMultiLvlLbl val="0"/>
      </c:catAx>
      <c:valAx>
        <c:axId val="2079790992"/>
        <c:scaling>
          <c:orientation val="minMax"/>
        </c:scaling>
        <c:delete val="0"/>
        <c:axPos val="l"/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794736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978386042748489"/>
          <c:y val="4.687445319335079E-2"/>
          <c:w val="0.38575401207538218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Outputs!$Q$23:$S$23</c:f>
              <c:numCache>
                <c:formatCode>0\F</c:formatCode>
                <c:ptCount val="3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</c:numCache>
            </c:numRef>
          </c:cat>
          <c:val>
            <c:numRef>
              <c:f>Outputs!$Q$24:$S$24</c:f>
              <c:numCache>
                <c:formatCode>#,##0.0_);\(#,##0.0\)</c:formatCode>
                <c:ptCount val="3"/>
                <c:pt idx="0">
                  <c:v>-57332.983696837386</c:v>
                </c:pt>
                <c:pt idx="1">
                  <c:v>58901.197491532541</c:v>
                </c:pt>
                <c:pt idx="2">
                  <c:v>343206.99125335377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8-4F07-A76C-F68767095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1658223"/>
        <c:axId val="761662799"/>
      </c:barChart>
      <c:catAx>
        <c:axId val="761658223"/>
        <c:scaling>
          <c:orientation val="minMax"/>
        </c:scaling>
        <c:delete val="0"/>
        <c:axPos val="b"/>
        <c:numFmt formatCode="0\F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662799"/>
        <c:crosses val="autoZero"/>
        <c:auto val="1"/>
        <c:lblAlgn val="ctr"/>
        <c:lblOffset val="100"/>
        <c:noMultiLvlLbl val="0"/>
      </c:catAx>
      <c:valAx>
        <c:axId val="761662799"/>
        <c:scaling>
          <c:orientation val="minMax"/>
        </c:scaling>
        <c:delete val="0"/>
        <c:axPos val="l"/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658223"/>
        <c:crosses val="autoZero"/>
        <c:crossBetween val="between"/>
        <c:majorUnit val="100000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882033133891158"/>
          <c:y val="7.0853462157809979E-2"/>
          <c:w val="0.66457852479734214"/>
          <c:h val="0.79128304614097156"/>
        </c:manualLayout>
      </c:layout>
      <c:barChart>
        <c:barDir val="bar"/>
        <c:grouping val="clustered"/>
        <c:varyColors val="0"/>
        <c:ser>
          <c:idx val="1"/>
          <c:order val="1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Outputs!$O$29:$O$31</c:f>
              <c:strCache>
                <c:ptCount val="3"/>
                <c:pt idx="0">
                  <c:v>Base Case Enterprise Value</c:v>
                </c:pt>
                <c:pt idx="1">
                  <c:v>Bull Case Enterprise Value</c:v>
                </c:pt>
                <c:pt idx="2">
                  <c:v>Bear Case Enterprise Value</c:v>
                </c:pt>
              </c:strCache>
            </c:strRef>
          </c:cat>
          <c:val>
            <c:numRef>
              <c:f>Outputs!$Q$29:$Q$31</c:f>
              <c:numCache>
                <c:formatCode>#,##0.0_);\(#,##0.0\)</c:formatCode>
                <c:ptCount val="3"/>
                <c:pt idx="0">
                  <c:v>721577.66005370696</c:v>
                </c:pt>
                <c:pt idx="1">
                  <c:v>1212631.3637927796</c:v>
                </c:pt>
                <c:pt idx="2">
                  <c:v>347360.32125596137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0A-46C9-BB71-57DF7EB7E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axId val="813010431"/>
        <c:axId val="8130179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Outputs!$O$29:$O$31</c15:sqref>
                        </c15:formulaRef>
                      </c:ext>
                    </c:extLst>
                    <c:strCache>
                      <c:ptCount val="3"/>
                      <c:pt idx="0">
                        <c:v>Base Case Enterprise Value</c:v>
                      </c:pt>
                      <c:pt idx="1">
                        <c:v>Bull Case Enterprise Value</c:v>
                      </c:pt>
                      <c:pt idx="2">
                        <c:v>Bear Case Enterprise Value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Outputs!$P$29:$P$31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20A-46C9-BB71-57DF7EB7E28C}"/>
                  </c:ext>
                </c:extLst>
              </c15:ser>
            </c15:filteredBarSeries>
          </c:ext>
        </c:extLst>
      </c:barChart>
      <c:catAx>
        <c:axId val="813010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017919"/>
        <c:crosses val="autoZero"/>
        <c:auto val="1"/>
        <c:lblAlgn val="ctr"/>
        <c:lblOffset val="100"/>
        <c:noMultiLvlLbl val="0"/>
      </c:catAx>
      <c:valAx>
        <c:axId val="813017919"/>
        <c:scaling>
          <c:orientation val="minMax"/>
        </c:scaling>
        <c:delete val="0"/>
        <c:axPos val="b"/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010431"/>
        <c:crosses val="autoZero"/>
        <c:crossBetween val="between"/>
        <c:majorUnit val="150000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4</xdr:row>
      <xdr:rowOff>9526</xdr:rowOff>
    </xdr:from>
    <xdr:ext cx="1095375" cy="1353717"/>
    <xdr:pic>
      <xdr:nvPicPr>
        <xdr:cNvPr id="2" name="Picture 1">
          <a:extLst>
            <a:ext uri="{FF2B5EF4-FFF2-40B4-BE49-F238E27FC236}">
              <a16:creationId xmlns:a16="http://schemas.microsoft.com/office/drawing/2014/main" id="{FD11E9CC-B5A3-4E24-8A63-59F220675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771526"/>
          <a:ext cx="1095375" cy="135371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85726</xdr:colOff>
      <xdr:row>13</xdr:row>
      <xdr:rowOff>200024</xdr:rowOff>
    </xdr:from>
    <xdr:to>
      <xdr:col>7</xdr:col>
      <xdr:colOff>581026</xdr:colOff>
      <xdr:row>28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211E4B-E196-4E97-A868-B3923A7C3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552450</xdr:colOff>
      <xdr:row>14</xdr:row>
      <xdr:rowOff>0</xdr:rowOff>
    </xdr:from>
    <xdr:to>
      <xdr:col>15</xdr:col>
      <xdr:colOff>247650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917BA8-7187-4ECE-B361-748D5FB73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233362</xdr:colOff>
      <xdr:row>14</xdr:row>
      <xdr:rowOff>38098</xdr:rowOff>
    </xdr:from>
    <xdr:to>
      <xdr:col>21</xdr:col>
      <xdr:colOff>190500</xdr:colOff>
      <xdr:row>28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CEDCF6-A142-4279-B152-F9E8F484A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161924</xdr:colOff>
      <xdr:row>30</xdr:row>
      <xdr:rowOff>114300</xdr:rowOff>
    </xdr:from>
    <xdr:to>
      <xdr:col>20</xdr:col>
      <xdr:colOff>266699</xdr:colOff>
      <xdr:row>43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0A9E90-21DE-417F-9EE1-414A01463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57150</xdr:colOff>
      <xdr:row>31</xdr:row>
      <xdr:rowOff>0</xdr:rowOff>
    </xdr:from>
    <xdr:to>
      <xdr:col>10</xdr:col>
      <xdr:colOff>104776</xdr:colOff>
      <xdr:row>44</xdr:row>
      <xdr:rowOff>28574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633D58-07A6-407F-8589-14473FBA1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209549</xdr:colOff>
      <xdr:row>29</xdr:row>
      <xdr:rowOff>142876</xdr:rowOff>
    </xdr:from>
    <xdr:to>
      <xdr:col>7</xdr:col>
      <xdr:colOff>104774</xdr:colOff>
      <xdr:row>31</xdr:row>
      <xdr:rowOff>123826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BAE7837-5479-4B2E-9DEF-B72D193DAD98}"/>
            </a:ext>
          </a:extLst>
        </xdr:cNvPr>
        <xdr:cNvSpPr txBox="1"/>
      </xdr:nvSpPr>
      <xdr:spPr>
        <a:xfrm>
          <a:off x="2038349" y="5124451"/>
          <a:ext cx="23336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 Revenue By Scenario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361951</xdr:colOff>
      <xdr:row>29</xdr:row>
      <xdr:rowOff>47625</xdr:rowOff>
    </xdr:from>
    <xdr:to>
      <xdr:col>18</xdr:col>
      <xdr:colOff>552451</xdr:colOff>
      <xdr:row>31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E6B6714-25DB-4540-AC48-18EC5F05867D}"/>
            </a:ext>
          </a:extLst>
        </xdr:cNvPr>
        <xdr:cNvSpPr txBox="1"/>
      </xdr:nvSpPr>
      <xdr:spPr>
        <a:xfrm>
          <a:off x="8896351" y="5600700"/>
          <a:ext cx="26289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Enterprise Value By Scenario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1</xdr:col>
      <xdr:colOff>9525</xdr:colOff>
      <xdr:row>2</xdr:row>
      <xdr:rowOff>28575</xdr:rowOff>
    </xdr:from>
    <xdr:to>
      <xdr:col>21</xdr:col>
      <xdr:colOff>0</xdr:colOff>
      <xdr:row>11</xdr:row>
      <xdr:rowOff>189650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CF8E719-84BA-4B4F-900F-9858863199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401" t="961" r="817" b="4822"/>
        <a:stretch/>
      </xdr:blipFill>
      <xdr:spPr>
        <a:xfrm>
          <a:off x="619125" y="419100"/>
          <a:ext cx="11839575" cy="1885100"/>
        </a:xfrm>
        <a:prstGeom prst="rect">
          <a:avLst/>
        </a:prstGeom>
      </xdr:spPr>
    </xdr:pic>
    <xdr:clientData/>
  </xdr:twoCellAnchor>
  <xdr:oneCellAnchor>
    <xdr:from>
      <xdr:col>16</xdr:col>
      <xdr:colOff>571500</xdr:colOff>
      <xdr:row>2</xdr:row>
      <xdr:rowOff>66675</xdr:rowOff>
    </xdr:from>
    <xdr:ext cx="1447800" cy="1789261"/>
    <xdr:pic>
      <xdr:nvPicPr>
        <xdr:cNvPr id="12" name="Picture 11">
          <a:extLst>
            <a:ext uri="{FF2B5EF4-FFF2-40B4-BE49-F238E27FC236}">
              <a16:creationId xmlns:a16="http://schemas.microsoft.com/office/drawing/2014/main" id="{160D2AA3-20DB-415A-9A23-24C050851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457200"/>
          <a:ext cx="1447800" cy="178926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581024</xdr:colOff>
      <xdr:row>4</xdr:row>
      <xdr:rowOff>19051</xdr:rowOff>
    </xdr:from>
    <xdr:to>
      <xdr:col>10</xdr:col>
      <xdr:colOff>19050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4EDF34-82B3-4B0C-B876-1980BEFE8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566736</xdr:colOff>
      <xdr:row>19</xdr:row>
      <xdr:rowOff>28574</xdr:rowOff>
    </xdr:from>
    <xdr:to>
      <xdr:col>10</xdr:col>
      <xdr:colOff>19049</xdr:colOff>
      <xdr:row>31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70A3B1-7D5A-46A2-8CCA-ADD879396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557211</xdr:colOff>
      <xdr:row>33</xdr:row>
      <xdr:rowOff>38100</xdr:rowOff>
    </xdr:from>
    <xdr:to>
      <xdr:col>10</xdr:col>
      <xdr:colOff>28574</xdr:colOff>
      <xdr:row>43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D6AAC8-7FBF-4A61-8D8A-28542DD34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528637</xdr:colOff>
      <xdr:row>45</xdr:row>
      <xdr:rowOff>19050</xdr:rowOff>
    </xdr:from>
    <xdr:to>
      <xdr:col>10</xdr:col>
      <xdr:colOff>9525</xdr:colOff>
      <xdr:row>55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D6CBB8-E753-4930-9ADB-D1144C877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A4D8-4812-4EBF-AB5F-5BA803CE4488}">
  <dimension ref="A1:Z177"/>
  <sheetViews>
    <sheetView showGridLines="0" tabSelected="1" workbookViewId="0">
      <selection activeCell="F17" sqref="F17"/>
    </sheetView>
  </sheetViews>
  <sheetFormatPr defaultRowHeight="15" x14ac:dyDescent="0.25"/>
  <cols>
    <col min="1" max="1" width="9.140625" style="4"/>
    <col min="15" max="15" width="9.85546875" customWidth="1"/>
  </cols>
  <sheetData>
    <row r="1" spans="1:26" x14ac:dyDescent="0.25">
      <c r="A1" s="207"/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4"/>
    </row>
    <row r="2" spans="1:26" x14ac:dyDescent="0.25">
      <c r="A2" s="207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4"/>
    </row>
    <row r="3" spans="1:26" x14ac:dyDescent="0.25">
      <c r="A3" s="207"/>
    </row>
    <row r="4" spans="1:26" x14ac:dyDescent="0.25">
      <c r="A4" s="207"/>
    </row>
    <row r="5" spans="1:26" ht="61.5" x14ac:dyDescent="0.9">
      <c r="A5" s="207"/>
      <c r="E5" s="168" t="s">
        <v>172</v>
      </c>
    </row>
    <row r="6" spans="1:26" ht="3.75" customHeight="1" x14ac:dyDescent="0.25">
      <c r="A6" s="207"/>
    </row>
    <row r="7" spans="1:26" ht="46.5" x14ac:dyDescent="0.25">
      <c r="A7" s="207"/>
      <c r="H7" s="169" t="s">
        <v>173</v>
      </c>
    </row>
    <row r="8" spans="1:26" x14ac:dyDescent="0.25">
      <c r="A8" s="207"/>
    </row>
    <row r="9" spans="1:26" x14ac:dyDescent="0.25">
      <c r="A9" s="207"/>
    </row>
    <row r="10" spans="1:26" ht="18.75" x14ac:dyDescent="0.3">
      <c r="A10" s="207"/>
      <c r="E10" s="166" t="s">
        <v>174</v>
      </c>
      <c r="I10" s="166" t="s">
        <v>175</v>
      </c>
      <c r="L10" s="166" t="s">
        <v>176</v>
      </c>
      <c r="O10" s="166"/>
    </row>
    <row r="11" spans="1:26" x14ac:dyDescent="0.25">
      <c r="A11" s="207"/>
      <c r="E11" s="167" t="str" cm="1">
        <f t="array" aca="1" ref="E11" ca="1">RIGHT(CELL("filename",'Control Panel'!I10),LEN(CELL("filename",'Control Panel'!I11))-FIND("]",CELL("filename",'Control Panel'!J11)))</f>
        <v>Control Panel</v>
      </c>
      <c r="I11" s="167" t="str" cm="1">
        <f t="array" aca="1" ref="I11" ca="1">RIGHT(CELL("filename",Dashboard!E4),LEN(CELL("filename",Dashboard!G20))-FIND("]",CELL("filename",Dashboard!F12)))</f>
        <v>Dashboard</v>
      </c>
      <c r="L11" s="167" t="str" cm="1">
        <f t="array" aca="1" ref="L11" ca="1">RIGHT(CELL("filename",'Historical Analysis'!I12),LEN(CELL("filename",'Historical Analysis'!J10))-FIND("]",CELL("filename",'Historical Analysis'!L12)))</f>
        <v>Historical Analysis</v>
      </c>
      <c r="O11" s="167"/>
    </row>
    <row r="12" spans="1:26" x14ac:dyDescent="0.25">
      <c r="A12" s="207"/>
      <c r="E12" s="167" t="str" cm="1">
        <f t="array" aca="1" ref="E12" ca="1">RIGHT(CELL("filename",Scenarios!J15),LEN(CELL("filename",Scenarios!M16))-FIND("]",CELL("filename",Scenarios!Q14)))</f>
        <v>Scenarios</v>
      </c>
      <c r="I12" s="167" t="str" cm="1">
        <f t="array" aca="1" ref="I12" ca="1">RIGHT(CELL("filename",Outputs!C10),LEN(CELL("filename",Outputs!C10))-FIND("]",CELL("filename",Outputs!C10)))</f>
        <v>Outputs</v>
      </c>
      <c r="L12" s="167" t="str" cm="1">
        <f t="array" aca="1" ref="L12" ca="1">RIGHT(CELL("filename",'Financial Statements'!J16),LEN(CELL("filename",'Financial Statements'!J9))-FIND("]",CELL("filename",'Financial Statements'!L13)))</f>
        <v>Financial Statements</v>
      </c>
    </row>
    <row r="13" spans="1:26" x14ac:dyDescent="0.25">
      <c r="A13" s="207"/>
      <c r="E13" s="167" t="str" cm="1">
        <f t="array" aca="1" ref="E13" ca="1">RIGHT(CELL("filename",'Y1 Financial Statements'!O59),LEN(CELL("filename",'Y1 Financial Statements'!O58))-FIND("]",CELL("filename",'Y1 Financial Statements'!O57)))</f>
        <v>Y1 Financial Statements</v>
      </c>
      <c r="L13" s="167" t="str" cm="1">
        <f t="array" aca="1" ref="L13" ca="1">RIGHT(CELL("filename",DCF!J14),LEN(CELL("filename",DCF!L13))-FIND("]",CELL("filename",DCF!K12)))</f>
        <v>DCF</v>
      </c>
    </row>
    <row r="14" spans="1:26" x14ac:dyDescent="0.25">
      <c r="A14" s="207"/>
    </row>
    <row r="15" spans="1:26" x14ac:dyDescent="0.25">
      <c r="A15" s="207"/>
    </row>
    <row r="16" spans="1:26" x14ac:dyDescent="0.25">
      <c r="A16" s="207"/>
    </row>
    <row r="17" spans="1:1" x14ac:dyDescent="0.25">
      <c r="A17" s="207"/>
    </row>
    <row r="18" spans="1:1" x14ac:dyDescent="0.25">
      <c r="A18" s="207"/>
    </row>
    <row r="19" spans="1:1" x14ac:dyDescent="0.25">
      <c r="A19" s="207"/>
    </row>
    <row r="20" spans="1:1" x14ac:dyDescent="0.25">
      <c r="A20" s="207"/>
    </row>
    <row r="21" spans="1:1" x14ac:dyDescent="0.25">
      <c r="A21" s="207"/>
    </row>
    <row r="22" spans="1:1" x14ac:dyDescent="0.25">
      <c r="A22" s="207"/>
    </row>
    <row r="23" spans="1:1" x14ac:dyDescent="0.25">
      <c r="A23" s="207"/>
    </row>
    <row r="24" spans="1:1" x14ac:dyDescent="0.25">
      <c r="A24" s="207"/>
    </row>
    <row r="25" spans="1:1" x14ac:dyDescent="0.25">
      <c r="A25" s="207"/>
    </row>
    <row r="26" spans="1:1" x14ac:dyDescent="0.25">
      <c r="A26" s="207"/>
    </row>
    <row r="27" spans="1:1" x14ac:dyDescent="0.25">
      <c r="A27" s="207"/>
    </row>
    <row r="28" spans="1:1" x14ac:dyDescent="0.25">
      <c r="A28" s="207"/>
    </row>
    <row r="29" spans="1:1" x14ac:dyDescent="0.25">
      <c r="A29" s="207"/>
    </row>
    <row r="30" spans="1:1" x14ac:dyDescent="0.25">
      <c r="A30" s="207"/>
    </row>
    <row r="31" spans="1:1" x14ac:dyDescent="0.25">
      <c r="A31" s="207"/>
    </row>
    <row r="32" spans="1:1" x14ac:dyDescent="0.25">
      <c r="A32" s="207"/>
    </row>
    <row r="33" spans="1:1" x14ac:dyDescent="0.25">
      <c r="A33" s="207"/>
    </row>
    <row r="34" spans="1:1" x14ac:dyDescent="0.25">
      <c r="A34" s="207"/>
    </row>
    <row r="35" spans="1:1" x14ac:dyDescent="0.25">
      <c r="A35" s="207"/>
    </row>
    <row r="36" spans="1:1" x14ac:dyDescent="0.25">
      <c r="A36" s="207"/>
    </row>
    <row r="37" spans="1:1" x14ac:dyDescent="0.25">
      <c r="A37" s="207"/>
    </row>
    <row r="38" spans="1:1" x14ac:dyDescent="0.25">
      <c r="A38" s="207"/>
    </row>
    <row r="39" spans="1:1" x14ac:dyDescent="0.25">
      <c r="A39" s="207"/>
    </row>
    <row r="40" spans="1:1" x14ac:dyDescent="0.25">
      <c r="A40" s="207"/>
    </row>
    <row r="41" spans="1:1" x14ac:dyDescent="0.25">
      <c r="A41" s="207"/>
    </row>
    <row r="42" spans="1:1" x14ac:dyDescent="0.25">
      <c r="A42" s="207"/>
    </row>
    <row r="43" spans="1:1" x14ac:dyDescent="0.25">
      <c r="A43" s="207"/>
    </row>
    <row r="44" spans="1:1" x14ac:dyDescent="0.25">
      <c r="A44" s="207"/>
    </row>
    <row r="45" spans="1:1" x14ac:dyDescent="0.25">
      <c r="A45" s="207"/>
    </row>
    <row r="46" spans="1:1" x14ac:dyDescent="0.25">
      <c r="A46" s="207"/>
    </row>
    <row r="47" spans="1:1" x14ac:dyDescent="0.25">
      <c r="A47" s="207"/>
    </row>
    <row r="48" spans="1:1" x14ac:dyDescent="0.25">
      <c r="A48" s="207"/>
    </row>
    <row r="49" spans="1:1" x14ac:dyDescent="0.25">
      <c r="A49" s="207"/>
    </row>
    <row r="50" spans="1:1" x14ac:dyDescent="0.25">
      <c r="A50" s="207"/>
    </row>
    <row r="51" spans="1:1" x14ac:dyDescent="0.25">
      <c r="A51" s="207"/>
    </row>
    <row r="52" spans="1:1" x14ac:dyDescent="0.25">
      <c r="A52" s="207"/>
    </row>
    <row r="53" spans="1:1" x14ac:dyDescent="0.25">
      <c r="A53" s="207"/>
    </row>
    <row r="54" spans="1:1" x14ac:dyDescent="0.25">
      <c r="A54" s="207"/>
    </row>
    <row r="55" spans="1:1" x14ac:dyDescent="0.25">
      <c r="A55" s="207"/>
    </row>
    <row r="56" spans="1:1" x14ac:dyDescent="0.25">
      <c r="A56" s="207"/>
    </row>
    <row r="57" spans="1:1" x14ac:dyDescent="0.25">
      <c r="A57" s="207"/>
    </row>
    <row r="58" spans="1:1" x14ac:dyDescent="0.25">
      <c r="A58" s="207"/>
    </row>
    <row r="59" spans="1:1" x14ac:dyDescent="0.25">
      <c r="A59" s="207"/>
    </row>
    <row r="60" spans="1:1" x14ac:dyDescent="0.25">
      <c r="A60" s="207"/>
    </row>
    <row r="61" spans="1:1" x14ac:dyDescent="0.25">
      <c r="A61" s="207"/>
    </row>
    <row r="62" spans="1:1" x14ac:dyDescent="0.25">
      <c r="A62" s="207"/>
    </row>
    <row r="63" spans="1:1" x14ac:dyDescent="0.25">
      <c r="A63" s="207"/>
    </row>
    <row r="64" spans="1:1" x14ac:dyDescent="0.25">
      <c r="A64" s="207"/>
    </row>
    <row r="65" spans="1:1" x14ac:dyDescent="0.25">
      <c r="A65" s="207"/>
    </row>
    <row r="66" spans="1:1" x14ac:dyDescent="0.25">
      <c r="A66" s="207"/>
    </row>
    <row r="67" spans="1:1" x14ac:dyDescent="0.25">
      <c r="A67" s="207"/>
    </row>
    <row r="68" spans="1:1" x14ac:dyDescent="0.25">
      <c r="A68" s="207"/>
    </row>
    <row r="69" spans="1:1" x14ac:dyDescent="0.25">
      <c r="A69" s="207"/>
    </row>
    <row r="70" spans="1:1" x14ac:dyDescent="0.25">
      <c r="A70" s="207"/>
    </row>
    <row r="71" spans="1:1" x14ac:dyDescent="0.25">
      <c r="A71" s="207"/>
    </row>
    <row r="72" spans="1:1" x14ac:dyDescent="0.25">
      <c r="A72" s="207"/>
    </row>
    <row r="73" spans="1:1" x14ac:dyDescent="0.25">
      <c r="A73" s="207"/>
    </row>
    <row r="74" spans="1:1" x14ac:dyDescent="0.25">
      <c r="A74" s="207"/>
    </row>
    <row r="75" spans="1:1" x14ac:dyDescent="0.25">
      <c r="A75" s="207"/>
    </row>
    <row r="76" spans="1:1" x14ac:dyDescent="0.25">
      <c r="A76" s="207"/>
    </row>
    <row r="77" spans="1:1" x14ac:dyDescent="0.25">
      <c r="A77" s="207"/>
    </row>
    <row r="78" spans="1:1" x14ac:dyDescent="0.25">
      <c r="A78" s="207"/>
    </row>
    <row r="79" spans="1:1" x14ac:dyDescent="0.25">
      <c r="A79" s="207"/>
    </row>
    <row r="80" spans="1:1" x14ac:dyDescent="0.25">
      <c r="A80" s="207"/>
    </row>
    <row r="81" spans="1:1" x14ac:dyDescent="0.25">
      <c r="A81" s="207"/>
    </row>
    <row r="82" spans="1:1" x14ac:dyDescent="0.25">
      <c r="A82" s="207"/>
    </row>
    <row r="83" spans="1:1" x14ac:dyDescent="0.25">
      <c r="A83" s="207"/>
    </row>
    <row r="84" spans="1:1" x14ac:dyDescent="0.25">
      <c r="A84" s="207"/>
    </row>
    <row r="85" spans="1:1" x14ac:dyDescent="0.25">
      <c r="A85" s="207"/>
    </row>
    <row r="86" spans="1:1" x14ac:dyDescent="0.25">
      <c r="A86" s="207"/>
    </row>
    <row r="87" spans="1:1" x14ac:dyDescent="0.25">
      <c r="A87" s="207"/>
    </row>
    <row r="88" spans="1:1" x14ac:dyDescent="0.25">
      <c r="A88" s="207"/>
    </row>
    <row r="89" spans="1:1" x14ac:dyDescent="0.25">
      <c r="A89" s="207"/>
    </row>
    <row r="90" spans="1:1" x14ac:dyDescent="0.25">
      <c r="A90" s="207"/>
    </row>
    <row r="91" spans="1:1" x14ac:dyDescent="0.25">
      <c r="A91" s="207"/>
    </row>
    <row r="92" spans="1:1" x14ac:dyDescent="0.25">
      <c r="A92" s="207"/>
    </row>
    <row r="93" spans="1:1" x14ac:dyDescent="0.25">
      <c r="A93" s="207"/>
    </row>
    <row r="94" spans="1:1" x14ac:dyDescent="0.25">
      <c r="A94" s="207"/>
    </row>
    <row r="95" spans="1:1" x14ac:dyDescent="0.25">
      <c r="A95" s="207"/>
    </row>
    <row r="96" spans="1:1" x14ac:dyDescent="0.25">
      <c r="A96" s="207"/>
    </row>
    <row r="97" spans="1:1" x14ac:dyDescent="0.25">
      <c r="A97" s="207"/>
    </row>
    <row r="98" spans="1:1" x14ac:dyDescent="0.25">
      <c r="A98" s="207"/>
    </row>
    <row r="99" spans="1:1" x14ac:dyDescent="0.25">
      <c r="A99" s="207"/>
    </row>
    <row r="100" spans="1:1" x14ac:dyDescent="0.25">
      <c r="A100" s="207"/>
    </row>
    <row r="101" spans="1:1" x14ac:dyDescent="0.25">
      <c r="A101" s="207"/>
    </row>
    <row r="102" spans="1:1" x14ac:dyDescent="0.25">
      <c r="A102" s="207"/>
    </row>
    <row r="103" spans="1:1" x14ac:dyDescent="0.25">
      <c r="A103" s="207"/>
    </row>
    <row r="104" spans="1:1" x14ac:dyDescent="0.25">
      <c r="A104" s="207"/>
    </row>
    <row r="105" spans="1:1" x14ac:dyDescent="0.25">
      <c r="A105" s="207"/>
    </row>
    <row r="106" spans="1:1" x14ac:dyDescent="0.25">
      <c r="A106" s="207"/>
    </row>
    <row r="107" spans="1:1" x14ac:dyDescent="0.25">
      <c r="A107" s="207"/>
    </row>
    <row r="108" spans="1:1" x14ac:dyDescent="0.25">
      <c r="A108" s="207"/>
    </row>
    <row r="109" spans="1:1" x14ac:dyDescent="0.25">
      <c r="A109" s="207"/>
    </row>
    <row r="110" spans="1:1" x14ac:dyDescent="0.25">
      <c r="A110" s="207"/>
    </row>
    <row r="111" spans="1:1" x14ac:dyDescent="0.25">
      <c r="A111" s="207"/>
    </row>
    <row r="112" spans="1:1" x14ac:dyDescent="0.25">
      <c r="A112" s="207"/>
    </row>
    <row r="113" spans="1:1" x14ac:dyDescent="0.25">
      <c r="A113" s="207"/>
    </row>
    <row r="114" spans="1:1" x14ac:dyDescent="0.25">
      <c r="A114" s="207"/>
    </row>
    <row r="115" spans="1:1" x14ac:dyDescent="0.25">
      <c r="A115" s="207"/>
    </row>
    <row r="116" spans="1:1" x14ac:dyDescent="0.25">
      <c r="A116" s="207"/>
    </row>
    <row r="117" spans="1:1" x14ac:dyDescent="0.25">
      <c r="A117" s="207"/>
    </row>
    <row r="118" spans="1:1" x14ac:dyDescent="0.25">
      <c r="A118" s="207"/>
    </row>
    <row r="119" spans="1:1" x14ac:dyDescent="0.25">
      <c r="A119" s="207"/>
    </row>
    <row r="120" spans="1:1" x14ac:dyDescent="0.25">
      <c r="A120" s="207"/>
    </row>
    <row r="121" spans="1:1" x14ac:dyDescent="0.25">
      <c r="A121" s="207"/>
    </row>
    <row r="122" spans="1:1" x14ac:dyDescent="0.25">
      <c r="A122" s="207"/>
    </row>
    <row r="123" spans="1:1" x14ac:dyDescent="0.25">
      <c r="A123" s="207"/>
    </row>
    <row r="124" spans="1:1" x14ac:dyDescent="0.25">
      <c r="A124" s="207"/>
    </row>
    <row r="125" spans="1:1" x14ac:dyDescent="0.25">
      <c r="A125" s="207"/>
    </row>
    <row r="126" spans="1:1" x14ac:dyDescent="0.25">
      <c r="A126" s="207"/>
    </row>
    <row r="127" spans="1:1" x14ac:dyDescent="0.25">
      <c r="A127" s="207"/>
    </row>
    <row r="128" spans="1:1" x14ac:dyDescent="0.25">
      <c r="A128" s="207"/>
    </row>
    <row r="129" spans="1:1" x14ac:dyDescent="0.25">
      <c r="A129" s="207"/>
    </row>
    <row r="130" spans="1:1" x14ac:dyDescent="0.25">
      <c r="A130" s="207"/>
    </row>
    <row r="131" spans="1:1" x14ac:dyDescent="0.25">
      <c r="A131" s="207"/>
    </row>
    <row r="132" spans="1:1" x14ac:dyDescent="0.25">
      <c r="A132" s="207"/>
    </row>
    <row r="133" spans="1:1" x14ac:dyDescent="0.25">
      <c r="A133" s="207"/>
    </row>
    <row r="134" spans="1:1" x14ac:dyDescent="0.25">
      <c r="A134" s="207"/>
    </row>
    <row r="135" spans="1:1" x14ac:dyDescent="0.25">
      <c r="A135" s="207"/>
    </row>
    <row r="136" spans="1:1" x14ac:dyDescent="0.25">
      <c r="A136" s="207"/>
    </row>
    <row r="137" spans="1:1" x14ac:dyDescent="0.25">
      <c r="A137" s="207"/>
    </row>
    <row r="138" spans="1:1" x14ac:dyDescent="0.25">
      <c r="A138" s="207"/>
    </row>
    <row r="139" spans="1:1" x14ac:dyDescent="0.25">
      <c r="A139" s="207"/>
    </row>
    <row r="140" spans="1:1" x14ac:dyDescent="0.25">
      <c r="A140" s="207"/>
    </row>
    <row r="141" spans="1:1" x14ac:dyDescent="0.25">
      <c r="A141" s="207"/>
    </row>
    <row r="142" spans="1:1" x14ac:dyDescent="0.25">
      <c r="A142" s="207"/>
    </row>
    <row r="143" spans="1:1" x14ac:dyDescent="0.25">
      <c r="A143" s="207"/>
    </row>
    <row r="144" spans="1:1" x14ac:dyDescent="0.25">
      <c r="A144" s="207"/>
    </row>
    <row r="145" spans="1:1" x14ac:dyDescent="0.25">
      <c r="A145" s="207"/>
    </row>
    <row r="146" spans="1:1" x14ac:dyDescent="0.25">
      <c r="A146" s="207"/>
    </row>
    <row r="147" spans="1:1" x14ac:dyDescent="0.25">
      <c r="A147" s="207"/>
    </row>
    <row r="148" spans="1:1" x14ac:dyDescent="0.25">
      <c r="A148" s="207"/>
    </row>
    <row r="149" spans="1:1" x14ac:dyDescent="0.25">
      <c r="A149" s="207"/>
    </row>
    <row r="150" spans="1:1" x14ac:dyDescent="0.25">
      <c r="A150" s="207"/>
    </row>
    <row r="151" spans="1:1" x14ac:dyDescent="0.25">
      <c r="A151" s="207"/>
    </row>
    <row r="152" spans="1:1" x14ac:dyDescent="0.25">
      <c r="A152" s="207"/>
    </row>
    <row r="153" spans="1:1" x14ac:dyDescent="0.25">
      <c r="A153" s="207"/>
    </row>
    <row r="154" spans="1:1" x14ac:dyDescent="0.25">
      <c r="A154" s="207"/>
    </row>
    <row r="155" spans="1:1" x14ac:dyDescent="0.25">
      <c r="A155" s="207"/>
    </row>
    <row r="156" spans="1:1" x14ac:dyDescent="0.25">
      <c r="A156" s="207"/>
    </row>
    <row r="157" spans="1:1" x14ac:dyDescent="0.25">
      <c r="A157" s="207"/>
    </row>
    <row r="158" spans="1:1" x14ac:dyDescent="0.25">
      <c r="A158" s="207"/>
    </row>
    <row r="159" spans="1:1" x14ac:dyDescent="0.25">
      <c r="A159" s="207"/>
    </row>
    <row r="160" spans="1:1" x14ac:dyDescent="0.25">
      <c r="A160" s="207"/>
    </row>
    <row r="161" spans="1:1" x14ac:dyDescent="0.25">
      <c r="A161" s="207"/>
    </row>
    <row r="162" spans="1:1" x14ac:dyDescent="0.25">
      <c r="A162" s="207"/>
    </row>
    <row r="163" spans="1:1" x14ac:dyDescent="0.25">
      <c r="A163" s="207"/>
    </row>
    <row r="164" spans="1:1" x14ac:dyDescent="0.25">
      <c r="A164" s="207"/>
    </row>
    <row r="165" spans="1:1" x14ac:dyDescent="0.25">
      <c r="A165" s="207"/>
    </row>
    <row r="166" spans="1:1" x14ac:dyDescent="0.25">
      <c r="A166" s="207"/>
    </row>
    <row r="167" spans="1:1" x14ac:dyDescent="0.25">
      <c r="A167" s="207"/>
    </row>
    <row r="168" spans="1:1" x14ac:dyDescent="0.25">
      <c r="A168" s="207"/>
    </row>
    <row r="169" spans="1:1" x14ac:dyDescent="0.25">
      <c r="A169" s="207"/>
    </row>
    <row r="170" spans="1:1" x14ac:dyDescent="0.25">
      <c r="A170" s="207"/>
    </row>
    <row r="171" spans="1:1" x14ac:dyDescent="0.25">
      <c r="A171" s="207"/>
    </row>
    <row r="172" spans="1:1" x14ac:dyDescent="0.25">
      <c r="A172" s="207"/>
    </row>
    <row r="173" spans="1:1" x14ac:dyDescent="0.25">
      <c r="A173" s="207"/>
    </row>
    <row r="174" spans="1:1" x14ac:dyDescent="0.25">
      <c r="A174" s="207"/>
    </row>
    <row r="175" spans="1:1" x14ac:dyDescent="0.25">
      <c r="A175" s="207"/>
    </row>
    <row r="176" spans="1:1" x14ac:dyDescent="0.25">
      <c r="A176" s="207"/>
    </row>
    <row r="177" spans="1:1" x14ac:dyDescent="0.25">
      <c r="A177" s="207"/>
    </row>
  </sheetData>
  <hyperlinks>
    <hyperlink ref="E11" location="'Control Panel'!A1" display="'Control Panel'!A1" xr:uid="{F50B7922-A420-4F76-A95C-88AD3A04B463}"/>
    <hyperlink ref="E12" location="Scenarios!A1" display="Scenarios!A1" xr:uid="{897F6412-1E92-4C83-AB40-6BF55BD16496}"/>
    <hyperlink ref="E13" location="'Y1 Financial Statements'!A1" display="'Y1 Financial Statements'!A1" xr:uid="{8BDE7805-6B13-41F6-8701-495CD75E8B67}"/>
    <hyperlink ref="I11" location="Dashboard!A1" display="Dashboard!A1" xr:uid="{64129CEE-48D5-4154-BFC0-02E762F0C29F}"/>
    <hyperlink ref="L11" location="'Historical Analysis'!A1" display="'Historical Analysis'!A1" xr:uid="{011A9056-B774-4C1C-88EB-473AAD80A8A2}"/>
    <hyperlink ref="L12" location="'Financial Statements'!A1" display="'Financial Statements'!A1" xr:uid="{FDC5DC07-4181-4F43-AE58-B76B2898B62B}"/>
    <hyperlink ref="L13" location="DCF!A1" display="DCF!A1" xr:uid="{A02752B6-F1A4-4755-9DC5-F3C17B833EB0}"/>
    <hyperlink ref="I12" location="Outputs!A1" display="Outputs!A1" xr:uid="{62B52A93-96E4-4037-8C57-00E1510CB264}"/>
  </hyperlinks>
  <pageMargins left="0.7" right="0.7" top="0.75" bottom="0.75" header="0.3" footer="0.3"/>
  <pageSetup paperSize="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645B-2D73-4B8E-959E-07D3AE40BC90}">
  <dimension ref="B2:AC16"/>
  <sheetViews>
    <sheetView showGridLines="0" zoomScaleNormal="100" workbookViewId="0">
      <selection activeCell="A9" sqref="A9"/>
    </sheetView>
  </sheetViews>
  <sheetFormatPr defaultRowHeight="15" x14ac:dyDescent="0.25"/>
  <cols>
    <col min="21" max="21" width="4" customWidth="1"/>
    <col min="23" max="23" width="19.85546875" customWidth="1"/>
    <col min="25" max="25" width="9.5703125" bestFit="1" customWidth="1"/>
    <col min="26" max="26" width="9.85546875" bestFit="1" customWidth="1"/>
    <col min="27" max="28" width="11.42578125" bestFit="1" customWidth="1"/>
  </cols>
  <sheetData>
    <row r="2" spans="2:29" ht="15.75" x14ac:dyDescent="0.25">
      <c r="B2" s="41" t="s">
        <v>177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W2" s="41" t="s">
        <v>178</v>
      </c>
      <c r="X2" s="41"/>
      <c r="Y2" s="41"/>
      <c r="Z2" s="41"/>
      <c r="AA2" s="41"/>
      <c r="AB2" s="41"/>
      <c r="AC2" s="104"/>
    </row>
    <row r="3" spans="2:29" x14ac:dyDescent="0.25">
      <c r="Y3" s="103">
        <v>2023</v>
      </c>
      <c r="Z3" s="105">
        <f>Y3+1</f>
        <v>2024</v>
      </c>
      <c r="AA3" s="105">
        <f>Z3+1</f>
        <v>2025</v>
      </c>
      <c r="AB3" s="105">
        <f>AA3+1</f>
        <v>2026</v>
      </c>
      <c r="AC3" s="121"/>
    </row>
    <row r="4" spans="2:29" x14ac:dyDescent="0.25">
      <c r="W4" t="s">
        <v>0</v>
      </c>
      <c r="Y4" s="121">
        <f>'Financial Statements'!D25</f>
        <v>67771.14</v>
      </c>
      <c r="Z4" s="121">
        <f>'Financial Statements'!E25</f>
        <v>221052.27600000001</v>
      </c>
      <c r="AA4" s="121">
        <f>'Financial Statements'!F25</f>
        <v>652596.07104000018</v>
      </c>
      <c r="AB4" s="121">
        <f>'Financial Statements'!G25</f>
        <v>1746804.3921273602</v>
      </c>
      <c r="AC4" s="121"/>
    </row>
    <row r="5" spans="2:29" x14ac:dyDescent="0.25">
      <c r="W5" t="s">
        <v>166</v>
      </c>
      <c r="Y5" s="121">
        <f>'Financial Statements'!D106</f>
        <v>-30668.801010962386</v>
      </c>
      <c r="Z5" s="121">
        <f>'Financial Statements'!E106</f>
        <v>-64507.372036674933</v>
      </c>
      <c r="AA5" s="121">
        <f>'Financial Statements'!F106</f>
        <v>9161.1519949712329</v>
      </c>
      <c r="AB5" s="121">
        <f>'Financial Statements'!G106</f>
        <v>228199.56276828473</v>
      </c>
      <c r="AC5" s="121"/>
    </row>
    <row r="6" spans="2:29" x14ac:dyDescent="0.25">
      <c r="W6" t="s">
        <v>147</v>
      </c>
      <c r="Y6" s="121">
        <f>'Financial Statements'!D115</f>
        <v>-25061.527916339626</v>
      </c>
      <c r="Z6" s="121">
        <f>'Financial Statements'!E115</f>
        <v>-38035.534444995385</v>
      </c>
      <c r="AA6" s="121">
        <f>'Financial Statements'!F115</f>
        <v>45962.164479129358</v>
      </c>
      <c r="AB6" s="121">
        <f>'Financial Statements'!G115</f>
        <v>284911.65000983875</v>
      </c>
    </row>
    <row r="7" spans="2:29" x14ac:dyDescent="0.25">
      <c r="W7" t="s">
        <v>189</v>
      </c>
      <c r="Y7" s="121">
        <f>'Financial Statements'!D41</f>
        <v>-31455.301010962386</v>
      </c>
      <c r="Z7" s="121">
        <f>'Financial Statements'!E41</f>
        <v>-65739.372036674933</v>
      </c>
      <c r="AA7" s="121">
        <f>'Financial Statements'!F41</f>
        <v>6175.5519949712325</v>
      </c>
      <c r="AB7" s="121">
        <f>'Financial Statements'!G41</f>
        <v>190613.09233938006</v>
      </c>
    </row>
    <row r="8" spans="2:29" x14ac:dyDescent="0.25">
      <c r="Y8" s="121"/>
      <c r="Z8" s="121"/>
      <c r="AA8" s="121"/>
      <c r="AB8" s="121"/>
    </row>
    <row r="9" spans="2:29" ht="15.75" x14ac:dyDescent="0.25">
      <c r="W9" s="41" t="s">
        <v>198</v>
      </c>
      <c r="X9" s="41"/>
      <c r="Y9" s="41"/>
      <c r="Z9" s="41"/>
      <c r="AA9" s="41"/>
      <c r="AB9" s="41"/>
    </row>
    <row r="10" spans="2:29" x14ac:dyDescent="0.25">
      <c r="Y10" s="103">
        <v>2023</v>
      </c>
      <c r="Z10" s="105">
        <f>Y10+1</f>
        <v>2024</v>
      </c>
      <c r="AA10" s="105">
        <f>Z10+1</f>
        <v>2025</v>
      </c>
      <c r="AB10" s="105">
        <f>AA10+1</f>
        <v>2026</v>
      </c>
    </row>
    <row r="11" spans="2:29" x14ac:dyDescent="0.25">
      <c r="W11" t="s">
        <v>1</v>
      </c>
      <c r="Y11" s="121">
        <f>'Financial Statements'!D22</f>
        <v>55351.14</v>
      </c>
      <c r="Z11" s="121">
        <f>'Financial Statements'!E22</f>
        <v>188193.87600000002</v>
      </c>
      <c r="AA11" s="121">
        <f>'Financial Statements'!F22</f>
        <v>572109.3830400001</v>
      </c>
      <c r="AB11" s="121">
        <f>'Financial Statements'!G22</f>
        <v>1564147.0532313602</v>
      </c>
    </row>
    <row r="12" spans="2:29" x14ac:dyDescent="0.25">
      <c r="W12" t="s">
        <v>3</v>
      </c>
      <c r="Y12" s="121">
        <f>'Financial Statements'!D23</f>
        <v>6918</v>
      </c>
      <c r="Z12" s="121">
        <f>'Financial Statements'!E23</f>
        <v>20754</v>
      </c>
      <c r="AA12" s="121">
        <f>'Financial Statements'!F23</f>
        <v>56035.8</v>
      </c>
      <c r="AB12" s="121">
        <f>'Financial Statements'!G23</f>
        <v>137007.53100000002</v>
      </c>
    </row>
    <row r="13" spans="2:29" x14ac:dyDescent="0.25">
      <c r="W13" t="s">
        <v>4</v>
      </c>
      <c r="Y13" s="121">
        <f>'Financial Statements'!D24</f>
        <v>5502</v>
      </c>
      <c r="Z13" s="121">
        <f>'Financial Statements'!E24</f>
        <v>12104.400000000001</v>
      </c>
      <c r="AA13" s="121">
        <f>'Financial Statements'!F24</f>
        <v>24450.888000000003</v>
      </c>
      <c r="AB13" s="121">
        <f>'Financial Statements'!G24</f>
        <v>45649.807896000006</v>
      </c>
    </row>
    <row r="14" spans="2:29" ht="15.75" x14ac:dyDescent="0.25">
      <c r="B14" s="41" t="s">
        <v>199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AC14" s="121"/>
    </row>
    <row r="15" spans="2:29" x14ac:dyDescent="0.25">
      <c r="AC15" s="121"/>
    </row>
    <row r="16" spans="2:29" x14ac:dyDescent="0.25">
      <c r="AC16" s="121"/>
    </row>
  </sheetData>
  <pageMargins left="0.7" right="0.7" top="0.75" bottom="0.75" header="0.3" footer="0.3"/>
  <pageSetup paperSize="8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1B0F-DCDF-4D65-867F-75B913EC518B}">
  <dimension ref="A1:U45"/>
  <sheetViews>
    <sheetView showGridLines="0" topLeftCell="A16" workbookViewId="0">
      <selection activeCell="O4" sqref="O4:S31"/>
    </sheetView>
  </sheetViews>
  <sheetFormatPr defaultRowHeight="15" x14ac:dyDescent="0.25"/>
  <cols>
    <col min="15" max="15" width="22.7109375" customWidth="1"/>
    <col min="16" max="16" width="3.42578125" customWidth="1"/>
    <col min="17" max="20" width="11.42578125" bestFit="1" customWidth="1"/>
  </cols>
  <sheetData>
    <row r="1" spans="1:21" ht="18" x14ac:dyDescent="0.25">
      <c r="A1" s="202" t="s">
        <v>200</v>
      </c>
      <c r="B1" s="202"/>
      <c r="C1" s="202"/>
      <c r="D1" s="203"/>
      <c r="E1" s="203"/>
      <c r="F1" s="203"/>
      <c r="G1" s="203"/>
      <c r="H1" s="203"/>
      <c r="I1" s="203"/>
      <c r="J1" s="203"/>
      <c r="K1" s="203"/>
      <c r="L1" s="203"/>
      <c r="M1" s="203" t="s">
        <v>88</v>
      </c>
    </row>
    <row r="2" spans="1:21" ht="18" x14ac:dyDescent="0.25">
      <c r="A2" s="204" t="s">
        <v>201</v>
      </c>
      <c r="B2" s="202"/>
      <c r="C2" s="202"/>
      <c r="D2" s="203"/>
      <c r="E2" s="203"/>
      <c r="F2" s="203"/>
      <c r="G2" s="203"/>
      <c r="H2" s="203"/>
      <c r="I2" s="203"/>
      <c r="J2" s="203"/>
      <c r="K2" s="203"/>
      <c r="L2" s="203"/>
      <c r="M2" s="203"/>
    </row>
    <row r="4" spans="1:21" ht="15.75" x14ac:dyDescent="0.25">
      <c r="B4" s="206" t="s">
        <v>208</v>
      </c>
      <c r="O4" s="41" t="s">
        <v>178</v>
      </c>
      <c r="P4" s="41"/>
      <c r="Q4" s="41"/>
      <c r="R4" s="41"/>
      <c r="S4" s="41"/>
      <c r="U4" s="121"/>
    </row>
    <row r="5" spans="1:21" x14ac:dyDescent="0.25">
      <c r="Q5" s="170">
        <v>2024</v>
      </c>
      <c r="R5" s="170">
        <v>2025</v>
      </c>
      <c r="S5" s="170">
        <v>2026</v>
      </c>
      <c r="U5" s="121"/>
    </row>
    <row r="6" spans="1:21" x14ac:dyDescent="0.25">
      <c r="O6" t="s">
        <v>179</v>
      </c>
      <c r="Q6" s="172">
        <v>221404.56</v>
      </c>
      <c r="R6" s="172">
        <v>785986.18799999997</v>
      </c>
      <c r="S6" s="172">
        <v>2489611.25049</v>
      </c>
      <c r="U6" s="121"/>
    </row>
    <row r="7" spans="1:21" x14ac:dyDescent="0.25">
      <c r="O7" t="s">
        <v>180</v>
      </c>
      <c r="Q7" s="172">
        <v>297692.84399999992</v>
      </c>
      <c r="R7" s="172">
        <v>1170949.6586399998</v>
      </c>
      <c r="S7" s="172">
        <v>4123316.0816786392</v>
      </c>
      <c r="U7" s="121"/>
    </row>
    <row r="8" spans="1:21" x14ac:dyDescent="0.25">
      <c r="O8" t="s">
        <v>181</v>
      </c>
      <c r="Q8" s="172">
        <v>221052.27600000001</v>
      </c>
      <c r="R8" s="172">
        <v>652596.07104000018</v>
      </c>
      <c r="S8" s="172">
        <v>1746804.3921273602</v>
      </c>
    </row>
    <row r="10" spans="1:21" ht="15.75" x14ac:dyDescent="0.25">
      <c r="O10" s="41" t="s">
        <v>166</v>
      </c>
      <c r="P10" s="41"/>
      <c r="Q10" s="41"/>
      <c r="R10" s="41"/>
      <c r="S10" s="41"/>
    </row>
    <row r="11" spans="1:21" x14ac:dyDescent="0.25">
      <c r="Q11" s="170">
        <v>2024</v>
      </c>
      <c r="R11" s="170">
        <v>2025</v>
      </c>
      <c r="S11" s="170">
        <v>2026</v>
      </c>
    </row>
    <row r="12" spans="1:21" x14ac:dyDescent="0.25">
      <c r="O12" t="s">
        <v>182</v>
      </c>
      <c r="Q12" s="172">
        <v>-56100.983696837386</v>
      </c>
      <c r="R12" s="172">
        <v>61886.797491532539</v>
      </c>
      <c r="S12" s="172">
        <v>452035.43926571589</v>
      </c>
    </row>
    <row r="13" spans="1:21" x14ac:dyDescent="0.25">
      <c r="O13" t="s">
        <v>183</v>
      </c>
      <c r="Q13" s="172">
        <v>-47694.595356999896</v>
      </c>
      <c r="R13" s="172">
        <v>122873.29344761852</v>
      </c>
      <c r="S13" s="172">
        <v>749539.12686263118</v>
      </c>
    </row>
    <row r="14" spans="1:21" x14ac:dyDescent="0.25">
      <c r="O14" t="s">
        <v>184</v>
      </c>
      <c r="Q14" s="172">
        <v>-64507.372036674933</v>
      </c>
      <c r="R14" s="172">
        <v>9161.1519949712329</v>
      </c>
      <c r="S14" s="172">
        <v>228199.56276828473</v>
      </c>
    </row>
    <row r="16" spans="1:21" ht="15.75" x14ac:dyDescent="0.25">
      <c r="O16" s="41" t="s">
        <v>185</v>
      </c>
      <c r="P16" s="41"/>
      <c r="Q16" s="41"/>
      <c r="R16" s="41"/>
      <c r="S16" s="41"/>
    </row>
    <row r="17" spans="2:19" x14ac:dyDescent="0.25">
      <c r="Q17" s="170">
        <v>2024</v>
      </c>
      <c r="R17" s="170">
        <v>2025</v>
      </c>
      <c r="S17" s="170">
        <v>2026</v>
      </c>
    </row>
    <row r="18" spans="2:19" x14ac:dyDescent="0.25">
      <c r="O18" t="s">
        <v>186</v>
      </c>
      <c r="Q18" s="172">
        <v>-27429.213398332195</v>
      </c>
      <c r="R18" s="172">
        <v>108148.82246059243</v>
      </c>
      <c r="S18" s="172">
        <v>540229.61362508673</v>
      </c>
    </row>
    <row r="19" spans="2:19" ht="15.75" x14ac:dyDescent="0.25">
      <c r="B19" s="206" t="s">
        <v>209</v>
      </c>
      <c r="O19" t="s">
        <v>187</v>
      </c>
      <c r="Q19" s="172">
        <v>-16822.892351669056</v>
      </c>
      <c r="R19" s="172">
        <v>180752.59286138901</v>
      </c>
      <c r="S19" s="172">
        <v>884222.81755832676</v>
      </c>
    </row>
    <row r="20" spans="2:19" x14ac:dyDescent="0.25">
      <c r="O20" t="s">
        <v>188</v>
      </c>
      <c r="Q20" s="172">
        <v>-38035.534444995385</v>
      </c>
      <c r="R20" s="172">
        <v>45962.164479129358</v>
      </c>
      <c r="S20" s="172">
        <v>284911.65000983875</v>
      </c>
    </row>
    <row r="22" spans="2:19" ht="15.75" x14ac:dyDescent="0.25">
      <c r="O22" s="41" t="s">
        <v>189</v>
      </c>
      <c r="P22" s="41"/>
      <c r="Q22" s="41"/>
      <c r="R22" s="41"/>
      <c r="S22" s="41"/>
    </row>
    <row r="23" spans="2:19" x14ac:dyDescent="0.25">
      <c r="Q23" s="170">
        <v>2024</v>
      </c>
      <c r="R23" s="170">
        <v>2025</v>
      </c>
      <c r="S23" s="170">
        <v>2026</v>
      </c>
    </row>
    <row r="24" spans="2:19" x14ac:dyDescent="0.25">
      <c r="O24" t="s">
        <v>190</v>
      </c>
      <c r="Q24" s="172">
        <v>-57332.983696837386</v>
      </c>
      <c r="R24" s="172">
        <v>58901.197491532541</v>
      </c>
      <c r="S24" s="172">
        <v>343206.99125335377</v>
      </c>
    </row>
    <row r="25" spans="2:19" x14ac:dyDescent="0.25">
      <c r="O25" t="s">
        <v>191</v>
      </c>
      <c r="Q25" s="172">
        <v>-48926.595356999896</v>
      </c>
      <c r="R25" s="172">
        <v>89915.770085713884</v>
      </c>
      <c r="S25" s="172">
        <v>556479.51671753544</v>
      </c>
    </row>
    <row r="26" spans="2:19" x14ac:dyDescent="0.25">
      <c r="O26" t="s">
        <v>192</v>
      </c>
      <c r="Q26" s="172">
        <v>-65739.372036674933</v>
      </c>
      <c r="R26" s="172">
        <v>6175.5519949712325</v>
      </c>
      <c r="S26" s="172">
        <v>190613.09233938006</v>
      </c>
    </row>
    <row r="28" spans="2:19" ht="15.75" x14ac:dyDescent="0.25">
      <c r="O28" s="41" t="s">
        <v>169</v>
      </c>
      <c r="P28" s="41"/>
      <c r="Q28" s="41"/>
      <c r="R28" s="41"/>
      <c r="S28" s="41"/>
    </row>
    <row r="29" spans="2:19" x14ac:dyDescent="0.25">
      <c r="O29" t="s">
        <v>195</v>
      </c>
      <c r="Q29" s="172">
        <v>721577.66005370696</v>
      </c>
      <c r="R29" s="172"/>
      <c r="S29" s="172"/>
    </row>
    <row r="30" spans="2:19" x14ac:dyDescent="0.25">
      <c r="O30" t="s">
        <v>196</v>
      </c>
      <c r="Q30" s="172">
        <v>1212631.3637927796</v>
      </c>
      <c r="R30" s="172"/>
      <c r="S30" s="172"/>
    </row>
    <row r="31" spans="2:19" x14ac:dyDescent="0.25">
      <c r="O31" t="s">
        <v>197</v>
      </c>
      <c r="Q31" s="172">
        <v>347360.32125596137</v>
      </c>
      <c r="R31" s="172"/>
      <c r="S31" s="172"/>
    </row>
    <row r="33" spans="2:2" ht="15.75" x14ac:dyDescent="0.25">
      <c r="B33" s="206" t="s">
        <v>210</v>
      </c>
    </row>
    <row r="45" spans="2:2" ht="15.75" x14ac:dyDescent="0.25">
      <c r="B45" s="206" t="s">
        <v>211</v>
      </c>
    </row>
  </sheetData>
  <pageMargins left="0.7" right="0.7" top="0.75" bottom="0.75" header="0.3" footer="0.3"/>
  <pageSetup paperSize="8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092A-976C-4352-A0F4-A50B1C286215}">
  <dimension ref="A1:M48"/>
  <sheetViews>
    <sheetView showGridLines="0" workbookViewId="0">
      <selection activeCell="C6" sqref="C6"/>
    </sheetView>
  </sheetViews>
  <sheetFormatPr defaultRowHeight="15" x14ac:dyDescent="0.25"/>
  <cols>
    <col min="1" max="1" width="4.140625" customWidth="1"/>
    <col min="2" max="2" width="32.7109375" bestFit="1" customWidth="1"/>
    <col min="3" max="3" width="9.42578125" customWidth="1"/>
    <col min="4" max="4" width="16.42578125" customWidth="1"/>
    <col min="5" max="5" width="15.7109375" customWidth="1"/>
    <col min="6" max="6" width="13" customWidth="1"/>
    <col min="8" max="9" width="9.140625" customWidth="1"/>
  </cols>
  <sheetData>
    <row r="1" spans="1:13" ht="18" x14ac:dyDescent="0.25">
      <c r="A1" s="202" t="s">
        <v>206</v>
      </c>
      <c r="B1" s="202"/>
      <c r="C1" s="202"/>
      <c r="D1" s="203"/>
      <c r="E1" s="203"/>
      <c r="F1" s="203"/>
      <c r="G1" s="203"/>
      <c r="H1" s="203"/>
      <c r="I1" s="203"/>
      <c r="J1" s="203"/>
      <c r="K1" s="203"/>
      <c r="L1" s="203"/>
      <c r="M1" s="203"/>
    </row>
    <row r="2" spans="1:13" ht="18" x14ac:dyDescent="0.25">
      <c r="A2" s="202"/>
      <c r="B2" s="202"/>
      <c r="C2" s="202"/>
      <c r="D2" s="203"/>
      <c r="E2" s="203"/>
      <c r="F2" s="203"/>
      <c r="G2" s="203"/>
      <c r="H2" s="203"/>
      <c r="I2" s="203"/>
      <c r="J2" s="203"/>
      <c r="K2" s="203"/>
      <c r="L2" s="203"/>
      <c r="M2" s="203"/>
    </row>
    <row r="4" spans="1:13" ht="15.75" x14ac:dyDescent="0.25">
      <c r="A4" s="41"/>
      <c r="B4" s="41" t="s">
        <v>120</v>
      </c>
      <c r="C4" s="41"/>
      <c r="D4" s="41"/>
      <c r="E4" s="41"/>
      <c r="F4" s="41"/>
      <c r="G4" s="41"/>
    </row>
    <row r="5" spans="1:13" ht="7.5" customHeight="1" x14ac:dyDescent="0.25">
      <c r="C5" s="96"/>
    </row>
    <row r="6" spans="1:13" ht="15.75" customHeight="1" x14ac:dyDescent="0.25">
      <c r="B6" s="5" t="s">
        <v>125</v>
      </c>
      <c r="C6" s="173" t="s">
        <v>108</v>
      </c>
      <c r="E6" s="5" t="s">
        <v>165</v>
      </c>
      <c r="G6" s="173">
        <v>0.45</v>
      </c>
    </row>
    <row r="7" spans="1:13" ht="15.75" customHeight="1" x14ac:dyDescent="0.25">
      <c r="B7" s="5"/>
      <c r="C7" s="162"/>
      <c r="E7" s="5" t="s">
        <v>164</v>
      </c>
      <c r="F7" s="96"/>
      <c r="G7" s="173">
        <v>0.05</v>
      </c>
    </row>
    <row r="8" spans="1:13" ht="15.75" customHeight="1" x14ac:dyDescent="0.25">
      <c r="C8" s="96"/>
    </row>
    <row r="9" spans="1:13" ht="15.75" x14ac:dyDescent="0.25">
      <c r="A9" s="54" t="s">
        <v>88</v>
      </c>
      <c r="B9" s="54" t="s">
        <v>121</v>
      </c>
      <c r="C9" s="54"/>
      <c r="D9" s="54"/>
      <c r="E9" s="54"/>
      <c r="F9" s="54"/>
      <c r="G9" s="54" t="s">
        <v>88</v>
      </c>
    </row>
    <row r="10" spans="1:13" x14ac:dyDescent="0.25">
      <c r="B10" s="180" t="s">
        <v>106</v>
      </c>
      <c r="C10" s="96" t="s">
        <v>124</v>
      </c>
      <c r="G10" s="174">
        <v>1</v>
      </c>
    </row>
    <row r="11" spans="1:13" x14ac:dyDescent="0.25">
      <c r="B11" s="180" t="s">
        <v>107</v>
      </c>
      <c r="C11" s="96" t="s">
        <v>122</v>
      </c>
      <c r="G11" s="174">
        <v>2</v>
      </c>
    </row>
    <row r="12" spans="1:13" x14ac:dyDescent="0.25">
      <c r="B12" s="180" t="s">
        <v>108</v>
      </c>
      <c r="C12" s="96" t="s">
        <v>123</v>
      </c>
      <c r="G12" s="174">
        <v>3</v>
      </c>
    </row>
    <row r="13" spans="1:13" x14ac:dyDescent="0.25">
      <c r="B13" s="106" t="str">
        <f>_xlfn.XLOOKUP($C$6,$B$10:$B$12,B10:B12)</f>
        <v>Bear</v>
      </c>
      <c r="C13" s="107" t="str">
        <f>_xlfn.XLOOKUP($C$6,$B$10:$B$12,C10:C12)</f>
        <v xml:space="preserve">Base (-) 25%. </v>
      </c>
      <c r="D13" s="16"/>
      <c r="E13" s="16"/>
      <c r="F13" s="16"/>
      <c r="G13" s="108">
        <f>_xlfn.XLOOKUP($C$6,$B$10:$B$12,G10:G12)</f>
        <v>3</v>
      </c>
    </row>
    <row r="15" spans="1:13" ht="15.75" x14ac:dyDescent="0.25">
      <c r="A15" s="41" t="s">
        <v>88</v>
      </c>
      <c r="B15" s="41" t="s">
        <v>111</v>
      </c>
      <c r="C15" s="41"/>
      <c r="D15" s="41"/>
      <c r="E15" s="41"/>
      <c r="F15" s="41"/>
      <c r="G15" s="41"/>
    </row>
    <row r="16" spans="1:13" ht="7.5" customHeight="1" x14ac:dyDescent="0.25">
      <c r="A16" s="97"/>
      <c r="B16" s="97"/>
      <c r="C16" s="97"/>
      <c r="D16" s="97"/>
      <c r="E16" s="97"/>
      <c r="F16" s="97"/>
      <c r="G16" s="97" t="s">
        <v>88</v>
      </c>
    </row>
    <row r="17" spans="1:7" ht="15.75" x14ac:dyDescent="0.25">
      <c r="A17" s="54" t="s">
        <v>88</v>
      </c>
      <c r="B17" s="54" t="s">
        <v>114</v>
      </c>
      <c r="C17" s="54"/>
      <c r="D17" s="54"/>
      <c r="E17" s="54"/>
      <c r="F17" s="54"/>
      <c r="G17" s="54" t="s">
        <v>88</v>
      </c>
    </row>
    <row r="18" spans="1:7" x14ac:dyDescent="0.25">
      <c r="B18" s="99" t="s">
        <v>118</v>
      </c>
      <c r="C18" s="175">
        <v>0.2</v>
      </c>
      <c r="D18" s="98"/>
      <c r="E18" s="96"/>
      <c r="F18" s="96"/>
      <c r="G18" s="96"/>
    </row>
    <row r="19" spans="1:7" x14ac:dyDescent="0.25">
      <c r="B19" s="99" t="s">
        <v>119</v>
      </c>
      <c r="C19" s="175">
        <v>0.2</v>
      </c>
      <c r="D19" s="98"/>
      <c r="E19" s="96"/>
      <c r="F19" s="96"/>
      <c r="G19" s="96"/>
    </row>
    <row r="20" spans="1:7" x14ac:dyDescent="0.25">
      <c r="B20" s="99" t="s">
        <v>110</v>
      </c>
      <c r="C20" s="176">
        <v>0.15</v>
      </c>
      <c r="D20" s="98"/>
      <c r="E20" s="96"/>
      <c r="F20" s="96"/>
      <c r="G20" s="96"/>
    </row>
    <row r="21" spans="1:7" x14ac:dyDescent="0.25">
      <c r="D21" s="98"/>
      <c r="E21" s="96"/>
      <c r="F21" s="96"/>
      <c r="G21" s="96"/>
    </row>
    <row r="22" spans="1:7" ht="15.75" x14ac:dyDescent="0.25">
      <c r="A22" s="54" t="s">
        <v>88</v>
      </c>
      <c r="B22" s="54" t="s">
        <v>113</v>
      </c>
      <c r="C22" s="54"/>
      <c r="D22" s="54"/>
      <c r="E22" s="54"/>
      <c r="F22" s="54"/>
      <c r="G22" s="54" t="s">
        <v>88</v>
      </c>
    </row>
    <row r="23" spans="1:7" x14ac:dyDescent="0.25">
      <c r="B23" s="77" t="s">
        <v>112</v>
      </c>
      <c r="C23" s="177">
        <v>0.6</v>
      </c>
    </row>
    <row r="25" spans="1:7" x14ac:dyDescent="0.25">
      <c r="B25" t="s">
        <v>105</v>
      </c>
      <c r="C25" s="178">
        <v>0.1</v>
      </c>
      <c r="F25" s="55"/>
      <c r="G25" s="55"/>
    </row>
    <row r="26" spans="1:7" x14ac:dyDescent="0.25">
      <c r="B26" t="s">
        <v>22</v>
      </c>
      <c r="C26" s="177">
        <v>5.9339525283797732E-2</v>
      </c>
      <c r="D26" s="55"/>
      <c r="F26" s="33"/>
      <c r="G26" s="33"/>
    </row>
    <row r="27" spans="1:7" x14ac:dyDescent="0.25">
      <c r="B27" t="s">
        <v>23</v>
      </c>
      <c r="C27" s="178">
        <v>1.3658509982982637E-2</v>
      </c>
      <c r="D27" s="33"/>
      <c r="F27" s="55"/>
      <c r="G27" s="55"/>
    </row>
    <row r="28" spans="1:7" x14ac:dyDescent="0.25">
      <c r="B28" t="s">
        <v>24</v>
      </c>
      <c r="C28" s="178">
        <v>7.6301996430243367E-3</v>
      </c>
      <c r="D28" s="33"/>
      <c r="F28" s="55"/>
      <c r="G28" s="55"/>
    </row>
    <row r="29" spans="1:7" x14ac:dyDescent="0.25">
      <c r="D29" s="33"/>
      <c r="E29" s="55"/>
      <c r="F29" s="55"/>
      <c r="G29" s="55"/>
    </row>
    <row r="30" spans="1:7" x14ac:dyDescent="0.25">
      <c r="C30" s="179">
        <v>2023</v>
      </c>
      <c r="D30" s="105">
        <f>C30+1</f>
        <v>2024</v>
      </c>
      <c r="E30" s="105">
        <f>D30+1</f>
        <v>2025</v>
      </c>
      <c r="F30" s="105">
        <f>E30+1</f>
        <v>2026</v>
      </c>
    </row>
    <row r="31" spans="1:7" ht="4.5" customHeight="1" x14ac:dyDescent="0.25">
      <c r="C31" s="102"/>
      <c r="D31" s="104"/>
      <c r="E31" s="104"/>
      <c r="F31" s="104"/>
    </row>
    <row r="32" spans="1:7" x14ac:dyDescent="0.25">
      <c r="B32" t="s">
        <v>25</v>
      </c>
      <c r="C32" s="95"/>
      <c r="D32" s="180">
        <v>50000</v>
      </c>
      <c r="E32" s="180">
        <v>50000</v>
      </c>
      <c r="F32" s="180">
        <v>50000</v>
      </c>
    </row>
    <row r="33" spans="1:7" x14ac:dyDescent="0.25">
      <c r="B33" t="s">
        <v>103</v>
      </c>
      <c r="C33" s="95"/>
      <c r="D33" s="180">
        <v>3000</v>
      </c>
      <c r="E33">
        <f>D33*2</f>
        <v>6000</v>
      </c>
      <c r="F33">
        <f>D33*3</f>
        <v>9000</v>
      </c>
    </row>
    <row r="34" spans="1:7" x14ac:dyDescent="0.25">
      <c r="B34" t="s">
        <v>104</v>
      </c>
      <c r="C34" s="95"/>
      <c r="D34">
        <f>12*5000</f>
        <v>60000</v>
      </c>
      <c r="E34">
        <f>12*6500</f>
        <v>78000</v>
      </c>
      <c r="F34">
        <f>12*8000</f>
        <v>96000</v>
      </c>
    </row>
    <row r="35" spans="1:7" x14ac:dyDescent="0.25">
      <c r="C35" s="98"/>
    </row>
    <row r="36" spans="1:7" x14ac:dyDescent="0.25">
      <c r="B36" t="s">
        <v>137</v>
      </c>
      <c r="C36" s="181">
        <v>0.25</v>
      </c>
    </row>
    <row r="37" spans="1:7" x14ac:dyDescent="0.25">
      <c r="B37" t="s">
        <v>17</v>
      </c>
      <c r="C37" s="177">
        <v>0.2</v>
      </c>
    </row>
    <row r="38" spans="1:7" ht="15.75" x14ac:dyDescent="0.25">
      <c r="A38" s="41" t="s">
        <v>88</v>
      </c>
      <c r="B38" s="41" t="s">
        <v>111</v>
      </c>
      <c r="C38" s="41"/>
      <c r="D38" s="41"/>
      <c r="E38" s="41"/>
      <c r="F38" s="41"/>
      <c r="G38" s="41" t="s">
        <v>88</v>
      </c>
    </row>
    <row r="39" spans="1:7" ht="7.5" customHeight="1" x14ac:dyDescent="0.25">
      <c r="A39" s="97"/>
      <c r="B39" s="97"/>
      <c r="C39" s="97"/>
      <c r="D39" s="97"/>
      <c r="E39" s="97"/>
      <c r="F39" s="97"/>
      <c r="G39" s="97" t="s">
        <v>88</v>
      </c>
    </row>
    <row r="40" spans="1:7" ht="15.75" x14ac:dyDescent="0.25">
      <c r="A40" s="54" t="s">
        <v>88</v>
      </c>
      <c r="B40" s="54" t="s">
        <v>115</v>
      </c>
      <c r="C40" s="54"/>
      <c r="D40" s="54"/>
      <c r="E40" s="54"/>
      <c r="F40" s="54"/>
      <c r="G40" s="54" t="s">
        <v>88</v>
      </c>
    </row>
    <row r="41" spans="1:7" x14ac:dyDescent="0.25">
      <c r="B41" t="s">
        <v>85</v>
      </c>
      <c r="C41" s="13">
        <f>'Historical Analysis'!X25*365/30</f>
        <v>14.453547806897587</v>
      </c>
    </row>
    <row r="42" spans="1:7" x14ac:dyDescent="0.25">
      <c r="B42" t="s">
        <v>97</v>
      </c>
      <c r="C42" s="13">
        <f>'Historical Analysis'!X26*365/30</f>
        <v>11.136797042226112</v>
      </c>
    </row>
    <row r="43" spans="1:7" x14ac:dyDescent="0.25">
      <c r="B43" s="77"/>
    </row>
    <row r="44" spans="1:7" x14ac:dyDescent="0.25">
      <c r="B44" t="s">
        <v>117</v>
      </c>
      <c r="C44" s="33">
        <f>'Historical Analysis'!W28</f>
        <v>0.16637478108581435</v>
      </c>
    </row>
    <row r="46" spans="1:7" x14ac:dyDescent="0.25">
      <c r="B46" t="s">
        <v>58</v>
      </c>
      <c r="C46" s="33"/>
      <c r="D46" s="172">
        <v>10000</v>
      </c>
      <c r="E46" s="172">
        <v>10000</v>
      </c>
      <c r="F46" s="172">
        <v>10000</v>
      </c>
    </row>
    <row r="48" spans="1:7" x14ac:dyDescent="0.25">
      <c r="B48" t="s">
        <v>140</v>
      </c>
      <c r="D48" s="180">
        <v>2500</v>
      </c>
    </row>
  </sheetData>
  <dataValidations count="2">
    <dataValidation type="list" allowBlank="1" showInputMessage="1" showErrorMessage="1" sqref="C6:C7" xr:uid="{2D07ACAF-FDD5-4FFD-8129-3B5141DFB0EA}">
      <formula1>$B$10:$B$12</formula1>
    </dataValidation>
    <dataValidation type="list" allowBlank="1" showInputMessage="1" showErrorMessage="1" sqref="F7" xr:uid="{F6EDA3EF-EDD1-434C-AFA9-CEDB58A61BDC}">
      <formula1>"30%,35%,40%"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2355-9736-44A6-BC36-027A5CB81D39}">
  <dimension ref="A1:N41"/>
  <sheetViews>
    <sheetView showGridLines="0" topLeftCell="A7" workbookViewId="0">
      <selection activeCell="B9" sqref="B9"/>
    </sheetView>
  </sheetViews>
  <sheetFormatPr defaultRowHeight="15" x14ac:dyDescent="0.25"/>
  <cols>
    <col min="1" max="1" width="4.140625" customWidth="1"/>
    <col min="2" max="2" width="27.28515625" customWidth="1"/>
    <col min="3" max="3" width="5.28515625" customWidth="1"/>
    <col min="4" max="7" width="9.7109375" bestFit="1" customWidth="1"/>
  </cols>
  <sheetData>
    <row r="1" spans="1:14" ht="18" x14ac:dyDescent="0.25">
      <c r="A1" s="202" t="s">
        <v>207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</row>
    <row r="2" spans="1:14" ht="18" x14ac:dyDescent="0.25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</row>
    <row r="4" spans="1:14" x14ac:dyDescent="0.25">
      <c r="A4" s="180"/>
      <c r="D4" s="103">
        <v>2023</v>
      </c>
      <c r="E4" s="105">
        <f>D4+1</f>
        <v>2024</v>
      </c>
      <c r="F4" s="105">
        <f>E4+1</f>
        <v>2025</v>
      </c>
      <c r="G4" s="105">
        <f>F4+1</f>
        <v>2026</v>
      </c>
    </row>
    <row r="5" spans="1:14" ht="4.5" customHeight="1" x14ac:dyDescent="0.25"/>
    <row r="6" spans="1:14" ht="15.75" x14ac:dyDescent="0.25">
      <c r="A6" s="41"/>
      <c r="B6" s="41" t="s">
        <v>126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 t="s">
        <v>88</v>
      </c>
    </row>
    <row r="7" spans="1:14" x14ac:dyDescent="0.25">
      <c r="B7" t="s">
        <v>127</v>
      </c>
      <c r="D7" s="110">
        <v>44986</v>
      </c>
      <c r="E7" s="110">
        <f>DATE(YEAR(D8),MONTH(D8),DAY(D8)+1)</f>
        <v>45200</v>
      </c>
      <c r="F7" s="110">
        <f>DATE(YEAR(E8),MONTH(E8),DAY(E8)+1)</f>
        <v>45566</v>
      </c>
      <c r="G7" s="110">
        <f>DATE(YEAR(F8),MONTH(F8),DAY(F8)+1)</f>
        <v>45931</v>
      </c>
    </row>
    <row r="8" spans="1:14" x14ac:dyDescent="0.25">
      <c r="B8" t="s">
        <v>128</v>
      </c>
      <c r="D8" s="110">
        <v>45199</v>
      </c>
      <c r="E8" s="110">
        <f>DATE(YEAR(D8)+1,MONTH(D8),DAY(D8))</f>
        <v>45565</v>
      </c>
      <c r="F8" s="110">
        <f>DATE(YEAR(E8)+1,MONTH(E8),DAY(E8))</f>
        <v>45930</v>
      </c>
      <c r="G8" s="110">
        <f>DATE(YEAR(F8)+1,MONTH(F8),DAY(F8))</f>
        <v>46295</v>
      </c>
    </row>
    <row r="9" spans="1:14" x14ac:dyDescent="0.25">
      <c r="B9" t="s">
        <v>89</v>
      </c>
      <c r="D9">
        <f>D8-D7+1</f>
        <v>214</v>
      </c>
      <c r="E9">
        <f>E8-E7+1</f>
        <v>366</v>
      </c>
      <c r="F9">
        <f>F8-F7+1</f>
        <v>365</v>
      </c>
      <c r="G9">
        <f>G8-G7+1</f>
        <v>365</v>
      </c>
    </row>
    <row r="11" spans="1:14" ht="15.75" x14ac:dyDescent="0.25">
      <c r="A11" s="41"/>
      <c r="B11" s="41" t="s">
        <v>109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 t="s">
        <v>88</v>
      </c>
    </row>
    <row r="12" spans="1:14" x14ac:dyDescent="0.25">
      <c r="D12" s="100">
        <v>2023</v>
      </c>
      <c r="E12" s="101">
        <f>D12+1</f>
        <v>2024</v>
      </c>
      <c r="F12" s="101">
        <f>E12+1</f>
        <v>2025</v>
      </c>
      <c r="G12" s="101">
        <f>F12+1</f>
        <v>2026</v>
      </c>
    </row>
    <row r="13" spans="1:14" ht="5.25" customHeight="1" x14ac:dyDescent="0.25">
      <c r="D13" s="93"/>
      <c r="E13" s="94"/>
      <c r="F13" s="94"/>
      <c r="G13" s="94"/>
    </row>
    <row r="14" spans="1:14" x14ac:dyDescent="0.25">
      <c r="B14" s="7" t="s">
        <v>102</v>
      </c>
      <c r="C14" s="8"/>
      <c r="D14" s="8"/>
      <c r="E14" s="8"/>
      <c r="F14" s="8"/>
      <c r="G14" s="8"/>
    </row>
    <row r="15" spans="1:14" x14ac:dyDescent="0.25">
      <c r="B15" t="s">
        <v>1</v>
      </c>
      <c r="D15" s="98"/>
      <c r="E15" s="109">
        <f>CHOOSE('Control Panel'!$G$13,Scenarios!E23,Scenarios!E31,Scenarios!E39)</f>
        <v>2.4000000000000004</v>
      </c>
      <c r="F15" s="109">
        <f>CHOOSE('Control Panel'!$G$13,Scenarios!F23,Scenarios!F31,Scenarios!F39)</f>
        <v>2.04</v>
      </c>
      <c r="G15" s="109">
        <f>CHOOSE('Control Panel'!$G$13,Scenarios!G23,Scenarios!G31,Scenarios!G39)</f>
        <v>1.734</v>
      </c>
    </row>
    <row r="16" spans="1:14" x14ac:dyDescent="0.25">
      <c r="B16" t="s">
        <v>3</v>
      </c>
      <c r="D16" s="98"/>
      <c r="E16" s="109">
        <f>CHOOSE('Control Panel'!$G$13,Scenarios!E24,Scenarios!E32,Scenarios!E40)</f>
        <v>2</v>
      </c>
      <c r="F16" s="109">
        <f>CHOOSE('Control Panel'!$G$13,Scenarios!F24,Scenarios!F32,Scenarios!F40)</f>
        <v>1.7000000000000002</v>
      </c>
      <c r="G16" s="109">
        <f>CHOOSE('Control Panel'!$G$13,Scenarios!G24,Scenarios!G32,Scenarios!G40)</f>
        <v>1.4450000000000001</v>
      </c>
    </row>
    <row r="17" spans="1:14" x14ac:dyDescent="0.25">
      <c r="B17" t="s">
        <v>4</v>
      </c>
      <c r="D17" s="98"/>
      <c r="E17" s="109">
        <f>CHOOSE('Control Panel'!$G$13,Scenarios!E25,Scenarios!E33,Scenarios!E41)</f>
        <v>1.2000000000000002</v>
      </c>
      <c r="F17" s="109">
        <f>CHOOSE('Control Panel'!$G$13,Scenarios!F25,Scenarios!F33,Scenarios!F41)</f>
        <v>1.02</v>
      </c>
      <c r="G17" s="109">
        <f>CHOOSE('Control Panel'!$G$13,Scenarios!G25,Scenarios!G33,Scenarios!G41)</f>
        <v>0.86699999999999999</v>
      </c>
    </row>
    <row r="19" spans="1:14" ht="15.75" x14ac:dyDescent="0.25">
      <c r="A19" s="41" t="s">
        <v>88</v>
      </c>
      <c r="B19" s="41" t="s">
        <v>106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 t="s">
        <v>88</v>
      </c>
    </row>
    <row r="20" spans="1:14" x14ac:dyDescent="0.25">
      <c r="D20" s="100">
        <v>2023</v>
      </c>
      <c r="E20" s="101">
        <f>D20+1</f>
        <v>2024</v>
      </c>
      <c r="F20" s="101">
        <f>E20+1</f>
        <v>2025</v>
      </c>
      <c r="G20" s="101">
        <f>F20+1</f>
        <v>2026</v>
      </c>
    </row>
    <row r="21" spans="1:14" ht="7.5" customHeight="1" x14ac:dyDescent="0.25">
      <c r="D21" s="93"/>
      <c r="E21" s="94"/>
      <c r="F21" s="94"/>
      <c r="G21" s="94"/>
    </row>
    <row r="22" spans="1:14" x14ac:dyDescent="0.25">
      <c r="B22" s="7" t="s">
        <v>102</v>
      </c>
      <c r="C22" s="8"/>
      <c r="D22" s="8"/>
      <c r="E22" s="8"/>
      <c r="F22" s="8"/>
      <c r="G22" s="8"/>
    </row>
    <row r="23" spans="1:14" x14ac:dyDescent="0.25">
      <c r="B23" t="s">
        <v>1</v>
      </c>
      <c r="D23" s="98"/>
      <c r="E23" s="182">
        <v>3</v>
      </c>
      <c r="F23" s="109">
        <f>Scenarios!E23*(1-'Control Panel'!$C$20)</f>
        <v>2.5499999999999998</v>
      </c>
      <c r="G23" s="109">
        <f>Scenarios!F23*(1-'Control Panel'!$C$20)</f>
        <v>2.1675</v>
      </c>
    </row>
    <row r="24" spans="1:14" x14ac:dyDescent="0.25">
      <c r="B24" t="s">
        <v>3</v>
      </c>
      <c r="D24" s="98"/>
      <c r="E24" s="182">
        <v>2.5</v>
      </c>
      <c r="F24" s="109">
        <f>Scenarios!E24*(1-'Control Panel'!$C$20)</f>
        <v>2.125</v>
      </c>
      <c r="G24" s="109">
        <f>Scenarios!F24*(1-'Control Panel'!$C$20)</f>
        <v>1.8062499999999999</v>
      </c>
    </row>
    <row r="25" spans="1:14" x14ac:dyDescent="0.25">
      <c r="B25" t="s">
        <v>4</v>
      </c>
      <c r="D25" s="98"/>
      <c r="E25" s="182">
        <v>1.5</v>
      </c>
      <c r="F25" s="109">
        <f>Scenarios!E25*(1-'Control Panel'!$C$20)</f>
        <v>1.2749999999999999</v>
      </c>
      <c r="G25" s="109">
        <f>Scenarios!F25*(1-'Control Panel'!$C$20)</f>
        <v>1.08375</v>
      </c>
    </row>
    <row r="27" spans="1:14" ht="15.75" x14ac:dyDescent="0.25">
      <c r="A27" s="41"/>
      <c r="B27" s="41" t="s">
        <v>107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 t="s">
        <v>88</v>
      </c>
    </row>
    <row r="28" spans="1:14" x14ac:dyDescent="0.25">
      <c r="D28" s="91">
        <v>2023</v>
      </c>
      <c r="E28" s="92">
        <f>D28+1</f>
        <v>2024</v>
      </c>
      <c r="F28" s="92">
        <f>E28+1</f>
        <v>2025</v>
      </c>
      <c r="G28" s="92">
        <f>F28+1</f>
        <v>2026</v>
      </c>
    </row>
    <row r="29" spans="1:14" x14ac:dyDescent="0.25">
      <c r="D29" s="93"/>
      <c r="E29" s="94"/>
      <c r="F29" s="94"/>
      <c r="G29" s="94"/>
    </row>
    <row r="30" spans="1:14" x14ac:dyDescent="0.25">
      <c r="B30" s="7" t="s">
        <v>102</v>
      </c>
      <c r="C30" s="8"/>
      <c r="D30" s="8"/>
      <c r="E30" s="8"/>
      <c r="F30" s="8"/>
      <c r="G30" s="8"/>
    </row>
    <row r="31" spans="1:14" x14ac:dyDescent="0.25">
      <c r="B31" t="s">
        <v>1</v>
      </c>
      <c r="D31" s="98"/>
      <c r="E31" s="109">
        <f>E23*(1+'Control Panel'!$C$18)</f>
        <v>3.5999999999999996</v>
      </c>
      <c r="F31" s="109">
        <f>F23*(1+'Control Panel'!$C$18)</f>
        <v>3.0599999999999996</v>
      </c>
      <c r="G31" s="109">
        <f>G23*(1+'Control Panel'!$C$18)</f>
        <v>2.601</v>
      </c>
    </row>
    <row r="32" spans="1:14" x14ac:dyDescent="0.25">
      <c r="B32" t="s">
        <v>3</v>
      </c>
      <c r="D32" s="98"/>
      <c r="E32" s="109">
        <f>E24*(1+'Control Panel'!$C$18)</f>
        <v>3</v>
      </c>
      <c r="F32" s="109">
        <f>F24*(1+'Control Panel'!$C$18)</f>
        <v>2.5499999999999998</v>
      </c>
      <c r="G32" s="109">
        <f>G24*(1+'Control Panel'!$C$18)</f>
        <v>2.1675</v>
      </c>
    </row>
    <row r="33" spans="1:14" x14ac:dyDescent="0.25">
      <c r="B33" t="s">
        <v>4</v>
      </c>
      <c r="D33" s="98"/>
      <c r="E33" s="109">
        <f>E25*(1+'Control Panel'!$C$18)</f>
        <v>1.7999999999999998</v>
      </c>
      <c r="F33" s="109">
        <f>F25*(1+'Control Panel'!$C$18)</f>
        <v>1.5299999999999998</v>
      </c>
      <c r="G33" s="109">
        <f>G25*(1+'Control Panel'!$C$18)</f>
        <v>1.3005</v>
      </c>
    </row>
    <row r="35" spans="1:14" ht="15.75" x14ac:dyDescent="0.25">
      <c r="A35" s="41" t="s">
        <v>88</v>
      </c>
      <c r="B35" s="41" t="s">
        <v>108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 t="s">
        <v>88</v>
      </c>
    </row>
    <row r="36" spans="1:14" x14ac:dyDescent="0.25">
      <c r="D36" s="91">
        <v>2023</v>
      </c>
      <c r="E36" s="92">
        <f>D36+1</f>
        <v>2024</v>
      </c>
      <c r="F36" s="92">
        <f>E36+1</f>
        <v>2025</v>
      </c>
      <c r="G36" s="92">
        <f>F36+1</f>
        <v>2026</v>
      </c>
    </row>
    <row r="37" spans="1:14" x14ac:dyDescent="0.25">
      <c r="D37" s="93"/>
      <c r="E37" s="94"/>
      <c r="F37" s="94"/>
      <c r="G37" s="94"/>
    </row>
    <row r="38" spans="1:14" x14ac:dyDescent="0.25">
      <c r="B38" s="7" t="s">
        <v>102</v>
      </c>
      <c r="C38" s="8"/>
      <c r="D38" s="8"/>
      <c r="E38" s="8"/>
      <c r="F38" s="8"/>
      <c r="G38" s="8"/>
    </row>
    <row r="39" spans="1:14" x14ac:dyDescent="0.25">
      <c r="B39" t="s">
        <v>1</v>
      </c>
      <c r="D39" s="98"/>
      <c r="E39" s="109">
        <f>E23*(1-'Control Panel'!$C$19)</f>
        <v>2.4000000000000004</v>
      </c>
      <c r="F39" s="109">
        <f>F23*(1-'Control Panel'!$C$19)</f>
        <v>2.04</v>
      </c>
      <c r="G39" s="109">
        <f>G23*(1-'Control Panel'!$C$19)</f>
        <v>1.734</v>
      </c>
    </row>
    <row r="40" spans="1:14" x14ac:dyDescent="0.25">
      <c r="B40" t="s">
        <v>3</v>
      </c>
      <c r="D40" s="98"/>
      <c r="E40" s="109">
        <f>E24*(1-'Control Panel'!$C$19)</f>
        <v>2</v>
      </c>
      <c r="F40" s="109">
        <f>F24*(1-'Control Panel'!$C$19)</f>
        <v>1.7000000000000002</v>
      </c>
      <c r="G40" s="109">
        <f>G24*(1-'Control Panel'!$C$19)</f>
        <v>1.4450000000000001</v>
      </c>
    </row>
    <row r="41" spans="1:14" x14ac:dyDescent="0.25">
      <c r="B41" t="s">
        <v>4</v>
      </c>
      <c r="D41" s="98"/>
      <c r="E41" s="109">
        <f>E25*(1-'Control Panel'!$C$19)</f>
        <v>1.2000000000000002</v>
      </c>
      <c r="F41" s="109">
        <f>F25*(1-'Control Panel'!$C$19)</f>
        <v>1.02</v>
      </c>
      <c r="G41" s="109">
        <f>G25*(1-'Control Panel'!$C$19)</f>
        <v>0.86699999999999999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5AA3-4F9C-43E0-A2BF-CB96AE5CEEBD}">
  <dimension ref="A1:R117"/>
  <sheetViews>
    <sheetView showGridLines="0" workbookViewId="0">
      <selection activeCell="N45" sqref="N45"/>
    </sheetView>
  </sheetViews>
  <sheetFormatPr defaultRowHeight="15" x14ac:dyDescent="0.25"/>
  <cols>
    <col min="1" max="1" width="3.42578125" customWidth="1"/>
    <col min="2" max="2" width="38" bestFit="1" customWidth="1"/>
    <col min="3" max="3" width="2" customWidth="1"/>
    <col min="4" max="4" width="10.28515625" bestFit="1" customWidth="1"/>
    <col min="5" max="5" width="9.42578125" bestFit="1" customWidth="1"/>
    <col min="6" max="6" width="10.28515625" bestFit="1" customWidth="1"/>
    <col min="7" max="10" width="11.28515625" bestFit="1" customWidth="1"/>
    <col min="11" max="11" width="7.28515625" customWidth="1"/>
    <col min="12" max="12" width="17.42578125" bestFit="1" customWidth="1"/>
    <col min="13" max="13" width="10.5703125" bestFit="1" customWidth="1"/>
    <col min="14" max="14" width="12.85546875" bestFit="1" customWidth="1"/>
    <col min="15" max="15" width="10.28515625" bestFit="1" customWidth="1"/>
  </cols>
  <sheetData>
    <row r="1" spans="1:18" ht="18" x14ac:dyDescent="0.25">
      <c r="A1" s="202" t="s">
        <v>204</v>
      </c>
      <c r="B1" s="202"/>
      <c r="C1" s="202"/>
      <c r="D1" s="203"/>
      <c r="E1" s="203"/>
      <c r="F1" s="203"/>
      <c r="G1" s="203"/>
      <c r="H1" s="203"/>
      <c r="I1" s="203"/>
      <c r="J1" s="203"/>
      <c r="K1" s="203"/>
      <c r="L1" s="203"/>
      <c r="M1" s="203"/>
    </row>
    <row r="2" spans="1:18" ht="18" x14ac:dyDescent="0.25">
      <c r="A2" s="202"/>
      <c r="B2" s="202"/>
      <c r="C2" s="202"/>
      <c r="D2" s="203"/>
      <c r="E2" s="203"/>
      <c r="F2" s="203"/>
      <c r="G2" s="203"/>
      <c r="H2" s="203"/>
      <c r="I2" s="203"/>
      <c r="J2" s="203"/>
      <c r="K2" s="203"/>
      <c r="L2" s="203"/>
      <c r="M2" s="203"/>
    </row>
    <row r="4" spans="1:18" ht="15.75" thickBot="1" x14ac:dyDescent="0.3">
      <c r="B4" t="s">
        <v>193</v>
      </c>
      <c r="D4" s="180">
        <v>31</v>
      </c>
      <c r="E4" s="180">
        <v>30</v>
      </c>
      <c r="F4" s="180">
        <v>31</v>
      </c>
      <c r="G4" s="180">
        <v>30</v>
      </c>
      <c r="H4" s="180">
        <v>31</v>
      </c>
      <c r="I4" s="180">
        <v>31</v>
      </c>
      <c r="J4" s="180">
        <v>30</v>
      </c>
    </row>
    <row r="5" spans="1:18" x14ac:dyDescent="0.25">
      <c r="D5" s="1">
        <v>44986</v>
      </c>
      <c r="E5" s="1">
        <v>45017</v>
      </c>
      <c r="F5" s="1">
        <v>45047</v>
      </c>
      <c r="G5" s="1">
        <v>45078</v>
      </c>
      <c r="H5" s="2">
        <v>45108</v>
      </c>
      <c r="I5" s="2">
        <v>45139</v>
      </c>
      <c r="J5" s="2">
        <v>45170</v>
      </c>
      <c r="K5" s="85"/>
      <c r="L5" s="81" t="s">
        <v>100</v>
      </c>
      <c r="M5" s="3"/>
      <c r="Q5" s="4"/>
      <c r="R5" s="5"/>
    </row>
    <row r="6" spans="1:18" ht="5.25" customHeight="1" x14ac:dyDescent="0.25">
      <c r="D6" s="6"/>
      <c r="E6" s="6"/>
      <c r="F6" s="6"/>
      <c r="G6" s="6"/>
      <c r="H6" s="3"/>
      <c r="I6" s="3"/>
      <c r="J6" s="3"/>
      <c r="K6" s="3"/>
      <c r="L6" s="82"/>
      <c r="M6" s="3"/>
      <c r="R6" s="5"/>
    </row>
    <row r="7" spans="1:18" ht="13.5" customHeight="1" x14ac:dyDescent="0.25">
      <c r="B7" s="7" t="s">
        <v>93</v>
      </c>
      <c r="C7" s="8"/>
      <c r="D7" s="8"/>
      <c r="E7" s="8"/>
      <c r="F7" s="8"/>
      <c r="G7" s="8"/>
      <c r="H7" s="8"/>
      <c r="I7" s="8"/>
      <c r="J7" s="8"/>
      <c r="K7" s="61"/>
      <c r="L7" s="82"/>
      <c r="M7" s="3"/>
      <c r="R7" s="5"/>
    </row>
    <row r="8" spans="1:18" ht="13.5" customHeight="1" x14ac:dyDescent="0.25">
      <c r="B8" t="s">
        <v>1</v>
      </c>
      <c r="D8" s="66"/>
      <c r="E8" s="69" t="str">
        <f t="shared" ref="E8:F11" si="0">IFERROR(E33/D33-1,"na")</f>
        <v>na</v>
      </c>
      <c r="F8" s="69" t="str">
        <f t="shared" si="0"/>
        <v>na</v>
      </c>
      <c r="G8" s="69">
        <f>IFERROR(G33/D33-1,"na")</f>
        <v>3.9153094462540716</v>
      </c>
      <c r="H8" s="9" t="s">
        <v>2</v>
      </c>
      <c r="I8" s="9" t="s">
        <v>2</v>
      </c>
      <c r="J8" s="183">
        <v>3.91</v>
      </c>
      <c r="K8" s="31"/>
      <c r="L8" s="82"/>
      <c r="M8" s="3"/>
      <c r="R8" s="5"/>
    </row>
    <row r="9" spans="1:18" ht="13.5" customHeight="1" x14ac:dyDescent="0.25">
      <c r="B9" t="s">
        <v>3</v>
      </c>
      <c r="D9" s="67"/>
      <c r="E9" s="69" t="str">
        <f t="shared" si="0"/>
        <v>na</v>
      </c>
      <c r="F9" s="69" t="str">
        <f t="shared" si="0"/>
        <v>na</v>
      </c>
      <c r="G9" s="69">
        <f>IFERROR(G34/F34-1,"na")</f>
        <v>9.2993630573248387E-2</v>
      </c>
      <c r="H9" s="72">
        <f>153*13</f>
        <v>1989</v>
      </c>
      <c r="I9" s="9" t="s">
        <v>2</v>
      </c>
      <c r="J9" s="9" t="s">
        <v>2</v>
      </c>
      <c r="K9" s="9"/>
      <c r="L9" s="82"/>
      <c r="M9" s="3"/>
      <c r="R9" s="5"/>
    </row>
    <row r="10" spans="1:18" ht="13.5" customHeight="1" x14ac:dyDescent="0.25">
      <c r="B10" t="s">
        <v>4</v>
      </c>
      <c r="D10" s="67"/>
      <c r="E10" s="69" t="str">
        <f t="shared" si="0"/>
        <v>na</v>
      </c>
      <c r="F10" s="69" t="str">
        <f t="shared" si="0"/>
        <v>na</v>
      </c>
      <c r="G10" s="69" t="str">
        <f>IFERROR(G35/F35-1,"na")</f>
        <v>na</v>
      </c>
      <c r="H10" s="184">
        <v>0</v>
      </c>
      <c r="I10" s="9" t="s">
        <v>2</v>
      </c>
      <c r="J10" s="9" t="s">
        <v>2</v>
      </c>
      <c r="K10" s="9"/>
      <c r="L10" s="82"/>
      <c r="M10" s="3"/>
      <c r="R10" s="5"/>
    </row>
    <row r="11" spans="1:18" ht="13.5" customHeight="1" x14ac:dyDescent="0.25">
      <c r="B11" s="10" t="s">
        <v>5</v>
      </c>
      <c r="C11" s="11"/>
      <c r="D11" s="68"/>
      <c r="E11" s="70">
        <f t="shared" si="0"/>
        <v>-1</v>
      </c>
      <c r="F11" s="70" t="str">
        <f t="shared" si="0"/>
        <v>na</v>
      </c>
      <c r="G11" s="70">
        <f>IFERROR(G36/F36-1,"na")</f>
        <v>6.2738853503184711</v>
      </c>
      <c r="H11" s="11"/>
      <c r="I11" s="11"/>
      <c r="J11" s="11"/>
      <c r="K11" s="61"/>
      <c r="L11" s="82"/>
      <c r="M11" s="3"/>
      <c r="R11" s="5"/>
    </row>
    <row r="12" spans="1:18" ht="13.5" customHeight="1" x14ac:dyDescent="0.25">
      <c r="B12" s="77"/>
      <c r="C12" s="61"/>
      <c r="D12" s="78"/>
      <c r="E12" s="76"/>
      <c r="F12" s="76"/>
      <c r="G12" s="76"/>
      <c r="H12" s="61"/>
      <c r="I12" s="61"/>
      <c r="J12" s="61"/>
      <c r="K12" s="61"/>
      <c r="L12" s="82"/>
      <c r="M12" s="3"/>
      <c r="R12" s="5"/>
    </row>
    <row r="13" spans="1:18" ht="13.5" customHeight="1" x14ac:dyDescent="0.25">
      <c r="B13" s="50" t="s">
        <v>94</v>
      </c>
      <c r="C13" s="61"/>
      <c r="D13" s="74">
        <f>IFERROR(-D53/D36,"na")</f>
        <v>0.60043431053203045</v>
      </c>
      <c r="E13" s="74" t="str">
        <f>IFERROR(-E53/E36,"na")</f>
        <v>na</v>
      </c>
      <c r="F13" s="74">
        <f>IFERROR(-F53/F36,"na")</f>
        <v>1.764755838641189</v>
      </c>
      <c r="G13" s="74">
        <f>IFERROR(-G53/G36,"na")</f>
        <v>0.8611792177466433</v>
      </c>
      <c r="H13" s="185">
        <v>1.1161399999999999</v>
      </c>
      <c r="I13" s="185">
        <v>0</v>
      </c>
      <c r="J13" s="185">
        <v>0.71759799999999996</v>
      </c>
      <c r="K13" s="75"/>
      <c r="L13" s="82"/>
      <c r="M13" s="3"/>
      <c r="R13" s="5"/>
    </row>
    <row r="14" spans="1:18" ht="13.5" customHeight="1" x14ac:dyDescent="0.25">
      <c r="B14" s="77"/>
      <c r="C14" s="61"/>
      <c r="D14" s="78"/>
      <c r="E14" s="76"/>
      <c r="F14" s="76"/>
      <c r="G14" s="76"/>
      <c r="H14" s="61"/>
      <c r="I14" s="61"/>
      <c r="J14" s="61"/>
      <c r="K14" s="61"/>
      <c r="L14" s="82"/>
      <c r="M14" s="3"/>
      <c r="R14" s="5"/>
    </row>
    <row r="15" spans="1:18" ht="13.5" customHeight="1" x14ac:dyDescent="0.25">
      <c r="B15" t="s">
        <v>22</v>
      </c>
      <c r="C15" s="61"/>
      <c r="D15" s="78"/>
      <c r="E15" s="76"/>
      <c r="F15" s="76"/>
      <c r="G15" s="76"/>
      <c r="H15" s="90">
        <f>'Historical Analysis'!W16</f>
        <v>5.9339525283797732E-2</v>
      </c>
      <c r="I15" s="90"/>
      <c r="J15" s="90"/>
      <c r="K15" s="80"/>
      <c r="L15" s="82"/>
      <c r="M15" s="3"/>
      <c r="R15" s="5"/>
    </row>
    <row r="16" spans="1:18" ht="13.5" customHeight="1" x14ac:dyDescent="0.25">
      <c r="B16" t="s">
        <v>23</v>
      </c>
      <c r="C16" s="61"/>
      <c r="D16" s="78"/>
      <c r="E16" s="76"/>
      <c r="F16" s="76"/>
      <c r="G16" s="76"/>
      <c r="H16" s="34">
        <f>'Historical Analysis'!X17</f>
        <v>1.3658509982982637E-2</v>
      </c>
      <c r="I16" s="34"/>
      <c r="J16" s="34"/>
      <c r="K16" s="73"/>
      <c r="L16" s="82"/>
      <c r="M16" s="3"/>
      <c r="R16" s="5"/>
    </row>
    <row r="17" spans="2:18" ht="13.5" customHeight="1" x14ac:dyDescent="0.25">
      <c r="B17" t="s">
        <v>24</v>
      </c>
      <c r="C17" s="61"/>
      <c r="D17" s="78"/>
      <c r="E17" s="76"/>
      <c r="F17" s="76"/>
      <c r="G17" s="76"/>
      <c r="H17" s="34">
        <f>'Historical Analysis'!W18</f>
        <v>1.3557483731019523E-2</v>
      </c>
      <c r="I17" s="73"/>
      <c r="J17" s="73"/>
      <c r="K17" s="73"/>
      <c r="L17" s="82"/>
      <c r="M17" s="3"/>
      <c r="R17" s="5"/>
    </row>
    <row r="18" spans="2:18" ht="13.5" customHeight="1" x14ac:dyDescent="0.25">
      <c r="B18" t="s">
        <v>25</v>
      </c>
      <c r="C18" s="61"/>
      <c r="D18" s="78"/>
      <c r="E18" s="76"/>
      <c r="F18" s="76"/>
      <c r="G18" s="76"/>
      <c r="H18" s="186">
        <v>10000</v>
      </c>
      <c r="I18" s="186">
        <v>15000</v>
      </c>
      <c r="J18" s="186">
        <v>5000</v>
      </c>
      <c r="K18" s="73"/>
      <c r="L18" s="82"/>
      <c r="M18" s="3"/>
      <c r="R18" s="5"/>
    </row>
    <row r="19" spans="2:18" ht="13.5" customHeight="1" x14ac:dyDescent="0.25">
      <c r="B19" t="s">
        <v>98</v>
      </c>
      <c r="C19" s="61"/>
      <c r="D19" s="78"/>
      <c r="E19" s="76"/>
      <c r="F19" s="76"/>
      <c r="G19" s="76"/>
      <c r="H19" s="186">
        <v>1000</v>
      </c>
      <c r="I19" s="186">
        <v>0</v>
      </c>
      <c r="J19" s="186">
        <v>0</v>
      </c>
      <c r="K19" s="73"/>
      <c r="L19" s="82"/>
      <c r="M19" s="3"/>
      <c r="R19" s="5"/>
    </row>
    <row r="20" spans="2:18" ht="13.5" customHeight="1" x14ac:dyDescent="0.25">
      <c r="B20" s="77"/>
      <c r="C20" s="61"/>
      <c r="D20" s="78"/>
      <c r="E20" s="76"/>
      <c r="F20" s="76"/>
      <c r="G20" s="76"/>
      <c r="H20" s="73"/>
      <c r="I20" s="73"/>
      <c r="J20" s="73"/>
      <c r="K20" s="73"/>
      <c r="L20" s="82"/>
      <c r="M20" s="3"/>
      <c r="R20" s="5"/>
    </row>
    <row r="21" spans="2:18" ht="13.5" customHeight="1" x14ac:dyDescent="0.25">
      <c r="B21" t="s">
        <v>85</v>
      </c>
      <c r="C21" s="61"/>
      <c r="D21" s="78"/>
      <c r="E21" s="76"/>
      <c r="F21" s="76"/>
      <c r="G21" s="76"/>
      <c r="H21" s="73">
        <f>'Historical Analysis'!X25</f>
        <v>1.1879628334436374</v>
      </c>
      <c r="I21" s="73"/>
      <c r="J21" s="73"/>
      <c r="K21" s="73"/>
      <c r="L21" s="82"/>
      <c r="M21" s="3"/>
      <c r="R21" s="5"/>
    </row>
    <row r="22" spans="2:18" ht="13.5" customHeight="1" x14ac:dyDescent="0.25">
      <c r="B22" t="s">
        <v>97</v>
      </c>
      <c r="C22" s="61"/>
      <c r="D22" s="78"/>
      <c r="E22" s="76"/>
      <c r="F22" s="76"/>
      <c r="G22" s="76"/>
      <c r="H22" s="73">
        <f>'Historical Analysis'!X26</f>
        <v>0.91535318155283119</v>
      </c>
      <c r="I22" s="73"/>
      <c r="J22" s="73"/>
      <c r="K22" s="73"/>
      <c r="L22" s="82"/>
      <c r="M22" s="3"/>
      <c r="R22" s="5"/>
    </row>
    <row r="23" spans="2:18" ht="13.5" customHeight="1" x14ac:dyDescent="0.25">
      <c r="B23" s="77"/>
      <c r="C23" s="61"/>
      <c r="D23" s="78"/>
      <c r="E23" s="76"/>
      <c r="F23" s="76"/>
      <c r="G23" s="76"/>
      <c r="H23" s="73"/>
      <c r="I23" s="73"/>
      <c r="J23" s="73"/>
      <c r="K23" s="73"/>
      <c r="L23" s="82"/>
      <c r="M23" s="3"/>
      <c r="R23" s="5"/>
    </row>
    <row r="24" spans="2:18" ht="13.5" customHeight="1" x14ac:dyDescent="0.25">
      <c r="B24" t="s">
        <v>117</v>
      </c>
      <c r="C24" s="61"/>
      <c r="D24" s="78"/>
      <c r="E24" s="76"/>
      <c r="F24" s="76"/>
      <c r="G24" s="76"/>
      <c r="H24" s="34">
        <f>'Historical Analysis'!W28</f>
        <v>0.16637478108581435</v>
      </c>
      <c r="I24" s="73"/>
      <c r="J24" s="73"/>
      <c r="K24" s="73"/>
      <c r="L24" s="82"/>
      <c r="M24" s="3"/>
      <c r="R24" s="5"/>
    </row>
    <row r="25" spans="2:18" ht="13.5" customHeight="1" x14ac:dyDescent="0.25">
      <c r="B25" t="s">
        <v>96</v>
      </c>
      <c r="C25" s="61"/>
      <c r="D25" s="78"/>
      <c r="E25" s="76"/>
      <c r="F25" s="76"/>
      <c r="G25" s="76"/>
      <c r="H25" s="186">
        <v>6000</v>
      </c>
      <c r="I25" s="186">
        <v>750</v>
      </c>
      <c r="J25" s="186">
        <v>0</v>
      </c>
      <c r="K25" s="73"/>
      <c r="L25" s="82"/>
      <c r="M25" s="3"/>
      <c r="R25" s="5"/>
    </row>
    <row r="26" spans="2:18" ht="13.5" customHeight="1" x14ac:dyDescent="0.25">
      <c r="B26" s="77"/>
      <c r="C26" s="61"/>
      <c r="D26" s="78"/>
      <c r="E26" s="76"/>
      <c r="F26" s="76"/>
      <c r="G26" s="76"/>
      <c r="H26" s="73"/>
      <c r="I26" s="73"/>
      <c r="J26" s="73"/>
      <c r="K26" s="73"/>
      <c r="L26" s="82"/>
      <c r="M26" s="3"/>
      <c r="R26" s="5"/>
    </row>
    <row r="27" spans="2:18" ht="13.5" customHeight="1" x14ac:dyDescent="0.25">
      <c r="B27" t="s">
        <v>95</v>
      </c>
      <c r="C27" s="61"/>
      <c r="D27" s="78"/>
      <c r="E27" s="76"/>
      <c r="F27" s="76"/>
      <c r="G27" s="76"/>
      <c r="H27" s="186">
        <v>20000</v>
      </c>
      <c r="I27" s="186">
        <v>15000</v>
      </c>
      <c r="J27" s="186">
        <v>15000</v>
      </c>
      <c r="K27" s="73"/>
      <c r="L27" s="82"/>
      <c r="M27" s="3"/>
      <c r="R27" s="5"/>
    </row>
    <row r="28" spans="2:18" ht="13.5" customHeight="1" x14ac:dyDescent="0.25">
      <c r="B28" t="s">
        <v>99</v>
      </c>
      <c r="C28" s="61"/>
      <c r="D28" s="78"/>
      <c r="E28" s="76"/>
      <c r="F28" s="76"/>
      <c r="G28" s="76"/>
      <c r="H28" s="186">
        <v>0</v>
      </c>
      <c r="I28" s="186">
        <v>0</v>
      </c>
      <c r="J28" s="186">
        <v>0</v>
      </c>
      <c r="K28" s="73"/>
      <c r="L28" s="82"/>
      <c r="M28" s="3"/>
      <c r="R28" s="5"/>
    </row>
    <row r="29" spans="2:18" ht="13.5" customHeight="1" x14ac:dyDescent="0.25">
      <c r="C29" s="61"/>
      <c r="D29" s="78"/>
      <c r="E29" s="76"/>
      <c r="F29" s="76"/>
      <c r="G29" s="76"/>
      <c r="H29" s="73"/>
      <c r="I29" s="73"/>
      <c r="J29" s="73"/>
      <c r="K29" s="73"/>
      <c r="L29" s="82"/>
      <c r="M29" s="3"/>
      <c r="R29" s="5"/>
    </row>
    <row r="30" spans="2:18" ht="13.5" customHeight="1" x14ac:dyDescent="0.25">
      <c r="B30" t="s">
        <v>58</v>
      </c>
      <c r="C30" s="61"/>
      <c r="D30" s="78"/>
      <c r="E30" s="76"/>
      <c r="F30" s="76"/>
      <c r="G30" s="76"/>
      <c r="H30" s="186">
        <v>0</v>
      </c>
      <c r="I30" s="186">
        <v>0</v>
      </c>
      <c r="J30" s="186">
        <v>0</v>
      </c>
      <c r="K30" s="73"/>
      <c r="L30" s="82"/>
      <c r="M30" s="3"/>
      <c r="R30" s="5"/>
    </row>
    <row r="31" spans="2:18" ht="13.5" customHeight="1" x14ac:dyDescent="0.25">
      <c r="C31" s="61"/>
      <c r="D31" s="1">
        <v>44986</v>
      </c>
      <c r="E31" s="1">
        <v>45017</v>
      </c>
      <c r="F31" s="1">
        <v>45047</v>
      </c>
      <c r="G31" s="1">
        <v>45078</v>
      </c>
      <c r="H31" s="2">
        <v>45108</v>
      </c>
      <c r="I31" s="2">
        <v>45139</v>
      </c>
      <c r="J31" s="2">
        <v>45170</v>
      </c>
      <c r="K31" s="61"/>
      <c r="L31" s="82"/>
      <c r="M31" s="3"/>
      <c r="R31" s="5"/>
    </row>
    <row r="32" spans="2:18" x14ac:dyDescent="0.25">
      <c r="B32" s="7" t="s">
        <v>0</v>
      </c>
      <c r="C32" s="8"/>
      <c r="D32" s="8"/>
      <c r="E32" s="8"/>
      <c r="F32" s="8"/>
      <c r="G32" s="8"/>
      <c r="H32" s="8"/>
      <c r="I32" s="8"/>
      <c r="J32" s="8"/>
      <c r="K32" s="8"/>
      <c r="L32" s="83"/>
      <c r="O32" s="4"/>
      <c r="R32" s="5"/>
    </row>
    <row r="33" spans="2:18" x14ac:dyDescent="0.25">
      <c r="B33" t="s">
        <v>1</v>
      </c>
      <c r="D33" s="187">
        <v>1842</v>
      </c>
      <c r="E33" s="9" t="s">
        <v>2</v>
      </c>
      <c r="F33" s="9" t="s">
        <v>2</v>
      </c>
      <c r="G33" s="187">
        <v>9054</v>
      </c>
      <c r="H33" s="111" t="str">
        <f>IFERROR($G$33*(1+H8),"na")</f>
        <v>na</v>
      </c>
      <c r="I33" s="111" t="str">
        <f>IFERROR($G$33*(1+I8),"na")</f>
        <v>na</v>
      </c>
      <c r="J33" s="112">
        <f>IFERROR($G$33*(1+J8),"na")</f>
        <v>44455.14</v>
      </c>
      <c r="K33" s="112"/>
      <c r="L33" s="113">
        <f>SUM(D33:J33)</f>
        <v>55351.14</v>
      </c>
      <c r="M33" s="25"/>
      <c r="O33" s="4"/>
      <c r="Q33" s="4"/>
      <c r="R33" s="5"/>
    </row>
    <row r="34" spans="2:18" x14ac:dyDescent="0.25">
      <c r="B34" t="s">
        <v>3</v>
      </c>
      <c r="D34" s="9" t="s">
        <v>2</v>
      </c>
      <c r="E34" s="9" t="s">
        <v>2</v>
      </c>
      <c r="F34" s="187">
        <v>2355</v>
      </c>
      <c r="G34" s="187">
        <v>2574</v>
      </c>
      <c r="H34" s="111">
        <f t="shared" ref="H34:J35" si="1">H9</f>
        <v>1989</v>
      </c>
      <c r="I34" s="111" t="str">
        <f t="shared" si="1"/>
        <v>na</v>
      </c>
      <c r="J34" s="111" t="str">
        <f t="shared" si="1"/>
        <v>na</v>
      </c>
      <c r="K34" s="111"/>
      <c r="L34" s="114">
        <f>SUM(D34:J34)</f>
        <v>6918</v>
      </c>
      <c r="O34" s="4"/>
      <c r="Q34" s="4"/>
      <c r="R34" s="5"/>
    </row>
    <row r="35" spans="2:18" x14ac:dyDescent="0.25">
      <c r="B35" t="s">
        <v>4</v>
      </c>
      <c r="D35" s="9" t="s">
        <v>2</v>
      </c>
      <c r="E35" s="9" t="s">
        <v>2</v>
      </c>
      <c r="F35" s="188">
        <v>0</v>
      </c>
      <c r="G35" s="187">
        <v>5502</v>
      </c>
      <c r="H35" s="111">
        <f t="shared" si="1"/>
        <v>0</v>
      </c>
      <c r="I35" s="111" t="str">
        <f t="shared" si="1"/>
        <v>na</v>
      </c>
      <c r="J35" s="111" t="str">
        <f t="shared" si="1"/>
        <v>na</v>
      </c>
      <c r="K35" s="111"/>
      <c r="L35" s="114">
        <f>SUM(D35:J35)</f>
        <v>5502</v>
      </c>
      <c r="O35" s="4"/>
      <c r="Q35" s="4"/>
      <c r="R35" s="5"/>
    </row>
    <row r="36" spans="2:18" x14ac:dyDescent="0.25">
      <c r="B36" s="10" t="s">
        <v>5</v>
      </c>
      <c r="C36" s="11"/>
      <c r="D36" s="12">
        <f>SUM(D33:D35)</f>
        <v>1842</v>
      </c>
      <c r="E36" s="12">
        <f t="shared" ref="E36:J36" si="2">SUM(E33:E35)</f>
        <v>0</v>
      </c>
      <c r="F36" s="12">
        <f t="shared" si="2"/>
        <v>2355</v>
      </c>
      <c r="G36" s="12">
        <f t="shared" si="2"/>
        <v>17130</v>
      </c>
      <c r="H36" s="115">
        <f t="shared" si="2"/>
        <v>1989</v>
      </c>
      <c r="I36" s="115">
        <f t="shared" si="2"/>
        <v>0</v>
      </c>
      <c r="J36" s="115">
        <f t="shared" si="2"/>
        <v>44455.14</v>
      </c>
      <c r="K36" s="115"/>
      <c r="L36" s="116">
        <f>SUM(D36:J36)</f>
        <v>67771.14</v>
      </c>
      <c r="M36" s="79"/>
      <c r="N36" s="4"/>
      <c r="O36" s="4"/>
      <c r="Q36" s="4"/>
      <c r="R36" s="5"/>
    </row>
    <row r="37" spans="2:18" x14ac:dyDescent="0.25">
      <c r="B37" s="50"/>
      <c r="C37" s="61"/>
      <c r="D37" s="65"/>
      <c r="E37" s="65"/>
      <c r="F37" s="65"/>
      <c r="G37" s="65"/>
      <c r="H37" s="117"/>
      <c r="I37" s="117"/>
      <c r="J37" s="117"/>
      <c r="K37" s="117"/>
      <c r="L37" s="118"/>
      <c r="N37" s="4"/>
      <c r="O37" s="4"/>
      <c r="Q37" s="4"/>
      <c r="R37" s="5"/>
    </row>
    <row r="38" spans="2:18" x14ac:dyDescent="0.25">
      <c r="B38" s="7" t="s">
        <v>81</v>
      </c>
      <c r="C38" s="8"/>
      <c r="D38" s="8"/>
      <c r="E38" s="8"/>
      <c r="F38" s="8"/>
      <c r="G38" s="8"/>
      <c r="H38" s="119"/>
      <c r="I38" s="119"/>
      <c r="J38" s="119"/>
      <c r="K38" s="119"/>
      <c r="L38" s="120"/>
      <c r="R38" s="5"/>
    </row>
    <row r="39" spans="2:18" x14ac:dyDescent="0.25">
      <c r="B39" t="s">
        <v>6</v>
      </c>
      <c r="D39" s="187">
        <v>-312</v>
      </c>
      <c r="E39" s="187">
        <v>0</v>
      </c>
      <c r="F39" s="187">
        <v>-176</v>
      </c>
      <c r="G39" s="187">
        <v>-442</v>
      </c>
      <c r="H39" s="172">
        <v>-150</v>
      </c>
      <c r="I39" s="189">
        <v>0</v>
      </c>
      <c r="J39" s="121">
        <f>G39*(1+1)</f>
        <v>-884</v>
      </c>
      <c r="K39" s="121"/>
      <c r="L39" s="123">
        <f t="shared" ref="L39:L63" si="3">SUM(D39:J39)</f>
        <v>-1964</v>
      </c>
      <c r="M39" s="23"/>
    </row>
    <row r="40" spans="2:18" x14ac:dyDescent="0.25">
      <c r="B40" t="s">
        <v>7</v>
      </c>
      <c r="D40" s="187">
        <v>0</v>
      </c>
      <c r="E40" s="187">
        <v>0</v>
      </c>
      <c r="F40" s="187">
        <v>0</v>
      </c>
      <c r="G40" s="187">
        <v>-2388.5</v>
      </c>
      <c r="H40" s="189">
        <v>0</v>
      </c>
      <c r="I40" s="189">
        <v>0</v>
      </c>
      <c r="J40" s="189">
        <v>0</v>
      </c>
      <c r="K40" s="122"/>
      <c r="L40" s="124">
        <f t="shared" si="3"/>
        <v>-2388.5</v>
      </c>
      <c r="M40" s="22"/>
    </row>
    <row r="41" spans="2:18" x14ac:dyDescent="0.25">
      <c r="B41" t="s">
        <v>8</v>
      </c>
      <c r="D41" s="187">
        <v>0</v>
      </c>
      <c r="E41" s="187">
        <v>0</v>
      </c>
      <c r="F41" s="187">
        <v>-1584</v>
      </c>
      <c r="G41" s="187">
        <v>-5220</v>
      </c>
      <c r="H41" s="172">
        <v>-900</v>
      </c>
      <c r="I41" s="189">
        <v>0</v>
      </c>
      <c r="J41" s="121">
        <f>((G41/(G34+G33)*J33))</f>
        <v>-19956.641795665637</v>
      </c>
      <c r="K41" s="121"/>
      <c r="L41" s="123">
        <f t="shared" si="3"/>
        <v>-27660.641795665637</v>
      </c>
      <c r="N41" s="5"/>
      <c r="Q41" s="5"/>
      <c r="R41" s="5"/>
    </row>
    <row r="42" spans="2:18" x14ac:dyDescent="0.25">
      <c r="B42" t="s">
        <v>9</v>
      </c>
      <c r="D42" s="187">
        <v>-686</v>
      </c>
      <c r="E42" s="187">
        <v>0</v>
      </c>
      <c r="F42" s="187">
        <v>-1000</v>
      </c>
      <c r="G42" s="187">
        <v>0</v>
      </c>
      <c r="H42" s="189">
        <v>0</v>
      </c>
      <c r="I42" s="189">
        <v>0</v>
      </c>
      <c r="J42" s="189">
        <v>0</v>
      </c>
      <c r="K42" s="122"/>
      <c r="L42" s="124">
        <f t="shared" si="3"/>
        <v>-1686</v>
      </c>
    </row>
    <row r="43" spans="2:18" x14ac:dyDescent="0.25">
      <c r="B43" t="s">
        <v>10</v>
      </c>
      <c r="D43" s="187">
        <v>0</v>
      </c>
      <c r="E43" s="187">
        <v>0</v>
      </c>
      <c r="F43" s="187">
        <v>-290</v>
      </c>
      <c r="G43" s="187">
        <v>-270</v>
      </c>
      <c r="H43" s="172">
        <v>-126</v>
      </c>
      <c r="I43" s="189">
        <v>0</v>
      </c>
      <c r="J43" s="121">
        <f>(G43/(G33+G34)*J36)</f>
        <v>-1032.240092879257</v>
      </c>
      <c r="K43" s="121"/>
      <c r="L43" s="123">
        <f t="shared" si="3"/>
        <v>-1718.240092879257</v>
      </c>
      <c r="M43" s="23"/>
    </row>
    <row r="44" spans="2:18" x14ac:dyDescent="0.25">
      <c r="B44" t="s">
        <v>11</v>
      </c>
      <c r="D44" s="187">
        <v>0</v>
      </c>
      <c r="E44" s="187">
        <v>0</v>
      </c>
      <c r="F44" s="187">
        <v>-880</v>
      </c>
      <c r="G44" s="187">
        <v>-2360</v>
      </c>
      <c r="H44" s="121">
        <f>F44</f>
        <v>-880</v>
      </c>
      <c r="I44" s="189">
        <v>0</v>
      </c>
      <c r="J44" s="189">
        <v>-6000</v>
      </c>
      <c r="K44" s="122"/>
      <c r="L44" s="124">
        <f t="shared" si="3"/>
        <v>-10120</v>
      </c>
    </row>
    <row r="45" spans="2:18" x14ac:dyDescent="0.25">
      <c r="B45" t="s">
        <v>12</v>
      </c>
      <c r="D45" s="187">
        <v>0</v>
      </c>
      <c r="E45" s="187">
        <v>0</v>
      </c>
      <c r="F45" s="187">
        <v>0</v>
      </c>
      <c r="G45" s="187">
        <v>-1768.5</v>
      </c>
      <c r="H45" s="189">
        <v>0</v>
      </c>
      <c r="I45" s="189">
        <v>0</v>
      </c>
      <c r="J45" s="189">
        <v>0</v>
      </c>
      <c r="K45" s="122"/>
      <c r="L45" s="124">
        <f t="shared" si="3"/>
        <v>-1768.5</v>
      </c>
      <c r="N45" s="153"/>
      <c r="O45" s="23"/>
    </row>
    <row r="46" spans="2:18" x14ac:dyDescent="0.25">
      <c r="B46" t="s">
        <v>13</v>
      </c>
      <c r="D46" s="187">
        <v>0</v>
      </c>
      <c r="E46" s="187">
        <v>0</v>
      </c>
      <c r="F46" s="187">
        <v>0</v>
      </c>
      <c r="G46" s="187">
        <v>-373</v>
      </c>
      <c r="H46" s="189">
        <v>0</v>
      </c>
      <c r="I46" s="189">
        <v>0</v>
      </c>
      <c r="J46" s="121">
        <f>G46/(G34+G33)*J36</f>
        <v>-1426.020572755418</v>
      </c>
      <c r="K46" s="121"/>
      <c r="L46" s="123">
        <f t="shared" si="3"/>
        <v>-1799.020572755418</v>
      </c>
    </row>
    <row r="47" spans="2:18" x14ac:dyDescent="0.25">
      <c r="B47" t="s">
        <v>14</v>
      </c>
      <c r="D47" s="187">
        <v>-88</v>
      </c>
      <c r="E47" s="187">
        <v>0</v>
      </c>
      <c r="F47" s="187">
        <v>-140</v>
      </c>
      <c r="G47" s="187">
        <v>-300</v>
      </c>
      <c r="H47" s="172">
        <v>0</v>
      </c>
      <c r="I47" s="189">
        <v>0</v>
      </c>
      <c r="J47" s="189">
        <v>-300</v>
      </c>
      <c r="K47" s="122"/>
      <c r="L47" s="124">
        <f t="shared" si="3"/>
        <v>-828</v>
      </c>
    </row>
    <row r="48" spans="2:18" x14ac:dyDescent="0.25">
      <c r="B48" t="s">
        <v>15</v>
      </c>
      <c r="D48" s="187">
        <v>0</v>
      </c>
      <c r="E48" s="187">
        <v>0</v>
      </c>
      <c r="F48" s="187">
        <v>-86</v>
      </c>
      <c r="G48" s="187">
        <v>-150</v>
      </c>
      <c r="H48" s="121">
        <f>F48</f>
        <v>-86</v>
      </c>
      <c r="I48" s="189">
        <v>0</v>
      </c>
      <c r="J48" s="189">
        <v>-500</v>
      </c>
      <c r="K48" s="122"/>
      <c r="L48" s="124">
        <f t="shared" si="3"/>
        <v>-822</v>
      </c>
    </row>
    <row r="49" spans="2:15" x14ac:dyDescent="0.25">
      <c r="B49" t="s">
        <v>16</v>
      </c>
      <c r="D49" s="187">
        <v>0</v>
      </c>
      <c r="E49" s="187">
        <v>0</v>
      </c>
      <c r="F49" s="187">
        <v>0</v>
      </c>
      <c r="G49" s="187">
        <v>-170</v>
      </c>
      <c r="H49" s="189">
        <v>-50</v>
      </c>
      <c r="I49" s="189">
        <v>0</v>
      </c>
      <c r="J49" s="189">
        <v>-500</v>
      </c>
      <c r="K49" s="122"/>
      <c r="L49" s="124">
        <f t="shared" si="3"/>
        <v>-720</v>
      </c>
    </row>
    <row r="50" spans="2:15" x14ac:dyDescent="0.25">
      <c r="B50" t="s">
        <v>17</v>
      </c>
      <c r="D50" s="187">
        <v>0</v>
      </c>
      <c r="E50" s="187">
        <v>0</v>
      </c>
      <c r="F50" s="187">
        <v>0</v>
      </c>
      <c r="G50" s="187">
        <v>-110</v>
      </c>
      <c r="H50" s="172">
        <v>-28</v>
      </c>
      <c r="I50" s="189">
        <v>0</v>
      </c>
      <c r="J50" s="121">
        <f>-(110+110+82)</f>
        <v>-302</v>
      </c>
      <c r="K50" s="121"/>
      <c r="L50" s="123">
        <f t="shared" si="3"/>
        <v>-440</v>
      </c>
      <c r="M50" s="20"/>
      <c r="N50" s="22"/>
    </row>
    <row r="51" spans="2:15" x14ac:dyDescent="0.25">
      <c r="B51" t="s">
        <v>18</v>
      </c>
      <c r="D51" s="187">
        <v>-20</v>
      </c>
      <c r="E51" s="187">
        <v>0</v>
      </c>
      <c r="F51" s="187">
        <v>0</v>
      </c>
      <c r="G51" s="187">
        <v>-1000</v>
      </c>
      <c r="H51" s="189">
        <v>0</v>
      </c>
      <c r="I51" s="189">
        <v>0</v>
      </c>
      <c r="J51" s="189">
        <v>-500</v>
      </c>
      <c r="K51" s="122"/>
      <c r="L51" s="124">
        <f t="shared" si="3"/>
        <v>-1520</v>
      </c>
      <c r="O51" s="22"/>
    </row>
    <row r="52" spans="2:15" x14ac:dyDescent="0.25">
      <c r="B52" t="s">
        <v>19</v>
      </c>
      <c r="D52" s="187">
        <v>0</v>
      </c>
      <c r="E52" s="187">
        <v>0</v>
      </c>
      <c r="F52" s="187">
        <v>0</v>
      </c>
      <c r="G52" s="187">
        <v>-200</v>
      </c>
      <c r="H52" s="189">
        <v>0</v>
      </c>
      <c r="I52" s="189">
        <v>0</v>
      </c>
      <c r="J52" s="189">
        <v>-500</v>
      </c>
      <c r="K52" s="122"/>
      <c r="L52" s="124">
        <f t="shared" si="3"/>
        <v>-700</v>
      </c>
    </row>
    <row r="53" spans="2:15" x14ac:dyDescent="0.25">
      <c r="B53" s="14" t="s">
        <v>82</v>
      </c>
      <c r="C53" s="14"/>
      <c r="D53" s="15">
        <f t="shared" ref="D53:J53" si="4">SUM(D39:D52)</f>
        <v>-1106</v>
      </c>
      <c r="E53" s="15">
        <f t="shared" si="4"/>
        <v>0</v>
      </c>
      <c r="F53" s="15">
        <f t="shared" si="4"/>
        <v>-4156</v>
      </c>
      <c r="G53" s="15">
        <f t="shared" si="4"/>
        <v>-14752</v>
      </c>
      <c r="H53" s="125">
        <f t="shared" si="4"/>
        <v>-2220</v>
      </c>
      <c r="I53" s="125">
        <f t="shared" si="4"/>
        <v>0</v>
      </c>
      <c r="J53" s="125">
        <f t="shared" si="4"/>
        <v>-31900.902461300309</v>
      </c>
      <c r="K53" s="125"/>
      <c r="L53" s="126">
        <f t="shared" si="3"/>
        <v>-54134.902461300313</v>
      </c>
      <c r="M53" s="79"/>
    </row>
    <row r="54" spans="2:15" x14ac:dyDescent="0.25">
      <c r="B54" s="14" t="s">
        <v>20</v>
      </c>
      <c r="C54" s="14"/>
      <c r="D54" s="15">
        <f t="shared" ref="D54:J54" si="5">D36+D53</f>
        <v>736</v>
      </c>
      <c r="E54" s="15">
        <f t="shared" si="5"/>
        <v>0</v>
      </c>
      <c r="F54" s="15">
        <f t="shared" si="5"/>
        <v>-1801</v>
      </c>
      <c r="G54" s="15">
        <f t="shared" si="5"/>
        <v>2378</v>
      </c>
      <c r="H54" s="125">
        <f t="shared" si="5"/>
        <v>-231</v>
      </c>
      <c r="I54" s="125">
        <f t="shared" si="5"/>
        <v>0</v>
      </c>
      <c r="J54" s="125">
        <f t="shared" si="5"/>
        <v>12554.23753869969</v>
      </c>
      <c r="K54" s="125"/>
      <c r="L54" s="126">
        <f t="shared" si="3"/>
        <v>13636.23753869969</v>
      </c>
      <c r="N54" s="23"/>
    </row>
    <row r="55" spans="2:15" x14ac:dyDescent="0.25">
      <c r="B55" t="s">
        <v>21</v>
      </c>
      <c r="D55" s="187">
        <v>-184.20000000000002</v>
      </c>
      <c r="E55" s="187">
        <v>0</v>
      </c>
      <c r="F55" s="187">
        <v>-235.5</v>
      </c>
      <c r="G55" s="187">
        <v>-1713</v>
      </c>
      <c r="H55" s="121">
        <f>-10%*H36</f>
        <v>-198.9</v>
      </c>
      <c r="I55" s="121">
        <f>-10%*I36</f>
        <v>0</v>
      </c>
      <c r="J55" s="121">
        <f>-10%*J36</f>
        <v>-4445.5140000000001</v>
      </c>
      <c r="K55" s="121"/>
      <c r="L55" s="123">
        <f t="shared" si="3"/>
        <v>-6777.1139999999996</v>
      </c>
      <c r="M55" s="20"/>
    </row>
    <row r="56" spans="2:15" x14ac:dyDescent="0.25">
      <c r="B56" t="s">
        <v>22</v>
      </c>
      <c r="D56" s="187">
        <v>0</v>
      </c>
      <c r="E56" s="187">
        <v>0</v>
      </c>
      <c r="F56" s="187">
        <v>0</v>
      </c>
      <c r="G56" s="187">
        <v>-690</v>
      </c>
      <c r="H56" s="127">
        <f t="shared" ref="H56:J57" si="6">-$H15*H$36</f>
        <v>-118.02631578947368</v>
      </c>
      <c r="I56" s="127">
        <f t="shared" si="6"/>
        <v>0</v>
      </c>
      <c r="J56" s="127">
        <f t="shared" si="6"/>
        <v>-2637.9469040247677</v>
      </c>
      <c r="K56" s="127"/>
      <c r="L56" s="124">
        <f t="shared" si="3"/>
        <v>-3445.9732198142415</v>
      </c>
      <c r="M56" s="20"/>
    </row>
    <row r="57" spans="2:15" x14ac:dyDescent="0.25">
      <c r="B57" t="s">
        <v>23</v>
      </c>
      <c r="D57" s="187">
        <v>0</v>
      </c>
      <c r="E57" s="187">
        <v>0</v>
      </c>
      <c r="F57" s="187">
        <v>-80</v>
      </c>
      <c r="G57" s="187">
        <v>-120</v>
      </c>
      <c r="H57" s="127">
        <f t="shared" si="6"/>
        <v>-27.166776356152464</v>
      </c>
      <c r="I57" s="127">
        <f t="shared" si="6"/>
        <v>0</v>
      </c>
      <c r="J57" s="127">
        <f t="shared" si="6"/>
        <v>-607.19097348489072</v>
      </c>
      <c r="K57" s="127"/>
      <c r="L57" s="124">
        <f t="shared" si="3"/>
        <v>-834.35774984104319</v>
      </c>
      <c r="N57" s="22"/>
    </row>
    <row r="58" spans="2:15" x14ac:dyDescent="0.25">
      <c r="B58" t="s">
        <v>24</v>
      </c>
      <c r="D58" s="187">
        <v>-5</v>
      </c>
      <c r="E58" s="187">
        <v>0</v>
      </c>
      <c r="F58" s="187">
        <v>-20</v>
      </c>
      <c r="G58" s="187">
        <v>-200</v>
      </c>
      <c r="H58" s="127">
        <f>-$H17*-H$53</f>
        <v>-30.097613882863342</v>
      </c>
      <c r="I58" s="127">
        <f>-$H17*-I$53</f>
        <v>0</v>
      </c>
      <c r="J58" s="127">
        <f>-$H17*-J$53</f>
        <v>-432.49596612391963</v>
      </c>
      <c r="K58" s="127"/>
      <c r="L58" s="124">
        <f t="shared" si="3"/>
        <v>-687.59358000678299</v>
      </c>
    </row>
    <row r="59" spans="2:15" x14ac:dyDescent="0.25">
      <c r="B59" t="s">
        <v>25</v>
      </c>
      <c r="D59" s="187">
        <v>-200</v>
      </c>
      <c r="E59" s="187">
        <v>-600</v>
      </c>
      <c r="F59" s="187">
        <v>0</v>
      </c>
      <c r="G59" s="187">
        <v>0</v>
      </c>
      <c r="H59" s="127">
        <f t="shared" ref="H59:J60" si="7">-H18</f>
        <v>-10000</v>
      </c>
      <c r="I59" s="127">
        <f t="shared" si="7"/>
        <v>-15000</v>
      </c>
      <c r="J59" s="127">
        <f t="shared" si="7"/>
        <v>-5000</v>
      </c>
      <c r="K59" s="127"/>
      <c r="L59" s="124">
        <f t="shared" si="3"/>
        <v>-30800</v>
      </c>
    </row>
    <row r="60" spans="2:15" x14ac:dyDescent="0.25">
      <c r="B60" t="s">
        <v>26</v>
      </c>
      <c r="D60" s="187">
        <v>0</v>
      </c>
      <c r="E60" s="187">
        <v>0</v>
      </c>
      <c r="F60" s="187">
        <v>0</v>
      </c>
      <c r="G60" s="187">
        <v>-1200</v>
      </c>
      <c r="H60" s="127">
        <f t="shared" si="7"/>
        <v>-1000</v>
      </c>
      <c r="I60" s="127">
        <f t="shared" si="7"/>
        <v>0</v>
      </c>
      <c r="J60" s="127">
        <f t="shared" si="7"/>
        <v>0</v>
      </c>
      <c r="K60" s="127"/>
      <c r="L60" s="124">
        <f t="shared" si="3"/>
        <v>-2200</v>
      </c>
    </row>
    <row r="61" spans="2:15" x14ac:dyDescent="0.25">
      <c r="B61" s="10" t="s">
        <v>27</v>
      </c>
      <c r="C61" s="10"/>
      <c r="D61" s="12">
        <f>SUM(D54:D60)</f>
        <v>346.79999999999995</v>
      </c>
      <c r="E61" s="12">
        <f t="shared" ref="E61:J61" si="8">SUM(E54:E60)</f>
        <v>-600</v>
      </c>
      <c r="F61" s="12">
        <f t="shared" si="8"/>
        <v>-2136.5</v>
      </c>
      <c r="G61" s="12">
        <f t="shared" si="8"/>
        <v>-1545</v>
      </c>
      <c r="H61" s="115">
        <f>SUM(H54:H60)</f>
        <v>-11605.19070602849</v>
      </c>
      <c r="I61" s="115">
        <f t="shared" si="8"/>
        <v>-15000</v>
      </c>
      <c r="J61" s="115">
        <f t="shared" si="8"/>
        <v>-568.91030493388826</v>
      </c>
      <c r="K61" s="115"/>
      <c r="L61" s="128">
        <f t="shared" si="3"/>
        <v>-31108.801010962379</v>
      </c>
    </row>
    <row r="62" spans="2:15" x14ac:dyDescent="0.25">
      <c r="B62" t="s">
        <v>28</v>
      </c>
      <c r="D62" s="187">
        <v>0</v>
      </c>
      <c r="E62" s="187">
        <v>0</v>
      </c>
      <c r="F62" s="187">
        <v>0</v>
      </c>
      <c r="G62" s="187">
        <v>-346.5</v>
      </c>
      <c r="H62" s="189">
        <v>0</v>
      </c>
      <c r="I62" s="189">
        <v>0</v>
      </c>
      <c r="J62" s="189">
        <v>0</v>
      </c>
      <c r="K62" s="122"/>
      <c r="L62" s="124">
        <f t="shared" si="3"/>
        <v>-346.5</v>
      </c>
    </row>
    <row r="63" spans="2:15" ht="15.75" thickBot="1" x14ac:dyDescent="0.3">
      <c r="B63" s="17" t="s">
        <v>29</v>
      </c>
      <c r="C63" s="17"/>
      <c r="D63" s="18">
        <f>SUM(D61:D62)</f>
        <v>346.79999999999995</v>
      </c>
      <c r="E63" s="18">
        <f t="shared" ref="E63:J63" si="9">SUM(E61:E62)</f>
        <v>-600</v>
      </c>
      <c r="F63" s="18">
        <f t="shared" si="9"/>
        <v>-2136.5</v>
      </c>
      <c r="G63" s="18">
        <f t="shared" si="9"/>
        <v>-1891.5</v>
      </c>
      <c r="H63" s="129">
        <f t="shared" si="9"/>
        <v>-11605.19070602849</v>
      </c>
      <c r="I63" s="129">
        <f t="shared" si="9"/>
        <v>-15000</v>
      </c>
      <c r="J63" s="129">
        <f t="shared" si="9"/>
        <v>-568.91030493388826</v>
      </c>
      <c r="K63" s="129"/>
      <c r="L63" s="130">
        <f t="shared" si="3"/>
        <v>-31455.301010962379</v>
      </c>
    </row>
    <row r="64" spans="2:15" ht="15.75" thickTop="1" x14ac:dyDescent="0.25">
      <c r="E64" s="20"/>
      <c r="F64" s="20"/>
      <c r="G64" s="20"/>
      <c r="L64" s="84"/>
    </row>
    <row r="65" spans="2:15" x14ac:dyDescent="0.25">
      <c r="E65" s="20"/>
      <c r="F65" s="20"/>
      <c r="G65" s="20"/>
      <c r="L65" s="84"/>
    </row>
    <row r="66" spans="2:15" x14ac:dyDescent="0.25">
      <c r="D66" s="1">
        <v>44986</v>
      </c>
      <c r="E66" s="1">
        <v>45017</v>
      </c>
      <c r="F66" s="1">
        <v>45047</v>
      </c>
      <c r="G66" s="1">
        <v>45078</v>
      </c>
      <c r="H66" s="2">
        <v>45108</v>
      </c>
      <c r="I66" s="2">
        <v>45139</v>
      </c>
      <c r="J66" s="2">
        <v>45170</v>
      </c>
      <c r="K66" s="2"/>
      <c r="L66" s="86" t="s">
        <v>100</v>
      </c>
      <c r="M66" s="3"/>
    </row>
    <row r="67" spans="2:15" ht="6.75" customHeight="1" x14ac:dyDescent="0.25">
      <c r="E67" s="20"/>
      <c r="F67" s="20"/>
      <c r="G67" s="20"/>
      <c r="L67" s="84"/>
    </row>
    <row r="68" spans="2:15" x14ac:dyDescent="0.25">
      <c r="B68" s="7" t="s">
        <v>30</v>
      </c>
      <c r="C68" s="8"/>
      <c r="D68" s="8"/>
      <c r="E68" s="8"/>
      <c r="F68" s="8"/>
      <c r="G68" s="8"/>
      <c r="H68" s="8"/>
      <c r="I68" s="8"/>
      <c r="J68" s="8"/>
      <c r="K68" s="8"/>
      <c r="L68" s="83"/>
    </row>
    <row r="69" spans="2:15" x14ac:dyDescent="0.25">
      <c r="B69" s="5" t="s">
        <v>31</v>
      </c>
      <c r="D69" s="21"/>
      <c r="E69" s="21"/>
      <c r="F69" s="21"/>
      <c r="G69" s="21"/>
      <c r="L69" s="84"/>
    </row>
    <row r="70" spans="2:15" x14ac:dyDescent="0.25">
      <c r="B70" t="s">
        <v>32</v>
      </c>
      <c r="D70" s="187">
        <v>0</v>
      </c>
      <c r="E70" s="187">
        <v>0</v>
      </c>
      <c r="F70" s="187">
        <v>0</v>
      </c>
      <c r="G70" s="187">
        <v>6490</v>
      </c>
      <c r="H70" s="121">
        <f>G70+H50</f>
        <v>6462</v>
      </c>
      <c r="I70" s="121">
        <f>H70+I50</f>
        <v>6462</v>
      </c>
      <c r="J70" s="121">
        <f>I70+J50</f>
        <v>6160</v>
      </c>
      <c r="K70" s="121"/>
      <c r="L70" s="118">
        <f>J70</f>
        <v>6160</v>
      </c>
      <c r="O70" s="25"/>
    </row>
    <row r="71" spans="2:15" x14ac:dyDescent="0.25">
      <c r="D71" s="21"/>
      <c r="E71" s="21"/>
      <c r="F71" s="21"/>
      <c r="G71" s="21"/>
      <c r="H71" s="121"/>
      <c r="I71" s="121"/>
      <c r="J71" s="121"/>
      <c r="K71" s="121"/>
      <c r="L71" s="118"/>
    </row>
    <row r="72" spans="2:15" x14ac:dyDescent="0.25">
      <c r="B72" s="5" t="s">
        <v>33</v>
      </c>
      <c r="D72" s="21"/>
      <c r="E72" s="21"/>
      <c r="F72" s="21"/>
      <c r="G72" s="21"/>
      <c r="H72" s="121"/>
      <c r="I72" s="121"/>
      <c r="J72" s="121"/>
      <c r="K72" s="121"/>
      <c r="L72" s="118"/>
      <c r="O72" s="5"/>
    </row>
    <row r="73" spans="2:15" x14ac:dyDescent="0.25">
      <c r="B73" t="s">
        <v>34</v>
      </c>
      <c r="D73" s="187">
        <v>0</v>
      </c>
      <c r="E73" s="187">
        <v>0</v>
      </c>
      <c r="F73" s="187">
        <v>396</v>
      </c>
      <c r="G73" s="187">
        <v>300</v>
      </c>
      <c r="H73" s="121">
        <f>$H$21*-H53/H4</f>
        <v>85.07346742725403</v>
      </c>
      <c r="I73" s="121">
        <f>$H$21*-I53/I4</f>
        <v>0</v>
      </c>
      <c r="J73" s="121">
        <f>$H$21*-J53/J4</f>
        <v>1263.2362159111806</v>
      </c>
      <c r="K73" s="121"/>
      <c r="L73" s="118">
        <f>J73</f>
        <v>1263.2362159111806</v>
      </c>
    </row>
    <row r="74" spans="2:15" x14ac:dyDescent="0.25">
      <c r="B74" t="s">
        <v>35</v>
      </c>
      <c r="D74" s="187">
        <v>0</v>
      </c>
      <c r="E74" s="187">
        <v>0</v>
      </c>
      <c r="F74" s="187">
        <v>0</v>
      </c>
      <c r="G74" s="187">
        <v>1568</v>
      </c>
      <c r="H74" s="121">
        <f>$H$22*H36/H4</f>
        <v>58.730241229309073</v>
      </c>
      <c r="I74" s="121">
        <f>$H$22*I36/I4</f>
        <v>0</v>
      </c>
      <c r="J74" s="121">
        <f>$H$22*J36/J4</f>
        <v>1356.4051278458842</v>
      </c>
      <c r="K74" s="121"/>
      <c r="L74" s="118">
        <f>J74</f>
        <v>1356.4051278458842</v>
      </c>
    </row>
    <row r="75" spans="2:15" x14ac:dyDescent="0.25">
      <c r="B75" t="s">
        <v>36</v>
      </c>
      <c r="D75" s="187">
        <v>0</v>
      </c>
      <c r="E75" s="187">
        <v>0</v>
      </c>
      <c r="F75" s="187">
        <v>0</v>
      </c>
      <c r="G75" s="187">
        <v>346.5</v>
      </c>
      <c r="H75" s="127">
        <f>G75+-H62</f>
        <v>346.5</v>
      </c>
      <c r="I75" s="127">
        <f>H75+-I62</f>
        <v>346.5</v>
      </c>
      <c r="J75" s="127">
        <f>I75+-J62</f>
        <v>346.5</v>
      </c>
      <c r="K75" s="127"/>
      <c r="L75" s="124">
        <f>J75</f>
        <v>346.5</v>
      </c>
      <c r="N75" s="23"/>
    </row>
    <row r="76" spans="2:15" x14ac:dyDescent="0.25">
      <c r="B76" t="s">
        <v>37</v>
      </c>
      <c r="D76" s="187">
        <v>346.8</v>
      </c>
      <c r="E76" s="187">
        <v>0</v>
      </c>
      <c r="F76" s="187">
        <v>0</v>
      </c>
      <c r="G76" s="187">
        <v>1900.0000000000009</v>
      </c>
      <c r="H76" s="127">
        <f>H116</f>
        <v>3527.925024894631</v>
      </c>
      <c r="I76" s="127">
        <f>I116</f>
        <v>2590.8092939715052</v>
      </c>
      <c r="J76" s="127">
        <f>J116</f>
        <v>22100.471830919781</v>
      </c>
      <c r="K76" s="127"/>
      <c r="L76" s="124">
        <f>J76</f>
        <v>22100.471830919781</v>
      </c>
    </row>
    <row r="77" spans="2:15" x14ac:dyDescent="0.25">
      <c r="B77" s="10" t="s">
        <v>38</v>
      </c>
      <c r="C77" s="11"/>
      <c r="D77" s="12">
        <f t="shared" ref="D77:J77" si="10">SUM(D73:D76)</f>
        <v>346.8</v>
      </c>
      <c r="E77" s="12">
        <f t="shared" si="10"/>
        <v>0</v>
      </c>
      <c r="F77" s="12">
        <f t="shared" si="10"/>
        <v>396</v>
      </c>
      <c r="G77" s="12">
        <f t="shared" si="10"/>
        <v>4114.5000000000009</v>
      </c>
      <c r="H77" s="115">
        <f t="shared" si="10"/>
        <v>4018.2287335511942</v>
      </c>
      <c r="I77" s="115">
        <f t="shared" si="10"/>
        <v>2937.3092939715052</v>
      </c>
      <c r="J77" s="115">
        <f t="shared" si="10"/>
        <v>25066.613174676844</v>
      </c>
      <c r="K77" s="115"/>
      <c r="L77" s="116">
        <f>SUM(L73:L76)</f>
        <v>25066.613174676844</v>
      </c>
    </row>
    <row r="78" spans="2:15" ht="15.75" thickBot="1" x14ac:dyDescent="0.3">
      <c r="B78" s="17" t="s">
        <v>39</v>
      </c>
      <c r="C78" s="19"/>
      <c r="D78" s="18">
        <f t="shared" ref="D78:J78" si="11">D77+D70</f>
        <v>346.8</v>
      </c>
      <c r="E78" s="18">
        <f t="shared" si="11"/>
        <v>0</v>
      </c>
      <c r="F78" s="18">
        <f t="shared" si="11"/>
        <v>396</v>
      </c>
      <c r="G78" s="18">
        <f t="shared" si="11"/>
        <v>10604.5</v>
      </c>
      <c r="H78" s="129">
        <f t="shared" si="11"/>
        <v>10480.228733551194</v>
      </c>
      <c r="I78" s="129">
        <f t="shared" si="11"/>
        <v>9399.3092939715061</v>
      </c>
      <c r="J78" s="129">
        <f t="shared" si="11"/>
        <v>31226.613174676844</v>
      </c>
      <c r="K78" s="129"/>
      <c r="L78" s="131">
        <f>L77+L70</f>
        <v>31226.613174676844</v>
      </c>
    </row>
    <row r="79" spans="2:15" ht="15.75" thickTop="1" x14ac:dyDescent="0.25">
      <c r="D79" s="21"/>
      <c r="E79" s="21"/>
      <c r="F79" s="21"/>
      <c r="G79" s="21"/>
      <c r="H79" s="121"/>
      <c r="I79" s="121"/>
      <c r="J79" s="121"/>
      <c r="K79" s="121"/>
      <c r="L79" s="118"/>
      <c r="N79" s="23"/>
    </row>
    <row r="80" spans="2:15" x14ac:dyDescent="0.25">
      <c r="B80" s="5" t="s">
        <v>40</v>
      </c>
      <c r="D80" s="21"/>
      <c r="E80" s="21"/>
      <c r="F80" s="21"/>
      <c r="G80" s="21"/>
      <c r="H80" s="121"/>
      <c r="I80" s="121"/>
      <c r="J80" s="121"/>
      <c r="K80" s="121"/>
      <c r="L80" s="118"/>
    </row>
    <row r="81" spans="2:13" x14ac:dyDescent="0.25">
      <c r="B81" t="s">
        <v>116</v>
      </c>
      <c r="D81" s="187">
        <v>0</v>
      </c>
      <c r="E81" s="187">
        <v>0</v>
      </c>
      <c r="F81" s="187">
        <v>0</v>
      </c>
      <c r="G81" s="187">
        <v>2850</v>
      </c>
      <c r="H81" s="127">
        <f>$H$24*H36</f>
        <v>330.91943957968476</v>
      </c>
      <c r="I81" s="127">
        <f>$H$24*I36</f>
        <v>0</v>
      </c>
      <c r="J81" s="127">
        <f>$H$24*J36</f>
        <v>7396.2141856392291</v>
      </c>
      <c r="K81" s="127"/>
      <c r="L81" s="124">
        <f>J81</f>
        <v>7396.2141856392291</v>
      </c>
    </row>
    <row r="82" spans="2:13" x14ac:dyDescent="0.25">
      <c r="B82" t="s">
        <v>42</v>
      </c>
      <c r="D82" s="187">
        <v>0</v>
      </c>
      <c r="E82" s="187">
        <v>0</v>
      </c>
      <c r="F82" s="187">
        <v>0</v>
      </c>
      <c r="G82" s="187">
        <v>6750</v>
      </c>
      <c r="H82" s="127">
        <f>G82-H25</f>
        <v>750</v>
      </c>
      <c r="I82" s="127">
        <f>H82-I25</f>
        <v>0</v>
      </c>
      <c r="J82" s="127">
        <f>I82-J25</f>
        <v>0</v>
      </c>
      <c r="K82" s="127"/>
      <c r="L82" s="124">
        <f>J82</f>
        <v>0</v>
      </c>
    </row>
    <row r="83" spans="2:13" x14ac:dyDescent="0.25">
      <c r="B83" s="14" t="s">
        <v>43</v>
      </c>
      <c r="C83" s="14"/>
      <c r="D83" s="15">
        <f>SUM(D81:D82)</f>
        <v>0</v>
      </c>
      <c r="E83" s="15">
        <f t="shared" ref="E83:L83" si="12">SUM(E81:E82)</f>
        <v>0</v>
      </c>
      <c r="F83" s="15">
        <f t="shared" si="12"/>
        <v>0</v>
      </c>
      <c r="G83" s="15">
        <f t="shared" si="12"/>
        <v>9600</v>
      </c>
      <c r="H83" s="125">
        <f t="shared" si="12"/>
        <v>1080.9194395796849</v>
      </c>
      <c r="I83" s="125">
        <f t="shared" si="12"/>
        <v>0</v>
      </c>
      <c r="J83" s="125">
        <f t="shared" si="12"/>
        <v>7396.2141856392291</v>
      </c>
      <c r="K83" s="125"/>
      <c r="L83" s="132">
        <f t="shared" si="12"/>
        <v>7396.2141856392291</v>
      </c>
    </row>
    <row r="84" spans="2:13" x14ac:dyDescent="0.25">
      <c r="D84" s="21"/>
      <c r="E84" s="21"/>
      <c r="F84" s="21"/>
      <c r="G84" s="21"/>
      <c r="H84" s="121"/>
      <c r="I84" s="121"/>
      <c r="J84" s="121"/>
      <c r="K84" s="121"/>
      <c r="L84" s="118"/>
    </row>
    <row r="85" spans="2:13" x14ac:dyDescent="0.25">
      <c r="B85" s="5" t="s">
        <v>44</v>
      </c>
      <c r="D85" s="21"/>
      <c r="E85" s="21"/>
      <c r="F85" s="21"/>
      <c r="G85" s="21"/>
      <c r="H85" s="121"/>
      <c r="I85" s="121"/>
      <c r="J85" s="121"/>
      <c r="K85" s="121"/>
      <c r="L85" s="118"/>
    </row>
    <row r="86" spans="2:13" x14ac:dyDescent="0.25">
      <c r="B86" t="s">
        <v>45</v>
      </c>
      <c r="D86" s="187">
        <v>0</v>
      </c>
      <c r="E86" s="187">
        <v>0</v>
      </c>
      <c r="F86" s="187">
        <v>0</v>
      </c>
      <c r="G86" s="187">
        <v>2500</v>
      </c>
      <c r="H86" s="127">
        <f>G86+H111</f>
        <v>2500</v>
      </c>
      <c r="I86" s="127">
        <f>H86+I111</f>
        <v>2500</v>
      </c>
      <c r="J86" s="127">
        <f>I86+J111</f>
        <v>2500</v>
      </c>
      <c r="K86" s="127"/>
      <c r="L86" s="124">
        <f>J86</f>
        <v>2500</v>
      </c>
    </row>
    <row r="87" spans="2:13" x14ac:dyDescent="0.25">
      <c r="D87" s="21"/>
      <c r="E87" s="21"/>
      <c r="F87" s="21"/>
      <c r="G87" s="21"/>
      <c r="H87" s="121"/>
      <c r="I87" s="121"/>
      <c r="J87" s="121"/>
      <c r="K87" s="121"/>
      <c r="L87" s="118"/>
    </row>
    <row r="88" spans="2:13" x14ac:dyDescent="0.25">
      <c r="B88" s="14" t="s">
        <v>46</v>
      </c>
      <c r="C88" s="16"/>
      <c r="D88" s="15">
        <f t="shared" ref="D88:J88" si="13">D86+D83</f>
        <v>0</v>
      </c>
      <c r="E88" s="15">
        <f t="shared" si="13"/>
        <v>0</v>
      </c>
      <c r="F88" s="15">
        <f t="shared" si="13"/>
        <v>0</v>
      </c>
      <c r="G88" s="15">
        <f t="shared" si="13"/>
        <v>12100</v>
      </c>
      <c r="H88" s="125">
        <f t="shared" si="13"/>
        <v>3580.9194395796849</v>
      </c>
      <c r="I88" s="125">
        <f t="shared" si="13"/>
        <v>2500</v>
      </c>
      <c r="J88" s="125">
        <f t="shared" si="13"/>
        <v>9896.21418563923</v>
      </c>
      <c r="K88" s="125"/>
      <c r="L88" s="132">
        <f>J88</f>
        <v>9896.21418563923</v>
      </c>
    </row>
    <row r="89" spans="2:13" x14ac:dyDescent="0.25">
      <c r="D89" s="21"/>
      <c r="E89" s="21"/>
      <c r="F89" s="21"/>
      <c r="G89" s="21"/>
      <c r="H89" s="121"/>
      <c r="I89" s="121"/>
      <c r="J89" s="121"/>
      <c r="K89" s="121"/>
      <c r="L89" s="118"/>
      <c r="M89" s="23"/>
    </row>
    <row r="90" spans="2:13" x14ac:dyDescent="0.25">
      <c r="B90" s="7" t="s">
        <v>47</v>
      </c>
      <c r="C90" s="8"/>
      <c r="D90" s="24"/>
      <c r="E90" s="24"/>
      <c r="F90" s="24"/>
      <c r="G90" s="24"/>
      <c r="H90" s="119"/>
      <c r="I90" s="119"/>
      <c r="J90" s="119"/>
      <c r="K90" s="119"/>
      <c r="L90" s="120"/>
    </row>
    <row r="91" spans="2:13" x14ac:dyDescent="0.25">
      <c r="B91" t="s">
        <v>48</v>
      </c>
      <c r="D91" s="187">
        <v>0</v>
      </c>
      <c r="E91" s="187">
        <v>253.20000000000005</v>
      </c>
      <c r="F91" s="187">
        <v>2785.7</v>
      </c>
      <c r="G91" s="187">
        <v>2785.7</v>
      </c>
      <c r="H91" s="133">
        <f>G91+H27</f>
        <v>22785.7</v>
      </c>
      <c r="I91" s="133">
        <f>H91+I27</f>
        <v>37785.699999999997</v>
      </c>
      <c r="J91" s="133">
        <f>I91+J27</f>
        <v>52785.7</v>
      </c>
      <c r="K91" s="133"/>
      <c r="L91" s="134">
        <f>J91</f>
        <v>52785.7</v>
      </c>
    </row>
    <row r="92" spans="2:13" x14ac:dyDescent="0.25">
      <c r="B92" t="s">
        <v>49</v>
      </c>
      <c r="D92" s="187">
        <v>346.79999999999995</v>
      </c>
      <c r="E92" s="187">
        <v>-253.20000000000005</v>
      </c>
      <c r="F92" s="187">
        <v>-2389.6999999999998</v>
      </c>
      <c r="G92" s="187">
        <v>-4281.2</v>
      </c>
      <c r="H92" s="121">
        <f>G92+H63</f>
        <v>-15886.390706028491</v>
      </c>
      <c r="I92" s="121">
        <f>H92+I63</f>
        <v>-30886.390706028491</v>
      </c>
      <c r="J92" s="121">
        <f>I92+J63</f>
        <v>-31455.301010962379</v>
      </c>
      <c r="K92" s="121"/>
      <c r="L92" s="118">
        <f>J92</f>
        <v>-31455.301010962379</v>
      </c>
    </row>
    <row r="93" spans="2:13" x14ac:dyDescent="0.25">
      <c r="B93" s="14" t="s">
        <v>50</v>
      </c>
      <c r="C93" s="16"/>
      <c r="D93" s="15">
        <f t="shared" ref="D93:J93" si="14">D92+D91</f>
        <v>346.79999999999995</v>
      </c>
      <c r="E93" s="15">
        <f t="shared" si="14"/>
        <v>0</v>
      </c>
      <c r="F93" s="15">
        <f t="shared" si="14"/>
        <v>396</v>
      </c>
      <c r="G93" s="15">
        <f t="shared" si="14"/>
        <v>-1495.5</v>
      </c>
      <c r="H93" s="125">
        <f t="shared" si="14"/>
        <v>6899.3092939715098</v>
      </c>
      <c r="I93" s="125">
        <f t="shared" si="14"/>
        <v>6899.3092939715061</v>
      </c>
      <c r="J93" s="125">
        <f t="shared" si="14"/>
        <v>21330.398989037618</v>
      </c>
      <c r="K93" s="125"/>
      <c r="L93" s="132">
        <f>SUM(L91:L92)</f>
        <v>21330.398989037618</v>
      </c>
      <c r="M93" s="5"/>
    </row>
    <row r="94" spans="2:13" ht="15.75" thickBot="1" x14ac:dyDescent="0.3">
      <c r="B94" s="17" t="s">
        <v>51</v>
      </c>
      <c r="C94" s="19"/>
      <c r="D94" s="18">
        <f t="shared" ref="D94:J94" si="15">D93+D88</f>
        <v>346.79999999999995</v>
      </c>
      <c r="E94" s="18">
        <f t="shared" si="15"/>
        <v>0</v>
      </c>
      <c r="F94" s="18">
        <f t="shared" si="15"/>
        <v>396</v>
      </c>
      <c r="G94" s="18">
        <f t="shared" si="15"/>
        <v>10604.5</v>
      </c>
      <c r="H94" s="129">
        <f t="shared" si="15"/>
        <v>10480.228733551194</v>
      </c>
      <c r="I94" s="129">
        <f t="shared" si="15"/>
        <v>9399.3092939715061</v>
      </c>
      <c r="J94" s="129">
        <f t="shared" si="15"/>
        <v>31226.613174676848</v>
      </c>
      <c r="K94" s="129"/>
      <c r="L94" s="131">
        <f>L93+L88</f>
        <v>31226.613174676848</v>
      </c>
      <c r="M94" s="5"/>
    </row>
    <row r="95" spans="2:13" ht="15.75" thickTop="1" x14ac:dyDescent="0.25">
      <c r="L95" s="84"/>
    </row>
    <row r="96" spans="2:13" x14ac:dyDescent="0.25">
      <c r="L96" s="84"/>
    </row>
    <row r="97" spans="2:13" x14ac:dyDescent="0.25">
      <c r="L97" s="84"/>
    </row>
    <row r="98" spans="2:13" x14ac:dyDescent="0.25">
      <c r="D98" s="1">
        <v>44986</v>
      </c>
      <c r="E98" s="1">
        <v>45017</v>
      </c>
      <c r="F98" s="1">
        <v>45047</v>
      </c>
      <c r="G98" s="1">
        <v>45078</v>
      </c>
      <c r="H98" s="2">
        <v>45108</v>
      </c>
      <c r="I98" s="2">
        <v>45139</v>
      </c>
      <c r="J98" s="2">
        <v>45170</v>
      </c>
      <c r="K98" s="2"/>
      <c r="L98" s="86" t="s">
        <v>100</v>
      </c>
      <c r="M98" s="3"/>
    </row>
    <row r="99" spans="2:13" ht="6" customHeight="1" x14ac:dyDescent="0.25">
      <c r="L99" s="84"/>
    </row>
    <row r="100" spans="2:13" x14ac:dyDescent="0.25">
      <c r="B100" s="7" t="s">
        <v>52</v>
      </c>
      <c r="C100" s="8"/>
      <c r="D100" s="8"/>
      <c r="E100" s="8"/>
      <c r="F100" s="8"/>
      <c r="G100" s="8"/>
      <c r="H100" s="8"/>
      <c r="I100" s="8"/>
      <c r="J100" s="8"/>
      <c r="K100" s="8"/>
      <c r="L100" s="83"/>
    </row>
    <row r="101" spans="2:13" x14ac:dyDescent="0.25">
      <c r="B101" t="s">
        <v>53</v>
      </c>
      <c r="D101" s="190">
        <v>346.79999999999995</v>
      </c>
      <c r="E101" s="190">
        <v>-600</v>
      </c>
      <c r="F101" s="190">
        <v>-2136.5</v>
      </c>
      <c r="G101" s="190">
        <v>-1891.5</v>
      </c>
      <c r="H101" s="121">
        <f>H63</f>
        <v>-11605.19070602849</v>
      </c>
      <c r="I101" s="121">
        <f>I63</f>
        <v>-15000</v>
      </c>
      <c r="J101" s="121">
        <f>J63</f>
        <v>-568.91030493388826</v>
      </c>
      <c r="K101" s="121"/>
      <c r="L101" s="118">
        <f>SUM(D101:J101)</f>
        <v>-31455.301010962379</v>
      </c>
    </row>
    <row r="102" spans="2:13" x14ac:dyDescent="0.25">
      <c r="B102" t="s">
        <v>54</v>
      </c>
      <c r="D102" s="190">
        <v>0</v>
      </c>
      <c r="E102" s="190">
        <v>0</v>
      </c>
      <c r="F102" s="190">
        <v>0</v>
      </c>
      <c r="G102" s="190">
        <v>110</v>
      </c>
      <c r="H102" s="121">
        <f>-H50</f>
        <v>28</v>
      </c>
      <c r="I102" s="121">
        <f>-I50</f>
        <v>0</v>
      </c>
      <c r="J102" s="121">
        <f>-J50</f>
        <v>302</v>
      </c>
      <c r="K102" s="121"/>
      <c r="L102" s="118">
        <f>SUM(D102:J102)</f>
        <v>440</v>
      </c>
    </row>
    <row r="103" spans="2:13" x14ac:dyDescent="0.25">
      <c r="B103" t="s">
        <v>55</v>
      </c>
      <c r="D103" s="190">
        <v>0</v>
      </c>
      <c r="E103" s="190">
        <v>0</v>
      </c>
      <c r="F103" s="190">
        <v>0</v>
      </c>
      <c r="G103" s="190">
        <v>-346.5</v>
      </c>
      <c r="H103" s="121">
        <f>H62</f>
        <v>0</v>
      </c>
      <c r="I103" s="121">
        <f>I62</f>
        <v>0</v>
      </c>
      <c r="J103" s="121">
        <f>J62</f>
        <v>0</v>
      </c>
      <c r="K103" s="121"/>
      <c r="L103" s="118">
        <f>SUM(D103:J103)</f>
        <v>-346.5</v>
      </c>
    </row>
    <row r="104" spans="2:13" x14ac:dyDescent="0.25">
      <c r="B104" t="s">
        <v>56</v>
      </c>
      <c r="D104" s="190">
        <v>0</v>
      </c>
      <c r="E104" s="188">
        <v>0</v>
      </c>
      <c r="F104" s="191">
        <v>-396</v>
      </c>
      <c r="G104" s="191">
        <v>8128</v>
      </c>
      <c r="H104" s="121">
        <f>(G73-H73)+(G74-H74)+(H83-G83)</f>
        <v>-6794.8842690768788</v>
      </c>
      <c r="I104" s="121">
        <f>(H73-I73)+(H74-I74)+(I83-H83)</f>
        <v>-937.11573092312176</v>
      </c>
      <c r="J104" s="121">
        <f>(I73-J73)+(I74-J74)+(J83-I83)</f>
        <v>4776.5728418821645</v>
      </c>
      <c r="K104" s="121"/>
      <c r="L104" s="118">
        <f>SUM(D104:J104)</f>
        <v>4776.5728418821636</v>
      </c>
    </row>
    <row r="105" spans="2:13" x14ac:dyDescent="0.25">
      <c r="B105" s="14" t="s">
        <v>57</v>
      </c>
      <c r="C105" s="14"/>
      <c r="D105" s="26">
        <f t="shared" ref="D105:J105" si="16">SUM(D101:D104)</f>
        <v>346.79999999999995</v>
      </c>
      <c r="E105" s="26">
        <f t="shared" si="16"/>
        <v>-600</v>
      </c>
      <c r="F105" s="26">
        <f t="shared" si="16"/>
        <v>-2532.5</v>
      </c>
      <c r="G105" s="26">
        <f t="shared" si="16"/>
        <v>6000</v>
      </c>
      <c r="H105" s="135">
        <f t="shared" si="16"/>
        <v>-18372.07497510537</v>
      </c>
      <c r="I105" s="135">
        <f t="shared" si="16"/>
        <v>-15937.115730923122</v>
      </c>
      <c r="J105" s="135">
        <f t="shared" si="16"/>
        <v>4509.6625369482763</v>
      </c>
      <c r="K105" s="135"/>
      <c r="L105" s="136">
        <f>SUM(L101:L104)</f>
        <v>-26585.228169080216</v>
      </c>
    </row>
    <row r="106" spans="2:13" x14ac:dyDescent="0.25">
      <c r="H106" s="121"/>
      <c r="I106" s="121"/>
      <c r="J106" s="121"/>
      <c r="K106" s="121"/>
      <c r="L106" s="118"/>
    </row>
    <row r="107" spans="2:13" x14ac:dyDescent="0.25">
      <c r="B107" t="s">
        <v>58</v>
      </c>
      <c r="D107" s="188">
        <v>0</v>
      </c>
      <c r="E107" s="188">
        <v>0</v>
      </c>
      <c r="F107" s="188">
        <v>0</v>
      </c>
      <c r="G107" s="191">
        <v>-6600</v>
      </c>
      <c r="H107" s="127">
        <f>H30</f>
        <v>0</v>
      </c>
      <c r="I107" s="127">
        <f>I30</f>
        <v>0</v>
      </c>
      <c r="J107" s="127">
        <f>J30</f>
        <v>0</v>
      </c>
      <c r="K107" s="127"/>
      <c r="L107" s="124">
        <f>SUM(D107:J107)</f>
        <v>-6600</v>
      </c>
    </row>
    <row r="108" spans="2:13" x14ac:dyDescent="0.25">
      <c r="B108" s="14" t="s">
        <v>59</v>
      </c>
      <c r="C108" s="14"/>
      <c r="D108" s="26">
        <f t="shared" ref="D108:J108" si="17">D107</f>
        <v>0</v>
      </c>
      <c r="E108" s="26">
        <f t="shared" si="17"/>
        <v>0</v>
      </c>
      <c r="F108" s="26">
        <f t="shared" si="17"/>
        <v>0</v>
      </c>
      <c r="G108" s="26">
        <f t="shared" si="17"/>
        <v>-6600</v>
      </c>
      <c r="H108" s="135">
        <f t="shared" si="17"/>
        <v>0</v>
      </c>
      <c r="I108" s="135">
        <f t="shared" si="17"/>
        <v>0</v>
      </c>
      <c r="J108" s="135">
        <f t="shared" si="17"/>
        <v>0</v>
      </c>
      <c r="K108" s="135"/>
      <c r="L108" s="136">
        <f>L107</f>
        <v>-6600</v>
      </c>
    </row>
    <row r="109" spans="2:13" x14ac:dyDescent="0.25">
      <c r="H109" s="121"/>
      <c r="I109" s="121"/>
      <c r="J109" s="121"/>
      <c r="K109" s="121"/>
      <c r="L109" s="118"/>
    </row>
    <row r="110" spans="2:13" x14ac:dyDescent="0.25">
      <c r="B110" t="s">
        <v>60</v>
      </c>
      <c r="D110" s="190">
        <v>0</v>
      </c>
      <c r="E110" s="190">
        <v>253.20000000000005</v>
      </c>
      <c r="F110" s="190">
        <v>2532.5</v>
      </c>
      <c r="G110" s="190">
        <v>0</v>
      </c>
      <c r="H110" s="121">
        <f>H91-G91</f>
        <v>20000</v>
      </c>
      <c r="I110" s="121">
        <f>I91-H91</f>
        <v>14999.999999999996</v>
      </c>
      <c r="J110" s="121">
        <f>J91-I91</f>
        <v>15000</v>
      </c>
      <c r="K110" s="121"/>
      <c r="L110" s="118">
        <f>SUM(D110:J110)</f>
        <v>52785.7</v>
      </c>
    </row>
    <row r="111" spans="2:13" x14ac:dyDescent="0.25">
      <c r="B111" t="s">
        <v>61</v>
      </c>
      <c r="D111" s="190">
        <v>0</v>
      </c>
      <c r="E111" s="190">
        <v>0</v>
      </c>
      <c r="F111" s="190">
        <v>0</v>
      </c>
      <c r="G111" s="190">
        <v>2500</v>
      </c>
      <c r="H111" s="121">
        <f>H28</f>
        <v>0</v>
      </c>
      <c r="I111" s="121">
        <f>I28</f>
        <v>0</v>
      </c>
      <c r="J111" s="121">
        <f>J28</f>
        <v>0</v>
      </c>
      <c r="K111" s="121"/>
      <c r="L111" s="118">
        <f>SUM(D111:J111)</f>
        <v>2500</v>
      </c>
    </row>
    <row r="112" spans="2:13" x14ac:dyDescent="0.25">
      <c r="B112" s="14" t="s">
        <v>62</v>
      </c>
      <c r="C112" s="14"/>
      <c r="D112" s="26">
        <f t="shared" ref="D112:J112" si="18">SUM(D110:D111)</f>
        <v>0</v>
      </c>
      <c r="E112" s="26">
        <f t="shared" si="18"/>
        <v>253.20000000000005</v>
      </c>
      <c r="F112" s="26">
        <f t="shared" si="18"/>
        <v>2532.5</v>
      </c>
      <c r="G112" s="26">
        <f t="shared" si="18"/>
        <v>2500</v>
      </c>
      <c r="H112" s="135">
        <f t="shared" si="18"/>
        <v>20000</v>
      </c>
      <c r="I112" s="135">
        <f t="shared" si="18"/>
        <v>14999.999999999996</v>
      </c>
      <c r="J112" s="135">
        <f t="shared" si="18"/>
        <v>15000</v>
      </c>
      <c r="K112" s="135"/>
      <c r="L112" s="136">
        <f>SUM(L110:L111)</f>
        <v>55285.7</v>
      </c>
    </row>
    <row r="113" spans="2:12" x14ac:dyDescent="0.25">
      <c r="H113" s="121"/>
      <c r="I113" s="121"/>
      <c r="J113" s="121"/>
      <c r="K113" s="121"/>
      <c r="L113" s="118"/>
    </row>
    <row r="114" spans="2:12" x14ac:dyDescent="0.25">
      <c r="B114" t="s">
        <v>63</v>
      </c>
      <c r="D114" s="190">
        <v>346.79999999999995</v>
      </c>
      <c r="E114" s="190">
        <v>-346.79999999999995</v>
      </c>
      <c r="F114" s="190">
        <v>0</v>
      </c>
      <c r="G114" s="190">
        <v>1900</v>
      </c>
      <c r="H114" s="121">
        <f>H112+H108+H105</f>
        <v>1627.92502489463</v>
      </c>
      <c r="I114" s="121">
        <f>I112+I108+I105</f>
        <v>-937.11573092312574</v>
      </c>
      <c r="J114" s="121">
        <f>J112+J108+J105</f>
        <v>19509.662536948275</v>
      </c>
      <c r="K114" s="121"/>
      <c r="L114" s="118">
        <f>L112+L108+L105</f>
        <v>22100.471830919781</v>
      </c>
    </row>
    <row r="115" spans="2:12" x14ac:dyDescent="0.25">
      <c r="B115" t="s">
        <v>64</v>
      </c>
      <c r="D115" s="188">
        <v>0</v>
      </c>
      <c r="E115" s="192">
        <v>346.8</v>
      </c>
      <c r="F115" s="192">
        <v>0</v>
      </c>
      <c r="G115" s="192">
        <v>0</v>
      </c>
      <c r="H115" s="121">
        <f>G76</f>
        <v>1900.0000000000009</v>
      </c>
      <c r="I115" s="121">
        <f>H76</f>
        <v>3527.925024894631</v>
      </c>
      <c r="J115" s="121">
        <f>I76</f>
        <v>2590.8092939715052</v>
      </c>
      <c r="K115" s="121"/>
      <c r="L115" s="118">
        <f>C76</f>
        <v>0</v>
      </c>
    </row>
    <row r="116" spans="2:12" ht="15.75" thickBot="1" x14ac:dyDescent="0.3">
      <c r="B116" s="17" t="s">
        <v>65</v>
      </c>
      <c r="C116" s="17"/>
      <c r="D116" s="27">
        <f t="shared" ref="D116:J116" si="19">D114+D115</f>
        <v>346.79999999999995</v>
      </c>
      <c r="E116" s="27">
        <f t="shared" si="19"/>
        <v>0</v>
      </c>
      <c r="F116" s="27">
        <f t="shared" si="19"/>
        <v>0</v>
      </c>
      <c r="G116" s="27">
        <f t="shared" si="19"/>
        <v>1900</v>
      </c>
      <c r="H116" s="137">
        <f t="shared" si="19"/>
        <v>3527.925024894631</v>
      </c>
      <c r="I116" s="137">
        <f t="shared" si="19"/>
        <v>2590.8092939715052</v>
      </c>
      <c r="J116" s="137">
        <f t="shared" si="19"/>
        <v>22100.471830919781</v>
      </c>
      <c r="K116" s="137"/>
      <c r="L116" s="138">
        <f>L114+L115</f>
        <v>22100.471830919781</v>
      </c>
    </row>
    <row r="117" spans="2:12" ht="15.75" thickTop="1" x14ac:dyDescent="0.25"/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5E30-D6FD-4069-AF7F-BC8EF124574C}">
  <dimension ref="A1:AB93"/>
  <sheetViews>
    <sheetView showGridLines="0" zoomScale="110" zoomScaleNormal="110" workbookViewId="0">
      <selection activeCell="B12" sqref="B12"/>
    </sheetView>
  </sheetViews>
  <sheetFormatPr defaultRowHeight="15" outlineLevelRow="1" x14ac:dyDescent="0.25"/>
  <cols>
    <col min="1" max="1" width="3.42578125" customWidth="1"/>
    <col min="2" max="2" width="38" bestFit="1" customWidth="1"/>
    <col min="3" max="3" width="2" customWidth="1"/>
    <col min="4" max="4" width="10.28515625" bestFit="1" customWidth="1"/>
    <col min="5" max="5" width="9.42578125" bestFit="1" customWidth="1"/>
    <col min="6" max="6" width="10.28515625" bestFit="1" customWidth="1"/>
    <col min="7" max="7" width="11.28515625" bestFit="1" customWidth="1"/>
    <col min="8" max="8" width="7" customWidth="1"/>
    <col min="9" max="9" width="38" customWidth="1"/>
    <col min="10" max="10" width="18" customWidth="1"/>
    <col min="11" max="11" width="2.42578125" customWidth="1"/>
    <col min="16" max="16" width="16.42578125" customWidth="1"/>
    <col min="18" max="18" width="27.85546875" bestFit="1" customWidth="1"/>
    <col min="19" max="19" width="4.42578125" customWidth="1"/>
    <col min="24" max="24" width="18.28515625" bestFit="1" customWidth="1"/>
  </cols>
  <sheetData>
    <row r="1" spans="1:28" ht="18" x14ac:dyDescent="0.25">
      <c r="A1" s="202" t="s">
        <v>205</v>
      </c>
      <c r="B1" s="202"/>
      <c r="C1" s="202"/>
      <c r="D1" s="203"/>
      <c r="E1" s="203"/>
      <c r="F1" s="203"/>
      <c r="G1" s="203"/>
      <c r="H1" s="203"/>
      <c r="I1" s="203"/>
      <c r="J1" s="203"/>
      <c r="K1" s="203"/>
      <c r="L1" s="203"/>
      <c r="M1" s="203" t="s">
        <v>88</v>
      </c>
      <c r="N1" s="203" t="s">
        <v>88</v>
      </c>
      <c r="O1" s="203" t="s">
        <v>88</v>
      </c>
      <c r="P1" s="203" t="s">
        <v>88</v>
      </c>
      <c r="Q1" s="203" t="s">
        <v>88</v>
      </c>
      <c r="R1" s="203" t="s">
        <v>88</v>
      </c>
      <c r="S1" s="203" t="s">
        <v>88</v>
      </c>
      <c r="T1" s="203" t="s">
        <v>88</v>
      </c>
      <c r="U1" s="203" t="s">
        <v>88</v>
      </c>
      <c r="V1" s="203" t="s">
        <v>88</v>
      </c>
      <c r="W1" s="203" t="s">
        <v>88</v>
      </c>
      <c r="X1" s="203" t="s">
        <v>88</v>
      </c>
      <c r="Y1" s="203" t="s">
        <v>88</v>
      </c>
      <c r="Z1" s="203" t="s">
        <v>88</v>
      </c>
      <c r="AA1" s="203" t="s">
        <v>88</v>
      </c>
      <c r="AB1" s="203" t="s">
        <v>88</v>
      </c>
    </row>
    <row r="2" spans="1:28" ht="18" x14ac:dyDescent="0.25">
      <c r="A2" s="202"/>
      <c r="B2" s="202"/>
      <c r="C2" s="202"/>
      <c r="D2" s="203"/>
      <c r="E2" s="203"/>
      <c r="F2" s="203"/>
      <c r="G2" s="203"/>
      <c r="H2" s="203"/>
      <c r="I2" s="203"/>
      <c r="J2" s="203"/>
      <c r="K2" s="203"/>
      <c r="L2" s="203"/>
      <c r="M2" s="203" t="s">
        <v>88</v>
      </c>
      <c r="N2" s="203" t="s">
        <v>88</v>
      </c>
      <c r="O2" s="203" t="s">
        <v>88</v>
      </c>
      <c r="P2" s="203" t="s">
        <v>88</v>
      </c>
      <c r="Q2" s="203" t="s">
        <v>88</v>
      </c>
      <c r="R2" s="203" t="s">
        <v>88</v>
      </c>
      <c r="S2" s="203" t="s">
        <v>88</v>
      </c>
      <c r="T2" s="203" t="s">
        <v>88</v>
      </c>
      <c r="U2" s="203" t="s">
        <v>88</v>
      </c>
      <c r="V2" s="203" t="s">
        <v>88</v>
      </c>
      <c r="W2" s="203" t="s">
        <v>88</v>
      </c>
      <c r="X2" s="203" t="s">
        <v>88</v>
      </c>
      <c r="Y2" s="203" t="s">
        <v>88</v>
      </c>
      <c r="Z2" s="203" t="s">
        <v>88</v>
      </c>
      <c r="AA2" s="203" t="s">
        <v>88</v>
      </c>
      <c r="AB2" s="203" t="s">
        <v>88</v>
      </c>
    </row>
    <row r="3" spans="1:28" x14ac:dyDescent="0.25">
      <c r="R3" t="s">
        <v>89</v>
      </c>
      <c r="T3" s="180">
        <v>31</v>
      </c>
      <c r="U3" s="180">
        <v>30</v>
      </c>
      <c r="V3" s="180">
        <v>31</v>
      </c>
      <c r="W3" s="180">
        <v>30</v>
      </c>
    </row>
    <row r="4" spans="1:28" x14ac:dyDescent="0.25">
      <c r="D4" s="1">
        <v>44986</v>
      </c>
      <c r="E4" s="1">
        <v>45017</v>
      </c>
      <c r="F4" s="1">
        <v>45047</v>
      </c>
      <c r="G4" s="1">
        <v>45078</v>
      </c>
      <c r="H4" s="3"/>
      <c r="I4" s="3"/>
      <c r="J4" s="3"/>
      <c r="L4" s="1">
        <v>44986</v>
      </c>
      <c r="M4" s="1">
        <v>45017</v>
      </c>
      <c r="N4" s="1">
        <v>45047</v>
      </c>
      <c r="O4" s="1">
        <v>45078</v>
      </c>
      <c r="P4" s="40"/>
      <c r="R4" s="3"/>
      <c r="T4" s="1">
        <v>44986</v>
      </c>
      <c r="U4" s="1">
        <v>45017</v>
      </c>
      <c r="V4" s="1">
        <v>45047</v>
      </c>
      <c r="W4" s="1">
        <v>45078</v>
      </c>
      <c r="X4" s="40"/>
    </row>
    <row r="5" spans="1:28" ht="15.75" x14ac:dyDescent="0.25">
      <c r="A5" s="38"/>
      <c r="B5" s="41" t="s">
        <v>72</v>
      </c>
      <c r="C5" s="38"/>
      <c r="D5" s="38"/>
      <c r="E5" s="39"/>
      <c r="F5" s="39"/>
      <c r="G5" s="39"/>
      <c r="H5" s="38"/>
      <c r="I5" s="41" t="s">
        <v>75</v>
      </c>
      <c r="J5" s="38"/>
      <c r="K5" s="38"/>
      <c r="L5" s="38"/>
      <c r="M5" s="38"/>
      <c r="N5" s="38"/>
      <c r="O5" s="38"/>
      <c r="P5" s="38"/>
      <c r="Q5" s="38"/>
      <c r="R5" s="41" t="s">
        <v>78</v>
      </c>
      <c r="S5" s="38"/>
      <c r="T5" s="38"/>
      <c r="U5" s="38"/>
      <c r="V5" s="38"/>
      <c r="W5" s="38"/>
      <c r="X5" s="38"/>
    </row>
    <row r="6" spans="1:28" ht="5.25" customHeight="1" outlineLevel="1" x14ac:dyDescent="0.25">
      <c r="D6" s="6"/>
      <c r="E6" s="6"/>
      <c r="F6" s="6"/>
      <c r="G6" s="6"/>
      <c r="H6" s="3"/>
      <c r="I6" s="3"/>
      <c r="J6" s="3"/>
      <c r="O6" s="5"/>
      <c r="P6" s="5"/>
    </row>
    <row r="7" spans="1:28" ht="15.75" outlineLevel="1" x14ac:dyDescent="0.25">
      <c r="B7" s="7" t="s">
        <v>80</v>
      </c>
      <c r="C7" s="8"/>
      <c r="D7" s="8"/>
      <c r="E7" s="8"/>
      <c r="F7" s="8"/>
      <c r="G7" s="8"/>
      <c r="I7" s="7" t="s">
        <v>80</v>
      </c>
      <c r="J7" s="7"/>
      <c r="K7" s="8"/>
      <c r="L7" s="28"/>
      <c r="M7" s="8"/>
      <c r="N7" s="8"/>
      <c r="O7" s="7"/>
      <c r="P7" s="7" t="s">
        <v>92</v>
      </c>
      <c r="R7" s="53" t="s">
        <v>79</v>
      </c>
      <c r="S7" s="52"/>
      <c r="T7" s="52"/>
      <c r="U7" s="52"/>
      <c r="V7" s="52"/>
      <c r="W7" s="52"/>
      <c r="X7" s="53" t="s">
        <v>92</v>
      </c>
    </row>
    <row r="8" spans="1:28" outlineLevel="1" x14ac:dyDescent="0.25">
      <c r="B8" t="s">
        <v>67</v>
      </c>
      <c r="D8" s="187">
        <v>1842</v>
      </c>
      <c r="E8" s="193" t="s">
        <v>2</v>
      </c>
      <c r="F8" s="193" t="s">
        <v>2</v>
      </c>
      <c r="G8" s="187">
        <v>9054</v>
      </c>
      <c r="I8" t="s">
        <v>1</v>
      </c>
      <c r="L8" s="29">
        <f t="shared" ref="L8:O10" si="0">IFERROR(D8/D$11, "na")</f>
        <v>1</v>
      </c>
      <c r="M8" s="30" t="str">
        <f t="shared" si="0"/>
        <v>na</v>
      </c>
      <c r="N8" s="30" t="str">
        <f t="shared" si="0"/>
        <v>na</v>
      </c>
      <c r="O8" s="29">
        <f t="shared" si="0"/>
        <v>0.52854640980735557</v>
      </c>
      <c r="P8" s="29">
        <f>AVERAGE(L8:O8)</f>
        <v>0.76427320490367778</v>
      </c>
      <c r="R8" t="s">
        <v>76</v>
      </c>
      <c r="T8" s="66"/>
      <c r="U8" s="31" t="str">
        <f t="shared" ref="U8:V11" si="1">IFERROR(E8/D8-1,"na")</f>
        <v>na</v>
      </c>
      <c r="V8" s="31" t="str">
        <f t="shared" si="1"/>
        <v>na</v>
      </c>
      <c r="W8" s="34">
        <f>IFERROR(G8/D8-1,"na")</f>
        <v>3.9153094462540716</v>
      </c>
      <c r="X8" s="34">
        <f>IFERROR(AVERAGE(T8:W8),"na")</f>
        <v>3.9153094462540716</v>
      </c>
      <c r="Y8" t="s">
        <v>77</v>
      </c>
    </row>
    <row r="9" spans="1:28" outlineLevel="1" x14ac:dyDescent="0.25">
      <c r="B9" t="s">
        <v>3</v>
      </c>
      <c r="D9" s="193" t="s">
        <v>2</v>
      </c>
      <c r="E9" s="193" t="s">
        <v>2</v>
      </c>
      <c r="F9" s="187">
        <v>2355</v>
      </c>
      <c r="G9" s="187">
        <v>2574</v>
      </c>
      <c r="I9" t="s">
        <v>3</v>
      </c>
      <c r="L9" s="30" t="str">
        <f t="shared" si="0"/>
        <v>na</v>
      </c>
      <c r="M9" s="30" t="str">
        <f t="shared" si="0"/>
        <v>na</v>
      </c>
      <c r="N9" s="29">
        <f t="shared" si="0"/>
        <v>1</v>
      </c>
      <c r="O9" s="29">
        <f t="shared" si="0"/>
        <v>0.15026269702276707</v>
      </c>
      <c r="P9" s="29">
        <f>AVERAGE(L9:O9)</f>
        <v>0.57513134851138359</v>
      </c>
      <c r="R9" t="s">
        <v>3</v>
      </c>
      <c r="T9" s="66"/>
      <c r="U9" s="31" t="str">
        <f t="shared" si="1"/>
        <v>na</v>
      </c>
      <c r="V9" s="31" t="str">
        <f t="shared" si="1"/>
        <v>na</v>
      </c>
      <c r="W9" s="33">
        <f>IFERROR(G9/F9-1,"na")</f>
        <v>9.2993630573248387E-2</v>
      </c>
      <c r="X9" s="33">
        <f>IFERROR(AVERAGE(T9:W9),"na")</f>
        <v>9.2993630573248387E-2</v>
      </c>
    </row>
    <row r="10" spans="1:28" outlineLevel="1" x14ac:dyDescent="0.25">
      <c r="B10" t="s">
        <v>4</v>
      </c>
      <c r="D10" s="193" t="s">
        <v>2</v>
      </c>
      <c r="E10" s="193" t="s">
        <v>2</v>
      </c>
      <c r="F10" s="188">
        <v>0</v>
      </c>
      <c r="G10" s="187">
        <v>5502</v>
      </c>
      <c r="I10" t="s">
        <v>4</v>
      </c>
      <c r="L10" s="30" t="str">
        <f t="shared" si="0"/>
        <v>na</v>
      </c>
      <c r="M10" s="30" t="str">
        <f t="shared" si="0"/>
        <v>na</v>
      </c>
      <c r="N10" s="29">
        <f t="shared" si="0"/>
        <v>0</v>
      </c>
      <c r="O10" s="29">
        <f t="shared" si="0"/>
        <v>0.32119089316987742</v>
      </c>
      <c r="P10" s="29">
        <f>AVERAGE(L10:O10)</f>
        <v>0.16059544658493871</v>
      </c>
      <c r="R10" t="s">
        <v>4</v>
      </c>
      <c r="T10" s="66"/>
      <c r="U10" s="31" t="str">
        <f t="shared" si="1"/>
        <v>na</v>
      </c>
      <c r="V10" s="31" t="str">
        <f t="shared" si="1"/>
        <v>na</v>
      </c>
      <c r="W10" s="31" t="str">
        <f>IFERROR(G10/F10-1,"na")</f>
        <v>na</v>
      </c>
      <c r="X10" s="31" t="str">
        <f>IFERROR(AVERAGE(T10:W10),"na")</f>
        <v>na</v>
      </c>
    </row>
    <row r="11" spans="1:28" outlineLevel="1" x14ac:dyDescent="0.25">
      <c r="B11" s="10" t="s">
        <v>5</v>
      </c>
      <c r="C11" s="11"/>
      <c r="D11" s="12">
        <f>SUM(D8:D10)</f>
        <v>1842</v>
      </c>
      <c r="E11" s="12">
        <f>SUM(E8:E10)</f>
        <v>0</v>
      </c>
      <c r="F11" s="12">
        <f>SUM(F8:F10)</f>
        <v>2355</v>
      </c>
      <c r="G11" s="12">
        <f>SUM(G8:G10)</f>
        <v>17130</v>
      </c>
      <c r="K11" s="4"/>
      <c r="L11" s="4"/>
      <c r="N11" s="4"/>
      <c r="O11" s="5"/>
      <c r="P11" s="5"/>
      <c r="R11" s="10" t="s">
        <v>5</v>
      </c>
      <c r="S11" s="11"/>
      <c r="T11" s="71"/>
      <c r="U11" s="58">
        <f t="shared" si="1"/>
        <v>-1</v>
      </c>
      <c r="V11" s="59" t="str">
        <f t="shared" si="1"/>
        <v>na</v>
      </c>
      <c r="W11" s="58">
        <f>IFERROR(G11/F11-1,"na")</f>
        <v>6.2738853503184711</v>
      </c>
      <c r="X11" s="58">
        <f>IFERROR(AVERAGE(T11:W11),"na")</f>
        <v>2.6369426751592355</v>
      </c>
    </row>
    <row r="12" spans="1:28" outlineLevel="1" x14ac:dyDescent="0.25">
      <c r="D12" s="65"/>
      <c r="E12" s="65"/>
      <c r="F12" s="65"/>
      <c r="G12" s="65"/>
      <c r="K12" s="4"/>
      <c r="L12" s="4"/>
      <c r="N12" s="4"/>
      <c r="O12" s="5"/>
      <c r="P12" s="5"/>
    </row>
    <row r="13" spans="1:28" ht="15.75" outlineLevel="1" x14ac:dyDescent="0.25">
      <c r="B13" s="7" t="s">
        <v>81</v>
      </c>
      <c r="C13" s="8"/>
      <c r="D13" s="8"/>
      <c r="E13" s="8"/>
      <c r="F13" s="8"/>
      <c r="G13" s="8"/>
      <c r="I13" s="7" t="s">
        <v>81</v>
      </c>
      <c r="J13" s="8"/>
      <c r="K13" s="8"/>
      <c r="L13" s="8"/>
      <c r="M13" s="8"/>
      <c r="N13" s="8"/>
      <c r="O13" s="8"/>
      <c r="P13" s="8"/>
      <c r="R13" s="54" t="s">
        <v>83</v>
      </c>
      <c r="S13" s="51"/>
      <c r="T13" s="51"/>
      <c r="U13" s="51"/>
      <c r="V13" s="51"/>
      <c r="W13" s="51"/>
      <c r="X13" s="51"/>
    </row>
    <row r="14" spans="1:28" outlineLevel="1" x14ac:dyDescent="0.25">
      <c r="B14" t="s">
        <v>6</v>
      </c>
      <c r="D14" s="187">
        <v>-312</v>
      </c>
      <c r="E14" s="187">
        <v>0</v>
      </c>
      <c r="F14" s="187">
        <v>-176</v>
      </c>
      <c r="G14" s="187">
        <v>-442</v>
      </c>
      <c r="I14" t="s">
        <v>6</v>
      </c>
      <c r="J14" s="36" t="s">
        <v>66</v>
      </c>
      <c r="L14" s="33">
        <f>IFERROR(-D14/D11,"na")</f>
        <v>0.16938110749185667</v>
      </c>
      <c r="M14" s="34" t="str">
        <f>IFERROR(-E14/E11,"na")</f>
        <v>na</v>
      </c>
      <c r="N14" s="33">
        <f>IFERROR(-F14/F11,"na")</f>
        <v>7.4734607218683649E-2</v>
      </c>
      <c r="O14" s="33">
        <f>IFERROR(-G14/(G8+G9),"na")</f>
        <v>3.8011695906432746E-2</v>
      </c>
      <c r="P14" s="33">
        <f t="shared" ref="P14:P38" si="2">AVERAGE(L14:O14)</f>
        <v>9.4042470205657702E-2</v>
      </c>
      <c r="R14" t="s">
        <v>84</v>
      </c>
      <c r="T14" s="33">
        <f>L28</f>
        <v>0.60043431053203045</v>
      </c>
      <c r="U14" s="33" t="str">
        <f>M28</f>
        <v>na</v>
      </c>
      <c r="V14" s="33">
        <f>N28</f>
        <v>1.764755838641189</v>
      </c>
      <c r="W14" s="33">
        <f>O28</f>
        <v>0.8611792177466433</v>
      </c>
      <c r="X14" s="33">
        <f t="shared" ref="X14:X22" si="3">IFERROR(AVERAGE(T14:W14),"na")</f>
        <v>1.0754564556399544</v>
      </c>
    </row>
    <row r="15" spans="1:28" outlineLevel="1" x14ac:dyDescent="0.25">
      <c r="B15" t="s">
        <v>7</v>
      </c>
      <c r="D15" s="187">
        <v>0</v>
      </c>
      <c r="E15" s="187">
        <v>0</v>
      </c>
      <c r="F15" s="187">
        <v>0</v>
      </c>
      <c r="G15" s="187">
        <v>-2388.5</v>
      </c>
      <c r="I15" t="s">
        <v>7</v>
      </c>
      <c r="J15" s="36" t="s">
        <v>68</v>
      </c>
      <c r="L15" s="35" t="str">
        <f>IFERROR(-D15/D10, "na")</f>
        <v>na</v>
      </c>
      <c r="M15" s="35" t="str">
        <f>IFERROR(-E15/E10, "na")</f>
        <v>na</v>
      </c>
      <c r="N15" s="35" t="str">
        <f>IFERROR(-F15/F10, "na")</f>
        <v>na</v>
      </c>
      <c r="O15" s="33">
        <f>IFERROR(-G15/G10, "na")</f>
        <v>0.43411486732097421</v>
      </c>
      <c r="P15" s="33">
        <f t="shared" si="2"/>
        <v>0.43411486732097421</v>
      </c>
    </row>
    <row r="16" spans="1:28" outlineLevel="1" x14ac:dyDescent="0.25">
      <c r="B16" t="s">
        <v>8</v>
      </c>
      <c r="D16" s="187">
        <v>0</v>
      </c>
      <c r="E16" s="187">
        <v>0</v>
      </c>
      <c r="F16" s="187">
        <v>-1584</v>
      </c>
      <c r="G16" s="187">
        <v>-5220</v>
      </c>
      <c r="I16" t="s">
        <v>8</v>
      </c>
      <c r="J16" s="36" t="s">
        <v>66</v>
      </c>
      <c r="K16" s="5"/>
      <c r="L16" s="33">
        <f>IFERROR(-D16/D8,"na")</f>
        <v>0</v>
      </c>
      <c r="M16" s="34" t="str">
        <f>IFERROR(-E16/E8,"na")</f>
        <v>na</v>
      </c>
      <c r="N16" s="33">
        <f>IFERROR(-F16/F9,"na")</f>
        <v>0.67261146496815283</v>
      </c>
      <c r="O16" s="33">
        <f>-G16/(G8+G9)</f>
        <v>0.44891640866873067</v>
      </c>
      <c r="P16" s="33">
        <f t="shared" si="2"/>
        <v>0.37384262454562783</v>
      </c>
      <c r="R16" t="s">
        <v>22</v>
      </c>
      <c r="T16" s="33">
        <f t="shared" ref="T16:W20" si="4">L31</f>
        <v>0</v>
      </c>
      <c r="U16" s="34" t="str">
        <f t="shared" si="4"/>
        <v>na</v>
      </c>
      <c r="V16" s="33">
        <f t="shared" si="4"/>
        <v>0</v>
      </c>
      <c r="W16" s="33">
        <f t="shared" si="4"/>
        <v>5.9339525283797732E-2</v>
      </c>
      <c r="X16" s="33">
        <f t="shared" si="3"/>
        <v>1.9779841761265911E-2</v>
      </c>
    </row>
    <row r="17" spans="2:24" outlineLevel="1" x14ac:dyDescent="0.25">
      <c r="B17" t="s">
        <v>9</v>
      </c>
      <c r="D17" s="187">
        <v>-686</v>
      </c>
      <c r="E17" s="187">
        <v>0</v>
      </c>
      <c r="F17" s="187">
        <v>-1000</v>
      </c>
      <c r="G17" s="187">
        <v>0</v>
      </c>
      <c r="I17" t="s">
        <v>9</v>
      </c>
      <c r="J17" s="36" t="s">
        <v>66</v>
      </c>
      <c r="L17" s="33">
        <f>IFERROR(-D17/D11,"na")</f>
        <v>0.37242128121606949</v>
      </c>
      <c r="M17" s="34" t="str">
        <f>IFERROR(-E17/E11,"na")</f>
        <v>na</v>
      </c>
      <c r="N17" s="33">
        <f>IFERROR(-F17/F11,"na")</f>
        <v>0.42462845010615713</v>
      </c>
      <c r="O17" s="33">
        <f>IFERROR(-G17/G11,"na")</f>
        <v>0</v>
      </c>
      <c r="P17" s="33">
        <f t="shared" si="2"/>
        <v>0.26568324377407554</v>
      </c>
      <c r="R17" t="s">
        <v>23</v>
      </c>
      <c r="T17" s="33">
        <f t="shared" si="4"/>
        <v>0</v>
      </c>
      <c r="U17" s="34" t="str">
        <f t="shared" si="4"/>
        <v>na</v>
      </c>
      <c r="V17" s="33">
        <f t="shared" si="4"/>
        <v>3.3970276008492568E-2</v>
      </c>
      <c r="W17" s="33">
        <f t="shared" si="4"/>
        <v>7.0052539404553416E-3</v>
      </c>
      <c r="X17" s="33">
        <f t="shared" si="3"/>
        <v>1.3658509982982637E-2</v>
      </c>
    </row>
    <row r="18" spans="2:24" outlineLevel="1" x14ac:dyDescent="0.25">
      <c r="B18" t="s">
        <v>10</v>
      </c>
      <c r="D18" s="187">
        <v>0</v>
      </c>
      <c r="E18" s="187">
        <v>0</v>
      </c>
      <c r="F18" s="187">
        <v>-290</v>
      </c>
      <c r="G18" s="187">
        <v>-270</v>
      </c>
      <c r="I18" t="s">
        <v>10</v>
      </c>
      <c r="J18" s="36" t="s">
        <v>66</v>
      </c>
      <c r="L18" s="33">
        <f>IFERROR(-D18/D11,"na")</f>
        <v>0</v>
      </c>
      <c r="M18" s="34" t="str">
        <f>IFERROR(-E18/E11,"na")</f>
        <v>na</v>
      </c>
      <c r="N18" s="33">
        <f>IFERROR(-F18/F11,"na")</f>
        <v>0.12314225053078556</v>
      </c>
      <c r="O18" s="33">
        <f>IFERROR(-G18/G11,"na")</f>
        <v>1.5761821366024518E-2</v>
      </c>
      <c r="P18" s="33">
        <f t="shared" si="2"/>
        <v>4.6301357298936696E-2</v>
      </c>
      <c r="R18" t="s">
        <v>24</v>
      </c>
      <c r="T18" s="33">
        <f t="shared" si="4"/>
        <v>4.5207956600361665E-3</v>
      </c>
      <c r="U18" s="34" t="str">
        <f t="shared" si="4"/>
        <v>na</v>
      </c>
      <c r="V18" s="33">
        <f t="shared" si="4"/>
        <v>4.8123195380173241E-3</v>
      </c>
      <c r="W18" s="33">
        <f t="shared" si="4"/>
        <v>1.3557483731019523E-2</v>
      </c>
      <c r="X18" s="33">
        <f>IFERROR(AVERAGE(T18:W18),"na")</f>
        <v>7.6301996430243367E-3</v>
      </c>
    </row>
    <row r="19" spans="2:24" outlineLevel="1" x14ac:dyDescent="0.25">
      <c r="B19" t="s">
        <v>11</v>
      </c>
      <c r="D19" s="187">
        <v>0</v>
      </c>
      <c r="E19" s="187">
        <v>0</v>
      </c>
      <c r="F19" s="187">
        <v>-880</v>
      </c>
      <c r="G19" s="187">
        <v>-2360</v>
      </c>
      <c r="I19" t="s">
        <v>11</v>
      </c>
      <c r="J19" s="36" t="s">
        <v>66</v>
      </c>
      <c r="L19" s="33">
        <f>IFERROR(-D19/D11,"na")</f>
        <v>0</v>
      </c>
      <c r="M19" s="34" t="str">
        <f>IFERROR(-E19/E11,"na")</f>
        <v>na</v>
      </c>
      <c r="N19" s="33">
        <f>IFERROR(-F19/F11,"na")</f>
        <v>0.37367303609341823</v>
      </c>
      <c r="O19" s="33">
        <f>IFERROR(-G19/(G9+G8),"na")</f>
        <v>0.20295837633298933</v>
      </c>
      <c r="P19" s="33">
        <f t="shared" si="2"/>
        <v>0.19221047080880252</v>
      </c>
      <c r="R19" t="s">
        <v>25</v>
      </c>
      <c r="T19" s="33">
        <f t="shared" si="4"/>
        <v>0.10857763300760044</v>
      </c>
      <c r="U19" s="34" t="str">
        <f t="shared" si="4"/>
        <v>na</v>
      </c>
      <c r="V19" s="33">
        <f t="shared" si="4"/>
        <v>0</v>
      </c>
      <c r="W19" s="33">
        <f t="shared" si="4"/>
        <v>0</v>
      </c>
      <c r="X19" s="33">
        <f t="shared" si="3"/>
        <v>3.6192544335866814E-2</v>
      </c>
    </row>
    <row r="20" spans="2:24" outlineLevel="1" x14ac:dyDescent="0.25">
      <c r="B20" t="s">
        <v>12</v>
      </c>
      <c r="D20" s="187">
        <v>0</v>
      </c>
      <c r="E20" s="187">
        <v>0</v>
      </c>
      <c r="F20" s="187">
        <v>0</v>
      </c>
      <c r="G20" s="187">
        <v>-1768.5</v>
      </c>
      <c r="I20" t="s">
        <v>12</v>
      </c>
      <c r="J20" s="36" t="s">
        <v>68</v>
      </c>
      <c r="L20" s="34" t="str">
        <f>IFERROR(-D20/D10,"na")</f>
        <v>na</v>
      </c>
      <c r="M20" s="34" t="str">
        <f>IFERROR(-E20/E10,"na")</f>
        <v>na</v>
      </c>
      <c r="N20" s="34" t="str">
        <f>IFERROR(-F20/F10,"na")</f>
        <v>na</v>
      </c>
      <c r="O20" s="33">
        <f>IFERROR(-G20/G10,"na")</f>
        <v>0.32142857142857145</v>
      </c>
      <c r="P20" s="33">
        <f t="shared" si="2"/>
        <v>0.32142857142857145</v>
      </c>
      <c r="R20" t="s">
        <v>26</v>
      </c>
      <c r="T20" s="33">
        <f t="shared" si="4"/>
        <v>0</v>
      </c>
      <c r="U20" s="34" t="str">
        <f t="shared" si="4"/>
        <v>na</v>
      </c>
      <c r="V20" s="33">
        <f t="shared" si="4"/>
        <v>0</v>
      </c>
      <c r="W20" s="33">
        <f t="shared" si="4"/>
        <v>7.0052539404553416E-2</v>
      </c>
      <c r="X20" s="33">
        <f t="shared" si="3"/>
        <v>2.3350846468184472E-2</v>
      </c>
    </row>
    <row r="21" spans="2:24" outlineLevel="1" x14ac:dyDescent="0.25">
      <c r="B21" t="s">
        <v>13</v>
      </c>
      <c r="D21" s="187">
        <v>0</v>
      </c>
      <c r="E21" s="187">
        <v>0</v>
      </c>
      <c r="F21" s="187">
        <v>0</v>
      </c>
      <c r="G21" s="187">
        <v>-373</v>
      </c>
      <c r="I21" t="s">
        <v>13</v>
      </c>
      <c r="J21" s="36" t="s">
        <v>66</v>
      </c>
      <c r="L21" s="33">
        <f>IFERROR(-D21/D11,"na")</f>
        <v>0</v>
      </c>
      <c r="M21" s="34" t="str">
        <f>IFERROR(-E21/E11,"na")</f>
        <v>na</v>
      </c>
      <c r="N21" s="33">
        <f>IFERROR(-F21/F11,"na")</f>
        <v>0</v>
      </c>
      <c r="O21" s="33">
        <f>IFERROR(-G21/(G8+G9),"na")</f>
        <v>3.2077743378052977E-2</v>
      </c>
      <c r="P21" s="33">
        <f t="shared" si="2"/>
        <v>1.0692581126017659E-2</v>
      </c>
    </row>
    <row r="22" spans="2:24" outlineLevel="1" x14ac:dyDescent="0.25">
      <c r="B22" t="s">
        <v>14</v>
      </c>
      <c r="D22" s="187">
        <v>-88</v>
      </c>
      <c r="E22" s="187">
        <v>0</v>
      </c>
      <c r="F22" s="187">
        <v>-140</v>
      </c>
      <c r="G22" s="187">
        <v>-300</v>
      </c>
      <c r="I22" t="s">
        <v>14</v>
      </c>
      <c r="J22" s="36" t="s">
        <v>69</v>
      </c>
      <c r="L22" s="33">
        <f>IFERROR(-D22/D11,"na")</f>
        <v>4.7774158523344191E-2</v>
      </c>
      <c r="M22" s="34" t="str">
        <f>IFERROR(-E22/E11,"na")</f>
        <v>na</v>
      </c>
      <c r="N22" s="33">
        <f>IFERROR(-F22/F11,"na")</f>
        <v>5.9447983014861996E-2</v>
      </c>
      <c r="O22" s="33">
        <f>IFERROR(-G22/G11,"na")</f>
        <v>1.7513134851138354E-2</v>
      </c>
      <c r="P22" s="33">
        <f t="shared" si="2"/>
        <v>4.1578425463114847E-2</v>
      </c>
      <c r="R22" t="s">
        <v>28</v>
      </c>
      <c r="T22" s="33">
        <f>L37</f>
        <v>0</v>
      </c>
      <c r="U22" s="34" t="str">
        <f>M37</f>
        <v>na</v>
      </c>
      <c r="V22" s="33">
        <f>N37</f>
        <v>0</v>
      </c>
      <c r="W22" s="33">
        <f>O37</f>
        <v>2.0227670753064798E-2</v>
      </c>
      <c r="X22" s="33">
        <f t="shared" si="3"/>
        <v>6.7425569176882659E-3</v>
      </c>
    </row>
    <row r="23" spans="2:24" outlineLevel="1" x14ac:dyDescent="0.25">
      <c r="B23" t="s">
        <v>15</v>
      </c>
      <c r="D23" s="187">
        <v>0</v>
      </c>
      <c r="E23" s="187">
        <v>0</v>
      </c>
      <c r="F23" s="187">
        <v>-86</v>
      </c>
      <c r="G23" s="187">
        <v>-150</v>
      </c>
      <c r="I23" t="s">
        <v>15</v>
      </c>
      <c r="J23" s="36" t="s">
        <v>69</v>
      </c>
      <c r="L23" s="33">
        <f>IFERROR(-D23/D11,"na")</f>
        <v>0</v>
      </c>
      <c r="M23" s="34" t="str">
        <f>IFERROR(-E23/E11,"na")</f>
        <v>na</v>
      </c>
      <c r="N23" s="33">
        <f>IFERROR(-F23/F11,"na")</f>
        <v>3.6518046709129511E-2</v>
      </c>
      <c r="O23" s="33">
        <f>IFERROR(-G23/G11,"na")</f>
        <v>8.7565674255691769E-3</v>
      </c>
      <c r="P23" s="33">
        <f t="shared" si="2"/>
        <v>1.5091538044899563E-2</v>
      </c>
    </row>
    <row r="24" spans="2:24" ht="15.75" outlineLevel="1" x14ac:dyDescent="0.25">
      <c r="B24" t="s">
        <v>16</v>
      </c>
      <c r="D24" s="187">
        <v>0</v>
      </c>
      <c r="E24" s="187">
        <v>0</v>
      </c>
      <c r="F24" s="187">
        <v>0</v>
      </c>
      <c r="G24" s="187">
        <v>-170</v>
      </c>
      <c r="I24" t="s">
        <v>16</v>
      </c>
      <c r="J24" s="36" t="s">
        <v>66</v>
      </c>
      <c r="L24" s="33">
        <f>IFERROR(-D24/D11,"na")</f>
        <v>0</v>
      </c>
      <c r="M24" s="34" t="str">
        <f>IFERROR(-E24/E11,"na")</f>
        <v>na</v>
      </c>
      <c r="N24" s="33">
        <f>IFERROR(-F24/F11,"na")</f>
        <v>0</v>
      </c>
      <c r="O24" s="33">
        <f>IFERROR(-G24/(G8+G9),"na")</f>
        <v>1.4619883040935672E-2</v>
      </c>
      <c r="P24" s="33">
        <f t="shared" si="2"/>
        <v>4.8732943469785572E-3</v>
      </c>
      <c r="R24" s="54" t="s">
        <v>73</v>
      </c>
      <c r="S24" s="51"/>
      <c r="T24" s="51"/>
      <c r="U24" s="51"/>
      <c r="V24" s="51"/>
      <c r="W24" s="51"/>
      <c r="X24" s="51"/>
    </row>
    <row r="25" spans="2:24" outlineLevel="1" x14ac:dyDescent="0.25">
      <c r="B25" t="s">
        <v>17</v>
      </c>
      <c r="D25" s="187">
        <v>0</v>
      </c>
      <c r="E25" s="187">
        <v>0</v>
      </c>
      <c r="F25" s="187">
        <v>0</v>
      </c>
      <c r="G25" s="187">
        <v>-110</v>
      </c>
      <c r="I25" t="s">
        <v>17</v>
      </c>
      <c r="J25" s="36" t="s">
        <v>139</v>
      </c>
      <c r="L25" s="34" t="str">
        <f>IFERROR(-D25/D45,"na")</f>
        <v>na</v>
      </c>
      <c r="M25" s="34" t="str">
        <f>IFERROR(-E25/E45,"na")</f>
        <v>na</v>
      </c>
      <c r="N25" s="34" t="str">
        <f>IFERROR(-F25/F45,"na")</f>
        <v>na</v>
      </c>
      <c r="O25" s="34">
        <f>IFERROR(-G25/G45,"na")</f>
        <v>1.6949152542372881E-2</v>
      </c>
      <c r="P25" s="33">
        <f t="shared" si="2"/>
        <v>1.6949152542372881E-2</v>
      </c>
      <c r="R25" t="s">
        <v>85</v>
      </c>
      <c r="T25" s="23">
        <f>IFERROR(D48/-D$28*T3,"na")</f>
        <v>0</v>
      </c>
      <c r="U25" s="87" t="str">
        <f>IFERROR(E48/-E$28*U3,"na")</f>
        <v>na</v>
      </c>
      <c r="V25" s="23">
        <f>IFERROR(F48/-F$28*V3,"na")</f>
        <v>2.9538017324350334</v>
      </c>
      <c r="W25" s="23">
        <f>IFERROR(G48/-G$28*W3,"na")</f>
        <v>0.61008676789587857</v>
      </c>
      <c r="X25" s="23">
        <f>IFERROR(AVERAGE(T25:W25),"na")</f>
        <v>1.1879628334436374</v>
      </c>
    </row>
    <row r="26" spans="2:24" outlineLevel="1" x14ac:dyDescent="0.25">
      <c r="B26" t="s">
        <v>18</v>
      </c>
      <c r="D26" s="187">
        <v>-20</v>
      </c>
      <c r="E26" s="187">
        <v>0</v>
      </c>
      <c r="F26" s="187">
        <v>0</v>
      </c>
      <c r="G26" s="187">
        <v>-1000</v>
      </c>
      <c r="I26" t="s">
        <v>18</v>
      </c>
      <c r="J26" s="36" t="s">
        <v>69</v>
      </c>
      <c r="L26" s="33">
        <f>IFERROR(-D26/D11,"na")</f>
        <v>1.0857763300760043E-2</v>
      </c>
      <c r="M26" s="34" t="str">
        <f>IFERROR(-E26/E11,"na")</f>
        <v>na</v>
      </c>
      <c r="N26" s="33">
        <f>IFERROR(-F26/F11,"na")</f>
        <v>0</v>
      </c>
      <c r="O26" s="33">
        <f>IFERROR(-G26/G11,"na")</f>
        <v>5.837711617046118E-2</v>
      </c>
      <c r="P26" s="33">
        <f t="shared" si="2"/>
        <v>2.3078293157073743E-2</v>
      </c>
      <c r="R26" t="s">
        <v>86</v>
      </c>
      <c r="T26" s="23">
        <f>IFERROR(D49/D$11*T3,"na")</f>
        <v>0</v>
      </c>
      <c r="U26" s="87" t="str">
        <f>IFERROR(E49/E$11*U3,"na")</f>
        <v>na</v>
      </c>
      <c r="V26" s="23">
        <f>IFERROR(F49/F$11*V3,"na")</f>
        <v>0</v>
      </c>
      <c r="W26" s="23">
        <f>IFERROR(G49/G$11*W3,"na")</f>
        <v>2.7460595446584937</v>
      </c>
      <c r="X26" s="23">
        <f>IFERROR(AVERAGE(T26:W26),"na")</f>
        <v>0.91535318155283119</v>
      </c>
    </row>
    <row r="27" spans="2:24" outlineLevel="1" x14ac:dyDescent="0.25">
      <c r="B27" t="s">
        <v>19</v>
      </c>
      <c r="D27" s="187">
        <v>0</v>
      </c>
      <c r="E27" s="187">
        <v>0</v>
      </c>
      <c r="F27" s="187">
        <v>0</v>
      </c>
      <c r="G27" s="187">
        <v>-200</v>
      </c>
      <c r="I27" t="s">
        <v>19</v>
      </c>
      <c r="J27" s="36" t="s">
        <v>69</v>
      </c>
      <c r="L27" s="33">
        <f>IFERROR(-D27/D11,"na")</f>
        <v>0</v>
      </c>
      <c r="M27" s="34" t="str">
        <f>IFERROR(-E27/E11,"na")</f>
        <v>na</v>
      </c>
      <c r="N27" s="33">
        <f>IFERROR(-F27/F11,"na")</f>
        <v>0</v>
      </c>
      <c r="O27" s="33">
        <f>IFERROR(-G27/G11,"na")</f>
        <v>1.1675423234092236E-2</v>
      </c>
      <c r="P27" s="33">
        <f t="shared" si="2"/>
        <v>3.891807744697412E-3</v>
      </c>
      <c r="U27" s="87"/>
    </row>
    <row r="28" spans="2:24" outlineLevel="1" x14ac:dyDescent="0.25">
      <c r="B28" s="14" t="s">
        <v>82</v>
      </c>
      <c r="C28" s="14"/>
      <c r="D28" s="15">
        <f>SUM(D14:D27)</f>
        <v>-1106</v>
      </c>
      <c r="E28" s="15">
        <f>SUM(E14:E27)</f>
        <v>0</v>
      </c>
      <c r="F28" s="15">
        <f>SUM(F14:F27)</f>
        <v>-4156</v>
      </c>
      <c r="G28" s="15">
        <f>SUM(G14:G27)</f>
        <v>-14752</v>
      </c>
      <c r="I28" s="14" t="s">
        <v>82</v>
      </c>
      <c r="J28" s="37" t="s">
        <v>69</v>
      </c>
      <c r="K28" s="15"/>
      <c r="L28" s="43">
        <f>IFERROR(-D28/D11,"na")</f>
        <v>0.60043431053203045</v>
      </c>
      <c r="M28" s="46" t="str">
        <f>IFERROR(-E28/E11,"na")</f>
        <v>na</v>
      </c>
      <c r="N28" s="43">
        <f>IFERROR(-F28/F11,"na")</f>
        <v>1.764755838641189</v>
      </c>
      <c r="O28" s="43">
        <f>IFERROR(-G28/G11,"na")</f>
        <v>0.8611792177466433</v>
      </c>
      <c r="P28" s="43">
        <f t="shared" si="2"/>
        <v>1.0754564556399544</v>
      </c>
      <c r="R28" t="s">
        <v>117</v>
      </c>
      <c r="T28" s="33">
        <f>IFERROR(D56/D11,"na")</f>
        <v>0</v>
      </c>
      <c r="U28" s="33" t="str">
        <f>IFERROR(E56/E11,"na")</f>
        <v>na</v>
      </c>
      <c r="V28" s="33">
        <f>IFERROR(F56/F11,"na")</f>
        <v>0</v>
      </c>
      <c r="W28" s="33">
        <f>IFERROR(G56/G11,"na")</f>
        <v>0.16637478108581435</v>
      </c>
      <c r="X28" s="20">
        <f>IFERROR(AVERAGE(T28:W28),"na")</f>
        <v>5.5458260361938121E-2</v>
      </c>
    </row>
    <row r="29" spans="2:24" outlineLevel="1" x14ac:dyDescent="0.25">
      <c r="B29" s="14" t="s">
        <v>20</v>
      </c>
      <c r="C29" s="14"/>
      <c r="D29" s="15">
        <f>D11+D28</f>
        <v>736</v>
      </c>
      <c r="E29" s="15">
        <f>E11+E28</f>
        <v>0</v>
      </c>
      <c r="F29" s="15">
        <f>F11+F28</f>
        <v>-1801</v>
      </c>
      <c r="G29" s="15">
        <f>G11+G28</f>
        <v>2378</v>
      </c>
      <c r="I29" s="14" t="s">
        <v>70</v>
      </c>
      <c r="J29" s="37"/>
      <c r="K29" s="15"/>
      <c r="L29" s="43">
        <f>IFERROR(D29/D11,"na")</f>
        <v>0.39956568946796961</v>
      </c>
      <c r="M29" s="43" t="str">
        <f>IFERROR(E29/E11,"na")</f>
        <v>na</v>
      </c>
      <c r="N29" s="43">
        <f>IFERROR(F29/F11,"na")</f>
        <v>-0.76475583864118901</v>
      </c>
      <c r="O29" s="43">
        <f>IFERROR(G29/G11,"na")</f>
        <v>0.13882078225335667</v>
      </c>
      <c r="P29" s="64">
        <f t="shared" si="2"/>
        <v>-7.5456455639954248E-2</v>
      </c>
      <c r="R29" t="s">
        <v>87</v>
      </c>
      <c r="T29" s="33">
        <f>IFERROR(-D83/D11,"na")</f>
        <v>0</v>
      </c>
      <c r="U29" s="88" t="str">
        <f>IFERROR(-E83/E11,"na")</f>
        <v>na</v>
      </c>
      <c r="V29" s="33">
        <f>IFERROR(-F83/F11,"na")</f>
        <v>0</v>
      </c>
      <c r="W29" s="33">
        <f>IFERROR(-G84/G11,"na")</f>
        <v>0.38528896672504376</v>
      </c>
      <c r="X29" s="33">
        <f>IFERROR(AVERAGE(T29:W29),"na")</f>
        <v>0.1284296555750146</v>
      </c>
    </row>
    <row r="30" spans="2:24" outlineLevel="1" x14ac:dyDescent="0.25">
      <c r="B30" t="s">
        <v>21</v>
      </c>
      <c r="D30" s="187">
        <v>-184.20000000000002</v>
      </c>
      <c r="E30" s="187">
        <v>0</v>
      </c>
      <c r="F30" s="187">
        <v>-235.5</v>
      </c>
      <c r="G30" s="187">
        <v>-1713</v>
      </c>
      <c r="R30" t="s">
        <v>88</v>
      </c>
      <c r="U30" s="89"/>
    </row>
    <row r="31" spans="2:24" outlineLevel="1" x14ac:dyDescent="0.25">
      <c r="B31" t="s">
        <v>22</v>
      </c>
      <c r="D31" s="187">
        <v>0</v>
      </c>
      <c r="E31" s="187">
        <v>0</v>
      </c>
      <c r="F31" s="187">
        <v>0</v>
      </c>
      <c r="G31" s="187">
        <v>-690</v>
      </c>
      <c r="I31" t="s">
        <v>22</v>
      </c>
      <c r="L31" s="33">
        <f>IFERROR(-D31/SUM(D$8:D$9),"na")</f>
        <v>0</v>
      </c>
      <c r="M31" s="34" t="str">
        <f>IFERROR(-E31/SUM(E$8:E$9),"na")</f>
        <v>na</v>
      </c>
      <c r="N31" s="33">
        <f>IFERROR(-F31/SUM(F$8:F$9),"na")</f>
        <v>0</v>
      </c>
      <c r="O31" s="33">
        <f>IFERROR(-G31/SUM(G$8:G$9),"na")</f>
        <v>5.9339525283797732E-2</v>
      </c>
      <c r="P31" s="33">
        <f t="shared" si="2"/>
        <v>1.9779841761265911E-2</v>
      </c>
      <c r="R31" t="s">
        <v>90</v>
      </c>
      <c r="T31" s="32" t="str">
        <f>IFERROR(D52/D58,"na")</f>
        <v>na</v>
      </c>
      <c r="U31" s="87" t="str">
        <f>IFERROR(E52/E58,"na")</f>
        <v>na</v>
      </c>
      <c r="V31" s="32" t="str">
        <f>IFERROR(F52/F58,"na")</f>
        <v>na</v>
      </c>
      <c r="W31" s="13">
        <f>IFERROR(G52/G58,"na")</f>
        <v>0.42859375000000011</v>
      </c>
      <c r="X31" s="13">
        <f>IFERROR(AVERAGE(T31:W31),"na")</f>
        <v>0.42859375000000011</v>
      </c>
    </row>
    <row r="32" spans="2:24" outlineLevel="1" x14ac:dyDescent="0.25">
      <c r="B32" t="s">
        <v>23</v>
      </c>
      <c r="D32" s="187">
        <v>0</v>
      </c>
      <c r="E32" s="187">
        <v>0</v>
      </c>
      <c r="F32" s="187">
        <v>-80</v>
      </c>
      <c r="G32" s="187">
        <v>-120</v>
      </c>
      <c r="I32" t="s">
        <v>23</v>
      </c>
      <c r="L32" s="33">
        <f>IFERROR(-D32/D$11,"na")</f>
        <v>0</v>
      </c>
      <c r="M32" s="34" t="str">
        <f>IFERROR(-E32/E$11,"na")</f>
        <v>na</v>
      </c>
      <c r="N32" s="33">
        <f>IFERROR(-F32/F$11,"na")</f>
        <v>3.3970276008492568E-2</v>
      </c>
      <c r="O32" s="33">
        <f>IFERROR(-G32/G$11,"na")</f>
        <v>7.0052539404553416E-3</v>
      </c>
      <c r="P32" s="33">
        <f t="shared" si="2"/>
        <v>1.3658509982982637E-2</v>
      </c>
      <c r="R32" t="s">
        <v>91</v>
      </c>
      <c r="T32" s="60" t="str">
        <f>IFERROR((D61+D57)/D66,"na")</f>
        <v>na</v>
      </c>
      <c r="U32" s="60">
        <f>IFERROR((E61+E57)/E66,"na")</f>
        <v>0</v>
      </c>
      <c r="V32" s="60">
        <f>IFERROR((F61+F57)/F66,"na")</f>
        <v>0</v>
      </c>
      <c r="W32" s="13">
        <f>IFERROR((G61+G57)/G66,"na")</f>
        <v>3.3205298488710202</v>
      </c>
      <c r="X32" s="13">
        <f>IFERROR(AVERAGE(T32:W32),"na")</f>
        <v>1.1068432829570067</v>
      </c>
    </row>
    <row r="33" spans="1:16" outlineLevel="1" x14ac:dyDescent="0.25">
      <c r="B33" t="s">
        <v>24</v>
      </c>
      <c r="D33" s="187">
        <v>-5</v>
      </c>
      <c r="E33" s="187">
        <v>0</v>
      </c>
      <c r="F33" s="187">
        <v>-20</v>
      </c>
      <c r="G33" s="187">
        <v>-200</v>
      </c>
      <c r="I33" t="s">
        <v>24</v>
      </c>
      <c r="J33" s="36" t="s">
        <v>101</v>
      </c>
      <c r="L33" s="33">
        <f>IFERROR(D33/D$28,"na")</f>
        <v>4.5207956600361665E-3</v>
      </c>
      <c r="M33" s="34" t="str">
        <f>IFERROR(E33/E$28,"na")</f>
        <v>na</v>
      </c>
      <c r="N33" s="33">
        <f>IFERROR(F33/F$28,"na")</f>
        <v>4.8123195380173241E-3</v>
      </c>
      <c r="O33" s="33">
        <f>IFERROR(G33/G$28,"na")</f>
        <v>1.3557483731019523E-2</v>
      </c>
      <c r="P33" s="33">
        <f t="shared" si="2"/>
        <v>7.6301996430243367E-3</v>
      </c>
    </row>
    <row r="34" spans="1:16" outlineLevel="1" x14ac:dyDescent="0.25">
      <c r="B34" t="s">
        <v>25</v>
      </c>
      <c r="D34" s="187">
        <v>-200</v>
      </c>
      <c r="E34" s="187">
        <v>-600</v>
      </c>
      <c r="F34" s="187">
        <v>0</v>
      </c>
      <c r="G34" s="187">
        <v>0</v>
      </c>
      <c r="I34" t="s">
        <v>25</v>
      </c>
      <c r="L34" s="33">
        <f t="shared" ref="L34:O35" si="5">IFERROR(-D34/D$11,"na")</f>
        <v>0.10857763300760044</v>
      </c>
      <c r="M34" s="34" t="str">
        <f t="shared" si="5"/>
        <v>na</v>
      </c>
      <c r="N34" s="33">
        <f t="shared" si="5"/>
        <v>0</v>
      </c>
      <c r="O34" s="33">
        <f t="shared" si="5"/>
        <v>0</v>
      </c>
      <c r="P34" s="33">
        <f t="shared" si="2"/>
        <v>3.6192544335866814E-2</v>
      </c>
    </row>
    <row r="35" spans="1:16" outlineLevel="1" x14ac:dyDescent="0.25">
      <c r="B35" t="s">
        <v>26</v>
      </c>
      <c r="D35" s="187">
        <v>0</v>
      </c>
      <c r="E35" s="187">
        <v>0</v>
      </c>
      <c r="F35" s="187">
        <v>0</v>
      </c>
      <c r="G35" s="187">
        <v>-1200</v>
      </c>
      <c r="I35" t="s">
        <v>26</v>
      </c>
      <c r="L35" s="33">
        <f t="shared" si="5"/>
        <v>0</v>
      </c>
      <c r="M35" s="34" t="str">
        <f t="shared" si="5"/>
        <v>na</v>
      </c>
      <c r="N35" s="33">
        <f t="shared" si="5"/>
        <v>0</v>
      </c>
      <c r="O35" s="33">
        <f t="shared" si="5"/>
        <v>7.0052539404553416E-2</v>
      </c>
      <c r="P35" s="33">
        <f t="shared" si="2"/>
        <v>2.3350846468184472E-2</v>
      </c>
    </row>
    <row r="36" spans="1:16" outlineLevel="1" x14ac:dyDescent="0.25">
      <c r="B36" s="10" t="s">
        <v>27</v>
      </c>
      <c r="C36" s="10"/>
      <c r="D36" s="12">
        <f>SUM(D29:D35)</f>
        <v>346.79999999999995</v>
      </c>
      <c r="E36" s="12">
        <f>SUM(E29:E35)</f>
        <v>-600</v>
      </c>
      <c r="F36" s="12">
        <f>SUM(F29:F35)</f>
        <v>-2136.5</v>
      </c>
      <c r="G36" s="12">
        <f>SUM(G29:G35)</f>
        <v>-1545</v>
      </c>
      <c r="L36" s="55"/>
      <c r="M36" s="55"/>
      <c r="N36" s="55"/>
      <c r="O36" s="55"/>
      <c r="P36" s="55"/>
    </row>
    <row r="37" spans="1:16" outlineLevel="1" x14ac:dyDescent="0.25">
      <c r="B37" t="s">
        <v>28</v>
      </c>
      <c r="D37" s="187">
        <v>0</v>
      </c>
      <c r="E37" s="187">
        <v>0</v>
      </c>
      <c r="F37" s="187">
        <v>0</v>
      </c>
      <c r="G37" s="187">
        <v>-346.5</v>
      </c>
      <c r="I37" t="s">
        <v>28</v>
      </c>
      <c r="L37" s="33">
        <f>IFERROR(-D37/D11,"na")</f>
        <v>0</v>
      </c>
      <c r="M37" s="34" t="str">
        <f>IFERROR(-E37/E11,"na")</f>
        <v>na</v>
      </c>
      <c r="N37" s="33">
        <f>IFERROR(-F37/F11,"na")</f>
        <v>0</v>
      </c>
      <c r="O37" s="33">
        <f>IFERROR(-G37/G11,"na")</f>
        <v>2.0227670753064798E-2</v>
      </c>
      <c r="P37" s="33">
        <f t="shared" si="2"/>
        <v>6.7425569176882659E-3</v>
      </c>
    </row>
    <row r="38" spans="1:16" ht="15.75" outlineLevel="1" thickBot="1" x14ac:dyDescent="0.3">
      <c r="B38" s="17" t="s">
        <v>29</v>
      </c>
      <c r="C38" s="17"/>
      <c r="D38" s="18">
        <f>SUM(D36:D37)</f>
        <v>346.79999999999995</v>
      </c>
      <c r="E38" s="18">
        <f>SUM(E36:E37)</f>
        <v>-600</v>
      </c>
      <c r="F38" s="18">
        <f>SUM(F36:F37)</f>
        <v>-2136.5</v>
      </c>
      <c r="G38" s="18">
        <f>SUM(G36:G37)</f>
        <v>-1891.5</v>
      </c>
      <c r="I38" s="17" t="s">
        <v>71</v>
      </c>
      <c r="J38" s="17"/>
      <c r="K38" s="18"/>
      <c r="L38" s="56">
        <f>IFERROR(D38/D11,"na")</f>
        <v>0.18827361563517914</v>
      </c>
      <c r="M38" s="57" t="str">
        <f>IFERROR(E38/E11,"na")</f>
        <v>na</v>
      </c>
      <c r="N38" s="56">
        <f>IFERROR(F38/F11,"na")</f>
        <v>-0.90721868365180469</v>
      </c>
      <c r="O38" s="56">
        <f>IFERROR(G38/G11,"na")</f>
        <v>-0.11042031523642733</v>
      </c>
      <c r="P38" s="56">
        <f t="shared" si="2"/>
        <v>-0.27645512775101766</v>
      </c>
    </row>
    <row r="39" spans="1:16" ht="15.75" outlineLevel="1" thickTop="1" x14ac:dyDescent="0.25">
      <c r="E39" s="20"/>
      <c r="F39" s="20"/>
      <c r="G39" s="20"/>
    </row>
    <row r="40" spans="1:16" x14ac:dyDescent="0.25">
      <c r="E40" s="20"/>
      <c r="F40" s="20"/>
      <c r="G40" s="20"/>
    </row>
    <row r="41" spans="1:16" ht="15.75" x14ac:dyDescent="0.25">
      <c r="A41" s="38"/>
      <c r="B41" s="41" t="s">
        <v>73</v>
      </c>
      <c r="C41" s="38"/>
      <c r="D41" s="38"/>
      <c r="E41" s="39"/>
      <c r="F41" s="39"/>
      <c r="G41" s="39"/>
      <c r="H41" s="38"/>
      <c r="I41" s="41" t="s">
        <v>75</v>
      </c>
      <c r="J41" s="38"/>
      <c r="K41" s="38"/>
      <c r="L41" s="38"/>
      <c r="M41" s="38"/>
      <c r="N41" s="38"/>
      <c r="O41" s="38"/>
      <c r="P41" s="38"/>
    </row>
    <row r="42" spans="1:16" outlineLevel="1" x14ac:dyDescent="0.25">
      <c r="D42" s="1">
        <v>44986</v>
      </c>
      <c r="E42" s="1">
        <v>45017</v>
      </c>
      <c r="F42" s="1">
        <v>45047</v>
      </c>
      <c r="G42" s="1">
        <v>45078</v>
      </c>
      <c r="H42" s="3"/>
      <c r="I42" s="3"/>
      <c r="J42" s="3"/>
      <c r="L42" s="1">
        <v>44986</v>
      </c>
      <c r="M42" s="1">
        <v>45017</v>
      </c>
      <c r="N42" s="1">
        <v>45047</v>
      </c>
      <c r="O42" s="1">
        <v>45078</v>
      </c>
      <c r="P42" s="40"/>
    </row>
    <row r="43" spans="1:16" ht="6.75" customHeight="1" outlineLevel="1" x14ac:dyDescent="0.25">
      <c r="E43" s="20"/>
      <c r="F43" s="20"/>
      <c r="G43" s="20"/>
    </row>
    <row r="44" spans="1:16" outlineLevel="1" x14ac:dyDescent="0.25">
      <c r="B44" s="7" t="s">
        <v>31</v>
      </c>
      <c r="C44" s="8"/>
      <c r="D44" s="24"/>
      <c r="E44" s="24"/>
      <c r="F44" s="24"/>
      <c r="G44" s="24"/>
      <c r="I44" s="7" t="s">
        <v>31</v>
      </c>
      <c r="J44" s="8"/>
      <c r="K44" s="8"/>
      <c r="L44" s="8"/>
      <c r="M44" s="8"/>
      <c r="N44" s="8"/>
      <c r="O44" s="8"/>
      <c r="P44" s="61"/>
    </row>
    <row r="45" spans="1:16" outlineLevel="1" x14ac:dyDescent="0.25">
      <c r="B45" t="s">
        <v>32</v>
      </c>
      <c r="D45" s="187">
        <v>0</v>
      </c>
      <c r="E45" s="187">
        <v>0</v>
      </c>
      <c r="F45" s="187">
        <v>0</v>
      </c>
      <c r="G45" s="187">
        <v>6490</v>
      </c>
      <c r="I45" t="s">
        <v>32</v>
      </c>
      <c r="L45" s="33">
        <f>IFERROR(D45/D$53,"na")</f>
        <v>0</v>
      </c>
      <c r="M45" s="34" t="str">
        <f t="shared" ref="M45:M68" si="6">IFERROR(E45/E$53,"na")</f>
        <v>na</v>
      </c>
      <c r="N45" s="33">
        <f t="shared" ref="N45:N68" si="7">IFERROR(F45/F$53,"na")</f>
        <v>0</v>
      </c>
      <c r="O45" s="33">
        <f t="shared" ref="O45:O68" si="8">IFERROR(G45/G$53,"na")</f>
        <v>0.61200433778113061</v>
      </c>
      <c r="P45" s="33"/>
    </row>
    <row r="46" spans="1:16" outlineLevel="1" x14ac:dyDescent="0.25">
      <c r="D46" s="21"/>
      <c r="E46" s="21"/>
      <c r="F46" s="21"/>
      <c r="G46" s="21"/>
      <c r="L46" s="33"/>
      <c r="M46" s="34"/>
      <c r="N46" s="33"/>
      <c r="O46" s="33"/>
      <c r="P46" s="33"/>
    </row>
    <row r="47" spans="1:16" outlineLevel="1" x14ac:dyDescent="0.25">
      <c r="B47" s="7" t="s">
        <v>33</v>
      </c>
      <c r="C47" s="8"/>
      <c r="D47" s="24"/>
      <c r="E47" s="24"/>
      <c r="F47" s="24"/>
      <c r="G47" s="24"/>
      <c r="I47" s="7" t="s">
        <v>33</v>
      </c>
      <c r="J47" s="8"/>
      <c r="K47" s="8"/>
      <c r="L47" s="42"/>
      <c r="M47" s="45"/>
      <c r="N47" s="42"/>
      <c r="O47" s="42"/>
      <c r="P47" s="63"/>
    </row>
    <row r="48" spans="1:16" outlineLevel="1" x14ac:dyDescent="0.25">
      <c r="B48" t="s">
        <v>34</v>
      </c>
      <c r="D48" s="187">
        <v>0</v>
      </c>
      <c r="E48" s="187">
        <v>0</v>
      </c>
      <c r="F48" s="187">
        <v>396</v>
      </c>
      <c r="G48" s="187">
        <v>300</v>
      </c>
      <c r="I48" t="s">
        <v>34</v>
      </c>
      <c r="L48" s="33">
        <f t="shared" ref="L48:L68" si="9">IFERROR(D48/D$53,"na")</f>
        <v>0</v>
      </c>
      <c r="M48" s="34" t="str">
        <f t="shared" si="6"/>
        <v>na</v>
      </c>
      <c r="N48" s="33">
        <f t="shared" si="7"/>
        <v>1</v>
      </c>
      <c r="O48" s="33">
        <f t="shared" si="8"/>
        <v>2.8289876939035317E-2</v>
      </c>
      <c r="P48" s="33"/>
    </row>
    <row r="49" spans="2:16" outlineLevel="1" x14ac:dyDescent="0.25">
      <c r="B49" t="s">
        <v>35</v>
      </c>
      <c r="D49" s="187">
        <v>0</v>
      </c>
      <c r="E49" s="187">
        <v>0</v>
      </c>
      <c r="F49" s="187">
        <v>0</v>
      </c>
      <c r="G49" s="187">
        <v>1568</v>
      </c>
      <c r="I49" t="s">
        <v>35</v>
      </c>
      <c r="L49" s="33">
        <f t="shared" si="9"/>
        <v>0</v>
      </c>
      <c r="M49" s="34" t="str">
        <f t="shared" si="6"/>
        <v>na</v>
      </c>
      <c r="N49" s="33">
        <f t="shared" si="7"/>
        <v>0</v>
      </c>
      <c r="O49" s="33">
        <f t="shared" si="8"/>
        <v>0.14786175680135791</v>
      </c>
      <c r="P49" s="33"/>
    </row>
    <row r="50" spans="2:16" outlineLevel="1" x14ac:dyDescent="0.25">
      <c r="B50" t="s">
        <v>36</v>
      </c>
      <c r="D50" s="187">
        <v>0</v>
      </c>
      <c r="E50" s="187">
        <v>0</v>
      </c>
      <c r="F50" s="187">
        <v>0</v>
      </c>
      <c r="G50" s="187">
        <v>346.5</v>
      </c>
      <c r="I50" t="s">
        <v>36</v>
      </c>
      <c r="L50" s="33">
        <f t="shared" si="9"/>
        <v>0</v>
      </c>
      <c r="M50" s="34" t="str">
        <f t="shared" si="6"/>
        <v>na</v>
      </c>
      <c r="N50" s="33">
        <f t="shared" si="7"/>
        <v>0</v>
      </c>
      <c r="O50" s="33">
        <f t="shared" si="8"/>
        <v>3.2674807864585792E-2</v>
      </c>
      <c r="P50" s="33"/>
    </row>
    <row r="51" spans="2:16" outlineLevel="1" x14ac:dyDescent="0.25">
      <c r="B51" t="s">
        <v>37</v>
      </c>
      <c r="D51" s="187">
        <v>346.8</v>
      </c>
      <c r="E51" s="187">
        <v>0</v>
      </c>
      <c r="F51" s="187">
        <v>0</v>
      </c>
      <c r="G51" s="187">
        <v>1900.0000000000009</v>
      </c>
      <c r="I51" t="s">
        <v>37</v>
      </c>
      <c r="L51" s="33">
        <f t="shared" si="9"/>
        <v>1</v>
      </c>
      <c r="M51" s="34" t="str">
        <f t="shared" si="6"/>
        <v>na</v>
      </c>
      <c r="N51" s="33">
        <f t="shared" si="7"/>
        <v>0</v>
      </c>
      <c r="O51" s="33">
        <f t="shared" si="8"/>
        <v>0.17916922061389043</v>
      </c>
      <c r="P51" s="33"/>
    </row>
    <row r="52" spans="2:16" outlineLevel="1" x14ac:dyDescent="0.25">
      <c r="B52" s="10" t="s">
        <v>38</v>
      </c>
      <c r="C52" s="11"/>
      <c r="D52" s="12">
        <f>SUM(D48:D51)</f>
        <v>346.8</v>
      </c>
      <c r="E52" s="12">
        <f>SUM(E48:E51)</f>
        <v>0</v>
      </c>
      <c r="F52" s="12">
        <f>SUM(F48:F51)</f>
        <v>396</v>
      </c>
      <c r="G52" s="12">
        <f>SUM(G48:G51)</f>
        <v>4114.5000000000009</v>
      </c>
      <c r="I52" s="10" t="s">
        <v>38</v>
      </c>
      <c r="J52" s="11"/>
      <c r="K52" s="10"/>
      <c r="L52" s="48">
        <f t="shared" si="9"/>
        <v>1</v>
      </c>
      <c r="M52" s="49" t="str">
        <f t="shared" si="6"/>
        <v>na</v>
      </c>
      <c r="N52" s="48">
        <f t="shared" si="7"/>
        <v>1</v>
      </c>
      <c r="O52" s="48">
        <f t="shared" si="8"/>
        <v>0.38799566221886944</v>
      </c>
      <c r="P52" s="62"/>
    </row>
    <row r="53" spans="2:16" ht="15.75" outlineLevel="1" thickBot="1" x14ac:dyDescent="0.3">
      <c r="B53" s="17" t="s">
        <v>39</v>
      </c>
      <c r="C53" s="19"/>
      <c r="D53" s="18">
        <f>D52+D45</f>
        <v>346.8</v>
      </c>
      <c r="E53" s="18">
        <f>E52+E45</f>
        <v>0</v>
      </c>
      <c r="F53" s="18">
        <f>F52+F45</f>
        <v>396</v>
      </c>
      <c r="G53" s="18">
        <f>G52+G45</f>
        <v>10604.5</v>
      </c>
      <c r="L53" s="33"/>
      <c r="M53" s="34"/>
      <c r="N53" s="33"/>
      <c r="O53" s="33"/>
      <c r="P53" s="33"/>
    </row>
    <row r="54" spans="2:16" ht="15.75" outlineLevel="1" thickTop="1" x14ac:dyDescent="0.25">
      <c r="D54" s="21"/>
      <c r="E54" s="21"/>
      <c r="F54" s="21"/>
      <c r="G54" s="21"/>
      <c r="L54" s="33"/>
      <c r="M54" s="34"/>
      <c r="N54" s="33"/>
      <c r="O54" s="33"/>
      <c r="P54" s="33"/>
    </row>
    <row r="55" spans="2:16" outlineLevel="1" x14ac:dyDescent="0.25">
      <c r="B55" s="7" t="s">
        <v>40</v>
      </c>
      <c r="C55" s="8"/>
      <c r="D55" s="24"/>
      <c r="E55" s="24"/>
      <c r="F55" s="24"/>
      <c r="G55" s="24"/>
      <c r="I55" s="7" t="s">
        <v>40</v>
      </c>
      <c r="J55" s="8"/>
      <c r="K55" s="8"/>
      <c r="L55" s="42"/>
      <c r="M55" s="45"/>
      <c r="N55" s="42"/>
      <c r="O55" s="42"/>
      <c r="P55" s="63"/>
    </row>
    <row r="56" spans="2:16" outlineLevel="1" x14ac:dyDescent="0.25">
      <c r="B56" t="s">
        <v>41</v>
      </c>
      <c r="D56" s="187">
        <v>0</v>
      </c>
      <c r="E56" s="187">
        <v>0</v>
      </c>
      <c r="F56" s="187">
        <v>0</v>
      </c>
      <c r="G56" s="187">
        <v>2850</v>
      </c>
      <c r="I56" t="s">
        <v>41</v>
      </c>
      <c r="L56" s="33">
        <f t="shared" si="9"/>
        <v>0</v>
      </c>
      <c r="M56" s="34" t="str">
        <f t="shared" si="6"/>
        <v>na</v>
      </c>
      <c r="N56" s="33">
        <f t="shared" si="7"/>
        <v>0</v>
      </c>
      <c r="O56" s="33">
        <f>IFERROR(G56/G$53,"na")</f>
        <v>0.26875383092083549</v>
      </c>
      <c r="P56" s="33"/>
    </row>
    <row r="57" spans="2:16" outlineLevel="1" x14ac:dyDescent="0.25">
      <c r="B57" t="s">
        <v>42</v>
      </c>
      <c r="D57" s="187">
        <v>0</v>
      </c>
      <c r="E57" s="187">
        <v>0</v>
      </c>
      <c r="F57" s="187">
        <v>0</v>
      </c>
      <c r="G57" s="187">
        <v>6750</v>
      </c>
      <c r="I57" t="s">
        <v>42</v>
      </c>
      <c r="L57" s="33">
        <f t="shared" si="9"/>
        <v>0</v>
      </c>
      <c r="M57" s="34" t="str">
        <f t="shared" si="6"/>
        <v>na</v>
      </c>
      <c r="N57" s="33">
        <f t="shared" si="7"/>
        <v>0</v>
      </c>
      <c r="O57" s="33">
        <f t="shared" si="8"/>
        <v>0.63652223112829465</v>
      </c>
      <c r="P57" s="33"/>
    </row>
    <row r="58" spans="2:16" outlineLevel="1" x14ac:dyDescent="0.25">
      <c r="B58" s="14" t="s">
        <v>43</v>
      </c>
      <c r="C58" s="14"/>
      <c r="D58" s="15">
        <f>SUM(D56:D57)</f>
        <v>0</v>
      </c>
      <c r="E58" s="15">
        <f>SUM(E56:E57)</f>
        <v>0</v>
      </c>
      <c r="F58" s="15">
        <f>SUM(F56:F57)</f>
        <v>0</v>
      </c>
      <c r="G58" s="15">
        <f>SUM(G56:G57)</f>
        <v>9600</v>
      </c>
      <c r="I58" s="14" t="s">
        <v>43</v>
      </c>
      <c r="J58" s="14"/>
      <c r="K58" s="14"/>
      <c r="L58" s="43">
        <f t="shared" si="9"/>
        <v>0</v>
      </c>
      <c r="M58" s="46" t="str">
        <f t="shared" si="6"/>
        <v>na</v>
      </c>
      <c r="N58" s="43">
        <f t="shared" si="7"/>
        <v>0</v>
      </c>
      <c r="O58" s="43">
        <f t="shared" si="8"/>
        <v>0.90527606204913014</v>
      </c>
      <c r="P58" s="62"/>
    </row>
    <row r="59" spans="2:16" outlineLevel="1" x14ac:dyDescent="0.25">
      <c r="D59" s="21"/>
      <c r="E59" s="21"/>
      <c r="F59" s="21"/>
      <c r="G59" s="21"/>
      <c r="L59" s="33"/>
      <c r="M59" s="34"/>
      <c r="N59" s="33"/>
      <c r="O59" s="33"/>
      <c r="P59" s="33"/>
    </row>
    <row r="60" spans="2:16" outlineLevel="1" x14ac:dyDescent="0.25">
      <c r="B60" s="7" t="s">
        <v>44</v>
      </c>
      <c r="C60" s="8"/>
      <c r="D60" s="24"/>
      <c r="E60" s="24"/>
      <c r="F60" s="24"/>
      <c r="G60" s="24"/>
      <c r="I60" s="7" t="s">
        <v>44</v>
      </c>
      <c r="J60" s="8"/>
      <c r="K60" s="8"/>
      <c r="L60" s="42"/>
      <c r="M60" s="45"/>
      <c r="N60" s="42"/>
      <c r="O60" s="42"/>
      <c r="P60" s="63"/>
    </row>
    <row r="61" spans="2:16" outlineLevel="1" x14ac:dyDescent="0.25">
      <c r="B61" t="s">
        <v>45</v>
      </c>
      <c r="D61" s="187">
        <v>0</v>
      </c>
      <c r="E61" s="187">
        <v>0</v>
      </c>
      <c r="F61" s="187">
        <v>0</v>
      </c>
      <c r="G61" s="187">
        <v>2500</v>
      </c>
      <c r="I61" t="s">
        <v>45</v>
      </c>
      <c r="L61" s="33">
        <f t="shared" si="9"/>
        <v>0</v>
      </c>
      <c r="M61" s="34" t="str">
        <f t="shared" si="6"/>
        <v>na</v>
      </c>
      <c r="N61" s="33">
        <f t="shared" si="7"/>
        <v>0</v>
      </c>
      <c r="O61" s="33">
        <f t="shared" si="8"/>
        <v>0.23574897449196097</v>
      </c>
      <c r="P61" s="33"/>
    </row>
    <row r="62" spans="2:16" outlineLevel="1" x14ac:dyDescent="0.25">
      <c r="D62" s="21"/>
      <c r="E62" s="21"/>
      <c r="F62" s="21"/>
      <c r="G62" s="21"/>
      <c r="L62" s="33"/>
      <c r="M62" s="34"/>
      <c r="N62" s="33"/>
      <c r="O62" s="33"/>
      <c r="P62" s="33"/>
    </row>
    <row r="63" spans="2:16" outlineLevel="1" x14ac:dyDescent="0.25">
      <c r="B63" s="14" t="s">
        <v>46</v>
      </c>
      <c r="C63" s="16"/>
      <c r="D63" s="15">
        <f>D61+D58</f>
        <v>0</v>
      </c>
      <c r="E63" s="15">
        <f>E61+E58</f>
        <v>0</v>
      </c>
      <c r="F63" s="15">
        <f>F61+F58</f>
        <v>0</v>
      </c>
      <c r="G63" s="15">
        <f>G61+G58</f>
        <v>12100</v>
      </c>
      <c r="I63" s="14" t="s">
        <v>46</v>
      </c>
      <c r="J63" s="16"/>
      <c r="K63" s="16"/>
      <c r="L63" s="44">
        <f t="shared" si="9"/>
        <v>0</v>
      </c>
      <c r="M63" s="47" t="str">
        <f t="shared" si="6"/>
        <v>na</v>
      </c>
      <c r="N63" s="44">
        <f t="shared" si="7"/>
        <v>0</v>
      </c>
      <c r="O63" s="44">
        <f t="shared" si="8"/>
        <v>1.141025036541091</v>
      </c>
      <c r="P63" s="63"/>
    </row>
    <row r="64" spans="2:16" outlineLevel="1" x14ac:dyDescent="0.25">
      <c r="D64" s="21"/>
      <c r="E64" s="21"/>
      <c r="F64" s="21"/>
      <c r="G64" s="21"/>
      <c r="L64" s="33"/>
      <c r="M64" s="34"/>
      <c r="N64" s="33"/>
      <c r="O64" s="33"/>
      <c r="P64" s="33"/>
    </row>
    <row r="65" spans="1:16" outlineLevel="1" x14ac:dyDescent="0.25">
      <c r="B65" s="7" t="s">
        <v>47</v>
      </c>
      <c r="C65" s="8"/>
      <c r="D65" s="24"/>
      <c r="E65" s="24"/>
      <c r="F65" s="24"/>
      <c r="G65" s="24"/>
      <c r="I65" s="7" t="s">
        <v>47</v>
      </c>
      <c r="J65" s="8"/>
      <c r="K65" s="8"/>
      <c r="L65" s="42"/>
      <c r="M65" s="45"/>
      <c r="N65" s="42"/>
      <c r="O65" s="42"/>
      <c r="P65" s="63"/>
    </row>
    <row r="66" spans="1:16" outlineLevel="1" x14ac:dyDescent="0.25">
      <c r="B66" t="s">
        <v>48</v>
      </c>
      <c r="D66" s="187">
        <v>0</v>
      </c>
      <c r="E66" s="187">
        <v>253.20000000000005</v>
      </c>
      <c r="F66" s="187">
        <v>2785.7</v>
      </c>
      <c r="G66" s="187">
        <v>2785.7</v>
      </c>
      <c r="I66" t="s">
        <v>48</v>
      </c>
      <c r="L66" s="33">
        <f t="shared" si="9"/>
        <v>0</v>
      </c>
      <c r="M66" s="34" t="str">
        <f t="shared" si="6"/>
        <v>na</v>
      </c>
      <c r="N66" s="33">
        <f t="shared" si="7"/>
        <v>7.0345959595959595</v>
      </c>
      <c r="O66" s="33">
        <f t="shared" si="8"/>
        <v>0.26269036729690226</v>
      </c>
      <c r="P66" s="33"/>
    </row>
    <row r="67" spans="1:16" outlineLevel="1" x14ac:dyDescent="0.25">
      <c r="B67" t="s">
        <v>49</v>
      </c>
      <c r="D67" s="187">
        <v>346.79999999999995</v>
      </c>
      <c r="E67" s="187">
        <v>-253.20000000000005</v>
      </c>
      <c r="F67" s="187">
        <v>-2389.6999999999998</v>
      </c>
      <c r="G67" s="187">
        <v>-4281.2</v>
      </c>
      <c r="I67" t="s">
        <v>49</v>
      </c>
      <c r="L67" s="33">
        <f t="shared" si="9"/>
        <v>0.99999999999999989</v>
      </c>
      <c r="M67" s="34" t="str">
        <f t="shared" si="6"/>
        <v>na</v>
      </c>
      <c r="N67" s="33">
        <f t="shared" si="7"/>
        <v>-6.0345959595959595</v>
      </c>
      <c r="O67" s="33">
        <f t="shared" si="8"/>
        <v>-0.40371540383799331</v>
      </c>
      <c r="P67" s="33"/>
    </row>
    <row r="68" spans="1:16" outlineLevel="1" x14ac:dyDescent="0.25">
      <c r="B68" s="14" t="s">
        <v>50</v>
      </c>
      <c r="C68" s="16"/>
      <c r="D68" s="15">
        <f>D67+D66</f>
        <v>346.79999999999995</v>
      </c>
      <c r="E68" s="15">
        <f>E67+E66</f>
        <v>0</v>
      </c>
      <c r="F68" s="15">
        <f>F67+F66</f>
        <v>396</v>
      </c>
      <c r="G68" s="15">
        <f>G67+G66</f>
        <v>-1495.5</v>
      </c>
      <c r="H68" s="5"/>
      <c r="I68" s="14" t="s">
        <v>50</v>
      </c>
      <c r="J68" s="16"/>
      <c r="K68" s="16"/>
      <c r="L68" s="44">
        <f t="shared" si="9"/>
        <v>0.99999999999999989</v>
      </c>
      <c r="M68" s="47" t="str">
        <f t="shared" si="6"/>
        <v>na</v>
      </c>
      <c r="N68" s="44">
        <f t="shared" si="7"/>
        <v>1</v>
      </c>
      <c r="O68" s="44">
        <f t="shared" si="8"/>
        <v>-0.14102503654109105</v>
      </c>
      <c r="P68" s="63"/>
    </row>
    <row r="69" spans="1:16" ht="15.75" outlineLevel="1" thickBot="1" x14ac:dyDescent="0.3">
      <c r="B69" s="17" t="s">
        <v>51</v>
      </c>
      <c r="C69" s="19"/>
      <c r="D69" s="18">
        <f>D68+D63</f>
        <v>346.79999999999995</v>
      </c>
      <c r="E69" s="18">
        <f>E68+E63</f>
        <v>0</v>
      </c>
      <c r="F69" s="18">
        <f>F68+F63</f>
        <v>396</v>
      </c>
      <c r="G69" s="18">
        <f>G68+G63</f>
        <v>10604.5</v>
      </c>
      <c r="H69" s="5"/>
      <c r="I69" s="5"/>
      <c r="J69" s="5"/>
    </row>
    <row r="70" spans="1:16" ht="15.75" outlineLevel="1" thickTop="1" x14ac:dyDescent="0.25"/>
    <row r="71" spans="1:16" outlineLevel="1" x14ac:dyDescent="0.25"/>
    <row r="73" spans="1:16" ht="15.75" x14ac:dyDescent="0.25">
      <c r="A73" s="38"/>
      <c r="B73" s="41" t="s">
        <v>74</v>
      </c>
      <c r="C73" s="38"/>
      <c r="D73" s="38"/>
      <c r="E73" s="39"/>
      <c r="F73" s="39"/>
      <c r="G73" s="39"/>
      <c r="H73" s="38"/>
      <c r="I73" s="38"/>
      <c r="J73" s="38"/>
      <c r="K73" s="38"/>
      <c r="L73" s="38"/>
      <c r="M73" s="38"/>
      <c r="N73" s="38"/>
      <c r="O73" s="38"/>
      <c r="P73" s="38"/>
    </row>
    <row r="74" spans="1:16" outlineLevel="1" x14ac:dyDescent="0.25">
      <c r="D74" s="1">
        <v>44986</v>
      </c>
      <c r="E74" s="1">
        <v>45017</v>
      </c>
      <c r="F74" s="1">
        <v>45047</v>
      </c>
      <c r="G74" s="1">
        <v>45078</v>
      </c>
      <c r="H74" s="3"/>
      <c r="I74" s="3"/>
      <c r="J74" s="3"/>
    </row>
    <row r="75" spans="1:16" ht="6" customHeight="1" outlineLevel="1" x14ac:dyDescent="0.25"/>
    <row r="76" spans="1:16" outlineLevel="1" x14ac:dyDescent="0.25">
      <c r="B76" s="7" t="s">
        <v>52</v>
      </c>
      <c r="C76" s="8"/>
      <c r="D76" s="8"/>
      <c r="E76" s="8"/>
      <c r="F76" s="8"/>
      <c r="G76" s="8"/>
    </row>
    <row r="77" spans="1:16" outlineLevel="1" x14ac:dyDescent="0.25">
      <c r="B77" t="s">
        <v>53</v>
      </c>
      <c r="D77" s="190">
        <v>346.79999999999995</v>
      </c>
      <c r="E77" s="190">
        <v>-600</v>
      </c>
      <c r="F77" s="190">
        <v>-2136.5</v>
      </c>
      <c r="G77" s="190">
        <v>-1891.5</v>
      </c>
    </row>
    <row r="78" spans="1:16" outlineLevel="1" x14ac:dyDescent="0.25">
      <c r="B78" t="s">
        <v>54</v>
      </c>
      <c r="D78" s="190">
        <v>0</v>
      </c>
      <c r="E78" s="190">
        <v>0</v>
      </c>
      <c r="F78" s="190">
        <v>0</v>
      </c>
      <c r="G78" s="190">
        <v>110</v>
      </c>
    </row>
    <row r="79" spans="1:16" outlineLevel="1" x14ac:dyDescent="0.25">
      <c r="B79" t="s">
        <v>55</v>
      </c>
      <c r="D79" s="190">
        <v>0</v>
      </c>
      <c r="E79" s="190">
        <v>0</v>
      </c>
      <c r="F79" s="190">
        <v>0</v>
      </c>
      <c r="G79" s="190">
        <v>-346.5</v>
      </c>
    </row>
    <row r="80" spans="1:16" outlineLevel="1" x14ac:dyDescent="0.25">
      <c r="B80" t="s">
        <v>56</v>
      </c>
      <c r="D80" s="190">
        <v>0</v>
      </c>
      <c r="E80" s="188">
        <v>0</v>
      </c>
      <c r="F80" s="191">
        <v>-396</v>
      </c>
      <c r="G80" s="191">
        <v>8128</v>
      </c>
    </row>
    <row r="81" spans="2:7" outlineLevel="1" x14ac:dyDescent="0.25">
      <c r="B81" s="14" t="s">
        <v>57</v>
      </c>
      <c r="C81" s="14"/>
      <c r="D81" s="26">
        <f>SUM(D77:D80)</f>
        <v>346.79999999999995</v>
      </c>
      <c r="E81" s="26">
        <f>SUM(E77:E80)</f>
        <v>-600</v>
      </c>
      <c r="F81" s="26">
        <f>SUM(F77:F80)</f>
        <v>-2532.5</v>
      </c>
      <c r="G81" s="26">
        <f>SUM(G77:G80)</f>
        <v>6000</v>
      </c>
    </row>
    <row r="82" spans="2:7" outlineLevel="1" x14ac:dyDescent="0.25"/>
    <row r="83" spans="2:7" outlineLevel="1" x14ac:dyDescent="0.25">
      <c r="B83" t="s">
        <v>58</v>
      </c>
      <c r="D83" s="188">
        <v>0</v>
      </c>
      <c r="E83" s="188">
        <v>0</v>
      </c>
      <c r="F83" s="188">
        <v>0</v>
      </c>
      <c r="G83" s="191">
        <v>-6600</v>
      </c>
    </row>
    <row r="84" spans="2:7" outlineLevel="1" x14ac:dyDescent="0.25">
      <c r="B84" s="14" t="s">
        <v>59</v>
      </c>
      <c r="C84" s="14"/>
      <c r="D84" s="26">
        <f>D83</f>
        <v>0</v>
      </c>
      <c r="E84" s="26">
        <f>E83</f>
        <v>0</v>
      </c>
      <c r="F84" s="26">
        <f>F83</f>
        <v>0</v>
      </c>
      <c r="G84" s="26">
        <f>G83</f>
        <v>-6600</v>
      </c>
    </row>
    <row r="85" spans="2:7" outlineLevel="1" x14ac:dyDescent="0.25"/>
    <row r="86" spans="2:7" outlineLevel="1" x14ac:dyDescent="0.25">
      <c r="B86" t="s">
        <v>60</v>
      </c>
      <c r="D86" s="190">
        <v>0</v>
      </c>
      <c r="E86" s="190">
        <v>253.20000000000005</v>
      </c>
      <c r="F86" s="190">
        <v>2532.5</v>
      </c>
      <c r="G86" s="190">
        <v>0</v>
      </c>
    </row>
    <row r="87" spans="2:7" outlineLevel="1" x14ac:dyDescent="0.25">
      <c r="B87" t="s">
        <v>61</v>
      </c>
      <c r="D87" s="190">
        <v>0</v>
      </c>
      <c r="E87" s="190">
        <v>0</v>
      </c>
      <c r="F87" s="190">
        <v>0</v>
      </c>
      <c r="G87" s="190">
        <v>2500</v>
      </c>
    </row>
    <row r="88" spans="2:7" outlineLevel="1" x14ac:dyDescent="0.25">
      <c r="B88" s="14" t="s">
        <v>62</v>
      </c>
      <c r="C88" s="14"/>
      <c r="D88" s="26">
        <f>SUM(D86:D87)</f>
        <v>0</v>
      </c>
      <c r="E88" s="26">
        <f>SUM(E86:E87)</f>
        <v>253.20000000000005</v>
      </c>
      <c r="F88" s="26">
        <f>SUM(F86:F87)</f>
        <v>2532.5</v>
      </c>
      <c r="G88" s="26">
        <f>SUM(G86:G87)</f>
        <v>2500</v>
      </c>
    </row>
    <row r="89" spans="2:7" outlineLevel="1" x14ac:dyDescent="0.25"/>
    <row r="90" spans="2:7" outlineLevel="1" x14ac:dyDescent="0.25">
      <c r="B90" t="s">
        <v>63</v>
      </c>
      <c r="D90" s="190">
        <v>346.79999999999995</v>
      </c>
      <c r="E90" s="190">
        <v>-346.79999999999995</v>
      </c>
      <c r="F90" s="190">
        <v>0</v>
      </c>
      <c r="G90" s="190">
        <v>1900</v>
      </c>
    </row>
    <row r="91" spans="2:7" outlineLevel="1" x14ac:dyDescent="0.25">
      <c r="B91" t="s">
        <v>64</v>
      </c>
      <c r="D91" s="188">
        <v>0</v>
      </c>
      <c r="E91" s="192">
        <v>346.8</v>
      </c>
      <c r="F91" s="192">
        <v>0</v>
      </c>
      <c r="G91" s="192">
        <v>0</v>
      </c>
    </row>
    <row r="92" spans="2:7" ht="15.75" outlineLevel="1" thickBot="1" x14ac:dyDescent="0.3">
      <c r="B92" s="17" t="s">
        <v>65</v>
      </c>
      <c r="C92" s="17"/>
      <c r="D92" s="27">
        <f>D90+D91</f>
        <v>346.79999999999995</v>
      </c>
      <c r="E92" s="27">
        <f>E90+E91</f>
        <v>0</v>
      </c>
      <c r="F92" s="27">
        <f>F90+F91</f>
        <v>0</v>
      </c>
      <c r="G92" s="27">
        <f>G90+G91</f>
        <v>1900</v>
      </c>
    </row>
    <row r="93" spans="2:7" ht="15.75" outlineLevel="1" thickTop="1" x14ac:dyDescent="0.25"/>
  </sheetData>
  <pageMargins left="0.7" right="0.7" top="0.75" bottom="0.75" header="0.3" footer="0.3"/>
  <pageSetup paperSize="8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7AFF-B9FB-4C8A-82B0-AFDF5CFF58C6}">
  <dimension ref="A1:N115"/>
  <sheetViews>
    <sheetView showGridLines="0" topLeftCell="A46" workbookViewId="0">
      <selection activeCell="I29" sqref="I29"/>
    </sheetView>
  </sheetViews>
  <sheetFormatPr defaultRowHeight="15" x14ac:dyDescent="0.25"/>
  <cols>
    <col min="1" max="1" width="3" customWidth="1"/>
    <col min="2" max="2" width="29.7109375" bestFit="1" customWidth="1"/>
    <col min="4" max="4" width="10.5703125" bestFit="1" customWidth="1"/>
    <col min="5" max="5" width="11.42578125" bestFit="1" customWidth="1"/>
    <col min="6" max="6" width="12.140625" bestFit="1" customWidth="1"/>
    <col min="7" max="7" width="13.28515625" bestFit="1" customWidth="1"/>
    <col min="8" max="9" width="9.85546875" bestFit="1" customWidth="1"/>
    <col min="10" max="10" width="13.28515625" bestFit="1" customWidth="1"/>
    <col min="12" max="12" width="9.5703125" bestFit="1" customWidth="1"/>
    <col min="14" max="14" width="9.85546875" bestFit="1" customWidth="1"/>
  </cols>
  <sheetData>
    <row r="1" spans="1:13" ht="18" x14ac:dyDescent="0.25">
      <c r="A1" s="202" t="s">
        <v>203</v>
      </c>
      <c r="B1" s="202"/>
      <c r="C1" s="202"/>
      <c r="D1" s="203"/>
      <c r="E1" s="203"/>
      <c r="F1" s="203"/>
      <c r="G1" s="203"/>
      <c r="H1" s="203"/>
      <c r="I1" s="203"/>
      <c r="J1" s="203"/>
      <c r="K1" s="203"/>
      <c r="L1" s="203"/>
      <c r="M1" s="203" t="s">
        <v>88</v>
      </c>
    </row>
    <row r="2" spans="1:13" ht="18" x14ac:dyDescent="0.25">
      <c r="A2" s="202"/>
      <c r="B2" s="202"/>
      <c r="C2" s="202"/>
      <c r="D2" s="203"/>
      <c r="E2" s="203"/>
      <c r="F2" s="203"/>
      <c r="G2" s="203"/>
      <c r="H2" s="203"/>
      <c r="I2" s="203"/>
      <c r="J2" s="203"/>
      <c r="K2" s="203"/>
      <c r="L2" s="203"/>
      <c r="M2" s="203" t="s">
        <v>88</v>
      </c>
    </row>
    <row r="3" spans="1:13" ht="9" customHeight="1" x14ac:dyDescent="0.25"/>
    <row r="4" spans="1:13" x14ac:dyDescent="0.25">
      <c r="D4" s="179">
        <v>2023</v>
      </c>
      <c r="E4" s="105">
        <f>D4+1</f>
        <v>2024</v>
      </c>
      <c r="F4" s="105">
        <f>E4+1</f>
        <v>2025</v>
      </c>
      <c r="G4" s="105">
        <f>F4+1</f>
        <v>2026</v>
      </c>
    </row>
    <row r="5" spans="1:13" ht="7.5" customHeight="1" x14ac:dyDescent="0.25"/>
    <row r="6" spans="1:13" ht="15.75" x14ac:dyDescent="0.25">
      <c r="A6" s="41"/>
      <c r="B6" s="41" t="s">
        <v>126</v>
      </c>
      <c r="C6" s="41"/>
      <c r="D6" s="41"/>
      <c r="E6" s="41"/>
      <c r="F6" s="41"/>
      <c r="G6" s="41" t="s">
        <v>88</v>
      </c>
    </row>
    <row r="7" spans="1:13" x14ac:dyDescent="0.25">
      <c r="B7" t="s">
        <v>127</v>
      </c>
      <c r="D7" s="194">
        <v>44986</v>
      </c>
      <c r="E7" s="110">
        <f>DATE(YEAR(D8),MONTH(D8),DAY(D8)+1)</f>
        <v>45200</v>
      </c>
      <c r="F7" s="110">
        <f>DATE(YEAR(E8),MONTH(E8),DAY(E8)+1)</f>
        <v>45566</v>
      </c>
      <c r="G7" s="110">
        <f>DATE(YEAR(F8),MONTH(F8),DAY(F8)+1)</f>
        <v>45931</v>
      </c>
    </row>
    <row r="8" spans="1:13" x14ac:dyDescent="0.25">
      <c r="B8" t="s">
        <v>128</v>
      </c>
      <c r="D8" s="194">
        <v>45199</v>
      </c>
      <c r="E8" s="110">
        <f>DATE(YEAR(D8)+1,MONTH(D8),DAY(D8))</f>
        <v>45565</v>
      </c>
      <c r="F8" s="110">
        <f>DATE(YEAR(E8)+1,MONTH(E8),DAY(E8))</f>
        <v>45930</v>
      </c>
      <c r="G8" s="110">
        <f>DATE(YEAR(F8)+1,MONTH(F8),DAY(F8))</f>
        <v>46295</v>
      </c>
    </row>
    <row r="9" spans="1:13" x14ac:dyDescent="0.25">
      <c r="B9" t="s">
        <v>89</v>
      </c>
      <c r="D9">
        <f>D8-D7+1</f>
        <v>214</v>
      </c>
      <c r="E9">
        <f>E8-E7+1</f>
        <v>366</v>
      </c>
      <c r="F9">
        <f>F8-F7+1</f>
        <v>365</v>
      </c>
      <c r="G9">
        <f>G8-G7+1</f>
        <v>365</v>
      </c>
    </row>
    <row r="11" spans="1:13" ht="15.75" x14ac:dyDescent="0.25">
      <c r="A11" s="41"/>
      <c r="B11" s="41" t="s">
        <v>129</v>
      </c>
      <c r="C11" s="41"/>
      <c r="D11" s="41"/>
      <c r="E11" s="41"/>
      <c r="F11" s="41"/>
      <c r="G11" s="41" t="s">
        <v>88</v>
      </c>
    </row>
    <row r="12" spans="1:13" x14ac:dyDescent="0.25">
      <c r="D12" s="196">
        <v>2023</v>
      </c>
      <c r="E12" s="101">
        <f>D12+1</f>
        <v>2024</v>
      </c>
      <c r="F12" s="101">
        <f>E12+1</f>
        <v>2025</v>
      </c>
      <c r="G12" s="101">
        <f>F12+1</f>
        <v>2026</v>
      </c>
    </row>
    <row r="13" spans="1:13" ht="7.5" customHeight="1" x14ac:dyDescent="0.25">
      <c r="D13" s="93"/>
      <c r="E13" s="94"/>
      <c r="F13" s="94"/>
      <c r="G13" s="94"/>
    </row>
    <row r="14" spans="1:13" x14ac:dyDescent="0.25">
      <c r="B14" s="7" t="s">
        <v>102</v>
      </c>
      <c r="C14" s="8"/>
      <c r="D14" s="146"/>
      <c r="E14" s="8"/>
      <c r="F14" s="8"/>
      <c r="G14" s="8"/>
    </row>
    <row r="15" spans="1:13" x14ac:dyDescent="0.25">
      <c r="B15" t="s">
        <v>1</v>
      </c>
      <c r="D15" s="95"/>
      <c r="E15" s="96">
        <f>Scenarios!E15</f>
        <v>2.4000000000000004</v>
      </c>
      <c r="F15" s="96">
        <f>Scenarios!F15</f>
        <v>2.04</v>
      </c>
      <c r="G15" s="96">
        <f>Scenarios!G15</f>
        <v>1.734</v>
      </c>
    </row>
    <row r="16" spans="1:13" x14ac:dyDescent="0.25">
      <c r="B16" t="s">
        <v>3</v>
      </c>
      <c r="D16" s="95"/>
      <c r="E16" s="96">
        <f>Scenarios!E16</f>
        <v>2</v>
      </c>
      <c r="F16" s="96">
        <f>Scenarios!F16</f>
        <v>1.7000000000000002</v>
      </c>
      <c r="G16" s="96">
        <f>Scenarios!G16</f>
        <v>1.4450000000000001</v>
      </c>
    </row>
    <row r="17" spans="1:10" x14ac:dyDescent="0.25">
      <c r="B17" t="s">
        <v>4</v>
      </c>
      <c r="D17" s="95"/>
      <c r="E17" s="96">
        <f>Scenarios!E17</f>
        <v>1.2000000000000002</v>
      </c>
      <c r="F17" s="96">
        <f>Scenarios!F17</f>
        <v>1.02</v>
      </c>
      <c r="G17" s="96">
        <f>Scenarios!G17</f>
        <v>0.86699999999999999</v>
      </c>
    </row>
    <row r="19" spans="1:10" ht="15.75" x14ac:dyDescent="0.25">
      <c r="A19" s="41"/>
      <c r="B19" s="41" t="s">
        <v>83</v>
      </c>
      <c r="C19" s="41"/>
      <c r="D19" s="41"/>
      <c r="E19" s="41"/>
      <c r="F19" s="41"/>
      <c r="G19" s="41" t="s">
        <v>88</v>
      </c>
    </row>
    <row r="20" spans="1:10" x14ac:dyDescent="0.25">
      <c r="D20" s="197">
        <v>2023</v>
      </c>
      <c r="E20" s="105">
        <f>D20+1</f>
        <v>2024</v>
      </c>
      <c r="F20" s="105">
        <f>E20+1</f>
        <v>2025</v>
      </c>
      <c r="G20" s="105">
        <f>F20+1</f>
        <v>2026</v>
      </c>
    </row>
    <row r="21" spans="1:10" x14ac:dyDescent="0.25">
      <c r="B21" s="7" t="s">
        <v>0</v>
      </c>
      <c r="C21" s="8"/>
      <c r="D21" s="8"/>
      <c r="E21" s="8"/>
      <c r="F21" s="8"/>
      <c r="G21" s="8"/>
    </row>
    <row r="22" spans="1:10" x14ac:dyDescent="0.25">
      <c r="B22" t="s">
        <v>1</v>
      </c>
      <c r="C22" s="121"/>
      <c r="D22" s="172">
        <v>55351.14</v>
      </c>
      <c r="E22" s="121">
        <f>D22*(1+E15)</f>
        <v>188193.87600000002</v>
      </c>
      <c r="F22" s="121">
        <f>E22*(1+F15)</f>
        <v>572109.3830400001</v>
      </c>
      <c r="G22" s="121">
        <f>F22*(1+G15)</f>
        <v>1564147.0532313602</v>
      </c>
    </row>
    <row r="23" spans="1:10" x14ac:dyDescent="0.25">
      <c r="B23" t="s">
        <v>3</v>
      </c>
      <c r="C23" s="121"/>
      <c r="D23" s="172">
        <v>6918</v>
      </c>
      <c r="E23" s="121">
        <f t="shared" ref="E23:G24" si="0">D23*(1+E16)</f>
        <v>20754</v>
      </c>
      <c r="F23" s="121">
        <f t="shared" si="0"/>
        <v>56035.8</v>
      </c>
      <c r="G23" s="121">
        <f t="shared" si="0"/>
        <v>137007.53100000002</v>
      </c>
    </row>
    <row r="24" spans="1:10" x14ac:dyDescent="0.25">
      <c r="B24" t="s">
        <v>4</v>
      </c>
      <c r="C24" s="121"/>
      <c r="D24" s="172">
        <v>5502</v>
      </c>
      <c r="E24" s="121">
        <f t="shared" si="0"/>
        <v>12104.400000000001</v>
      </c>
      <c r="F24" s="121">
        <f t="shared" si="0"/>
        <v>24450.888000000003</v>
      </c>
      <c r="G24" s="121">
        <f t="shared" si="0"/>
        <v>45649.807896000006</v>
      </c>
    </row>
    <row r="25" spans="1:10" x14ac:dyDescent="0.25">
      <c r="B25" s="10" t="s">
        <v>5</v>
      </c>
      <c r="C25" s="139"/>
      <c r="D25" s="139">
        <f>SUM(D22:D24)</f>
        <v>67771.14</v>
      </c>
      <c r="E25" s="139">
        <f>SUM(E22:E24)</f>
        <v>221052.27600000001</v>
      </c>
      <c r="F25" s="139">
        <f>SUM(F22:F24)</f>
        <v>652596.07104000018</v>
      </c>
      <c r="G25" s="139">
        <f>SUM(G22:G24)</f>
        <v>1746804.3921273602</v>
      </c>
      <c r="J25" s="153"/>
    </row>
    <row r="27" spans="1:10" x14ac:dyDescent="0.25">
      <c r="B27" s="7" t="s">
        <v>130</v>
      </c>
      <c r="C27" s="8"/>
      <c r="D27" s="8"/>
      <c r="E27" s="8"/>
      <c r="F27" s="8"/>
      <c r="G27" s="8"/>
    </row>
    <row r="28" spans="1:10" x14ac:dyDescent="0.25">
      <c r="B28" t="s">
        <v>81</v>
      </c>
      <c r="D28" s="172">
        <v>-53694.902461300313</v>
      </c>
      <c r="E28" s="121">
        <f>-E25*'Control Panel'!$C$23</f>
        <v>-132631.36559999999</v>
      </c>
      <c r="F28" s="121">
        <f>(F25*'Control Panel'!$C$23)*-1</f>
        <v>-391557.64262400009</v>
      </c>
      <c r="G28" s="121">
        <f>(G25*'Control Panel'!$C$23)*-1</f>
        <v>-1048082.6352764161</v>
      </c>
    </row>
    <row r="29" spans="1:10" x14ac:dyDescent="0.25">
      <c r="B29" t="s">
        <v>105</v>
      </c>
      <c r="D29" s="172">
        <v>-6777.1139999999996</v>
      </c>
      <c r="E29" s="121">
        <f>-E$25*'Control Panel'!$C25</f>
        <v>-22105.227600000002</v>
      </c>
      <c r="F29" s="121">
        <f>(F$25*'Control Panel'!$C25)*-1</f>
        <v>-65259.607104000024</v>
      </c>
      <c r="G29" s="121">
        <f>(G$25*'Control Panel'!$C25)*-1</f>
        <v>-174680.43921273603</v>
      </c>
    </row>
    <row r="30" spans="1:10" x14ac:dyDescent="0.25">
      <c r="B30" t="s">
        <v>22</v>
      </c>
      <c r="D30" s="172">
        <v>-3445.9732198142415</v>
      </c>
      <c r="E30" s="121">
        <f>(E$25*'Control Panel'!$C26)*-1</f>
        <v>-13117.137120743035</v>
      </c>
      <c r="F30" s="121">
        <f>(F$25*'Control Panel'!$C26)*-1</f>
        <v>-38724.741057585154</v>
      </c>
      <c r="G30" s="121">
        <f>(G$25*'Control Panel'!$C26)*-1</f>
        <v>-103654.54339249042</v>
      </c>
    </row>
    <row r="31" spans="1:10" x14ac:dyDescent="0.25">
      <c r="B31" t="s">
        <v>23</v>
      </c>
      <c r="D31" s="172">
        <v>-834.35774984104319</v>
      </c>
      <c r="E31" s="121">
        <f>(E$25*'Control Panel'!$C27)*-1</f>
        <v>-3019.2447185070332</v>
      </c>
      <c r="F31" s="121">
        <f>(F$25*'Control Panel'!$C27)*-1</f>
        <v>-8913.4899511550884</v>
      </c>
      <c r="G31" s="121">
        <f>(G$25*'Control Panel'!$C27)*-1</f>
        <v>-23858.745228189466</v>
      </c>
    </row>
    <row r="32" spans="1:10" x14ac:dyDescent="0.25">
      <c r="B32" t="s">
        <v>131</v>
      </c>
      <c r="D32" s="172">
        <v>-687.59358000678299</v>
      </c>
      <c r="E32" s="121">
        <f>(E$25*'Control Panel'!$C28)*-1</f>
        <v>-1686.6729974249172</v>
      </c>
      <c r="F32" s="121">
        <f>(F$25*'Control Panel'!$C28)*-1</f>
        <v>-4979.4383082884942</v>
      </c>
      <c r="G32" s="121">
        <f>(G$25*'Control Panel'!$C28)*-1</f>
        <v>-13328.466249243527</v>
      </c>
    </row>
    <row r="33" spans="1:12" x14ac:dyDescent="0.25">
      <c r="B33" t="s">
        <v>25</v>
      </c>
      <c r="D33" s="172">
        <v>-30800</v>
      </c>
      <c r="E33" s="121">
        <f>-'Control Panel'!D32</f>
        <v>-50000</v>
      </c>
      <c r="F33" s="121">
        <f>-'Control Panel'!E32</f>
        <v>-50000</v>
      </c>
      <c r="G33" s="121">
        <f>-'Control Panel'!F32</f>
        <v>-50000</v>
      </c>
    </row>
    <row r="34" spans="1:12" x14ac:dyDescent="0.25">
      <c r="B34" t="s">
        <v>103</v>
      </c>
      <c r="D34" s="172">
        <v>0</v>
      </c>
      <c r="E34" s="121">
        <f>-'Control Panel'!D33</f>
        <v>-3000</v>
      </c>
      <c r="F34" s="121">
        <f>-'Control Panel'!E33</f>
        <v>-6000</v>
      </c>
      <c r="G34" s="121">
        <f>-'Control Panel'!F33</f>
        <v>-9000</v>
      </c>
    </row>
    <row r="35" spans="1:12" x14ac:dyDescent="0.25">
      <c r="B35" t="s">
        <v>104</v>
      </c>
      <c r="D35" s="172">
        <v>0</v>
      </c>
      <c r="E35" s="121">
        <f>-'Control Panel'!D34</f>
        <v>-60000</v>
      </c>
      <c r="F35" s="121">
        <f>-'Control Panel'!E34</f>
        <v>-78000</v>
      </c>
      <c r="G35" s="121">
        <f>-'Control Panel'!F34</f>
        <v>-96000</v>
      </c>
    </row>
    <row r="36" spans="1:12" x14ac:dyDescent="0.25">
      <c r="B36" t="s">
        <v>136</v>
      </c>
      <c r="D36" s="172">
        <v>-2200</v>
      </c>
      <c r="E36" s="172">
        <v>0</v>
      </c>
      <c r="F36" s="172">
        <v>0</v>
      </c>
      <c r="G36" s="172">
        <v>0</v>
      </c>
    </row>
    <row r="37" spans="1:12" x14ac:dyDescent="0.25">
      <c r="B37" t="s">
        <v>17</v>
      </c>
      <c r="D37" s="172">
        <v>-440</v>
      </c>
      <c r="E37" s="121">
        <f>-D49*'Control Panel'!$C$37</f>
        <v>-1232</v>
      </c>
      <c r="F37" s="121">
        <f>-E49*'Control Panel'!$C$37</f>
        <v>-2985.6000000000004</v>
      </c>
      <c r="G37" s="121">
        <f>-F49*'Control Panel'!$C$37</f>
        <v>-4388.4800000000005</v>
      </c>
    </row>
    <row r="38" spans="1:12" x14ac:dyDescent="0.25">
      <c r="B38" s="14" t="s">
        <v>132</v>
      </c>
      <c r="C38" s="16"/>
      <c r="D38" s="135">
        <f>SUM(D28:D37)</f>
        <v>-98879.941010962386</v>
      </c>
      <c r="E38" s="135">
        <f>SUM(E28:E37)</f>
        <v>-286791.64803667495</v>
      </c>
      <c r="F38" s="135">
        <f>SUM(F28:F37)</f>
        <v>-646420.51904502895</v>
      </c>
      <c r="G38" s="135">
        <f>SUM(G28:G37)</f>
        <v>-1522993.3093590755</v>
      </c>
    </row>
    <row r="39" spans="1:12" x14ac:dyDescent="0.25">
      <c r="B39" s="7" t="s">
        <v>133</v>
      </c>
      <c r="C39" s="8"/>
      <c r="D39" s="140">
        <f>D25+D38</f>
        <v>-31108.801010962386</v>
      </c>
      <c r="E39" s="140">
        <f>E25+E38</f>
        <v>-65739.372036674933</v>
      </c>
      <c r="F39" s="140">
        <f>F25+F38</f>
        <v>6175.5519949712325</v>
      </c>
      <c r="G39" s="140">
        <f>G25+G38</f>
        <v>223811.08276828472</v>
      </c>
    </row>
    <row r="40" spans="1:12" x14ac:dyDescent="0.25">
      <c r="B40" t="s">
        <v>134</v>
      </c>
      <c r="D40" s="172">
        <v>-346.5</v>
      </c>
      <c r="E40" s="121">
        <f>IF(-(E39+D41+C41)*'Control Panel'!$C$36&gt;0,0,-E39*'Control Panel'!$C$36)</f>
        <v>0</v>
      </c>
      <c r="F40" s="121">
        <f>IF(-(F39+E41+D41)*'Control Panel'!$C$36&gt;0,0,-F39*'Control Panel'!$C$36)</f>
        <v>0</v>
      </c>
      <c r="G40" s="121">
        <f>IF(-(G39+F41+E41+D41)*'Control Panel'!$C$36&gt;0,0,-(G39+F41+E41+D41)*'Control Panel'!$C$36)</f>
        <v>-33197.990428904654</v>
      </c>
      <c r="L40" s="121"/>
    </row>
    <row r="41" spans="1:12" ht="15.75" thickBot="1" x14ac:dyDescent="0.3">
      <c r="B41" s="17" t="s">
        <v>135</v>
      </c>
      <c r="C41" s="19"/>
      <c r="D41" s="137">
        <f>D40+D39</f>
        <v>-31455.301010962386</v>
      </c>
      <c r="E41" s="137">
        <f>E40+E39</f>
        <v>-65739.372036674933</v>
      </c>
      <c r="F41" s="137">
        <f>F40+F39</f>
        <v>6175.5519949712325</v>
      </c>
      <c r="G41" s="137">
        <f>G40+G39</f>
        <v>190613.09233938006</v>
      </c>
      <c r="I41" s="209"/>
    </row>
    <row r="42" spans="1:12" ht="15.75" thickTop="1" x14ac:dyDescent="0.25">
      <c r="B42" s="149" t="s">
        <v>142</v>
      </c>
      <c r="C42" s="147"/>
      <c r="D42" s="147"/>
      <c r="E42" s="148">
        <f>(E39-E37)/E41</f>
        <v>0.98125932813424677</v>
      </c>
      <c r="F42" s="148">
        <f>(F39-F37)/F41</f>
        <v>1.4834547587699338</v>
      </c>
      <c r="G42" s="148">
        <f>(G39-G37)/G41</f>
        <v>1.1971872444206679</v>
      </c>
      <c r="I42" s="121"/>
    </row>
    <row r="43" spans="1:12" x14ac:dyDescent="0.25">
      <c r="A43" s="98"/>
      <c r="B43" s="154"/>
      <c r="C43" s="141"/>
      <c r="D43" s="141"/>
      <c r="E43" s="155"/>
      <c r="F43" s="155"/>
      <c r="G43" s="155"/>
      <c r="I43" s="121"/>
    </row>
    <row r="44" spans="1:12" ht="15.75" x14ac:dyDescent="0.25">
      <c r="A44" s="38" t="s">
        <v>88</v>
      </c>
      <c r="B44" s="41" t="s">
        <v>138</v>
      </c>
      <c r="C44" s="38"/>
      <c r="D44" s="38"/>
      <c r="E44" s="39"/>
      <c r="F44" s="39"/>
      <c r="G44" s="39" t="s">
        <v>88</v>
      </c>
    </row>
    <row r="45" spans="1:12" ht="15.75" x14ac:dyDescent="0.25">
      <c r="A45" s="150"/>
      <c r="B45" s="151"/>
      <c r="C45" s="150"/>
      <c r="D45" s="150"/>
      <c r="E45" s="142"/>
      <c r="F45" s="142"/>
      <c r="G45" s="142"/>
    </row>
    <row r="46" spans="1:12" ht="15.75" x14ac:dyDescent="0.25">
      <c r="A46" s="150"/>
      <c r="B46" s="151"/>
      <c r="C46" s="150"/>
      <c r="D46" s="196">
        <v>2023</v>
      </c>
      <c r="E46" s="101">
        <f>D46+1</f>
        <v>2024</v>
      </c>
      <c r="F46" s="101">
        <f>E46+1</f>
        <v>2025</v>
      </c>
      <c r="G46" s="101">
        <f>F46+1</f>
        <v>2026</v>
      </c>
    </row>
    <row r="47" spans="1:12" ht="7.5" customHeight="1" x14ac:dyDescent="0.25">
      <c r="A47" s="150"/>
      <c r="B47" s="151"/>
      <c r="C47" s="150"/>
      <c r="D47" s="152"/>
      <c r="E47" s="143"/>
      <c r="F47" s="143"/>
      <c r="G47" s="143"/>
    </row>
    <row r="48" spans="1:12" x14ac:dyDescent="0.25">
      <c r="B48" s="7" t="s">
        <v>31</v>
      </c>
      <c r="C48" s="8"/>
      <c r="D48" s="8"/>
      <c r="E48" s="8"/>
      <c r="F48" s="8"/>
      <c r="G48" s="8"/>
    </row>
    <row r="49" spans="2:7" x14ac:dyDescent="0.25">
      <c r="B49" t="s">
        <v>32</v>
      </c>
      <c r="D49" s="172">
        <v>6160</v>
      </c>
      <c r="E49" s="121">
        <f>D49-E88+E37</f>
        <v>14928</v>
      </c>
      <c r="F49" s="121">
        <f>E49-F88+F37</f>
        <v>21942.400000000001</v>
      </c>
      <c r="G49" s="121">
        <f>F49-G88+G37</f>
        <v>27553.920000000002</v>
      </c>
    </row>
    <row r="50" spans="2:7" x14ac:dyDescent="0.25">
      <c r="D50" s="121"/>
      <c r="E50" s="121"/>
      <c r="F50" s="121"/>
      <c r="G50" s="121"/>
    </row>
    <row r="51" spans="2:7" x14ac:dyDescent="0.25">
      <c r="B51" s="7" t="s">
        <v>33</v>
      </c>
      <c r="C51" s="8"/>
      <c r="D51" s="119"/>
      <c r="E51" s="119"/>
      <c r="F51" s="119"/>
      <c r="G51" s="119"/>
    </row>
    <row r="52" spans="2:7" x14ac:dyDescent="0.25">
      <c r="B52" t="s">
        <v>34</v>
      </c>
      <c r="D52" s="172">
        <v>1263.2362159111806</v>
      </c>
      <c r="E52" s="121">
        <f>-'Control Panel'!$C$41*'Financial Statements'!E28/'Financial Statements'!E9</f>
        <v>5237.6879327697052</v>
      </c>
      <c r="F52" s="121">
        <f>-'Control Panel'!$C$41*'Financial Statements'!F28/'Financial Statements'!F9</f>
        <v>15505.197552937278</v>
      </c>
      <c r="G52" s="121">
        <f>-'Control Panel'!$C$41*'Financial Statements'!G28/'Financial Statements'!G9</f>
        <v>41502.773902868183</v>
      </c>
    </row>
    <row r="53" spans="2:7" x14ac:dyDescent="0.25">
      <c r="B53" t="s">
        <v>35</v>
      </c>
      <c r="D53" s="172">
        <v>1356.4051278458842</v>
      </c>
      <c r="E53" s="121">
        <f>'Control Panel'!$C$42*'Financial Statements'!E25/'Financial Statements'!E9</f>
        <v>6726.2686708583342</v>
      </c>
      <c r="F53" s="121">
        <f>'Control Panel'!$C$42*'Financial Statements'!F25/'Financial Statements'!F9</f>
        <v>19911.862996511387</v>
      </c>
      <c r="G53" s="121">
        <f>'Control Panel'!$C$42*'Financial Statements'!G25/'Financial Statements'!G9</f>
        <v>53298.098596141281</v>
      </c>
    </row>
    <row r="54" spans="2:7" x14ac:dyDescent="0.25">
      <c r="B54" t="s">
        <v>36</v>
      </c>
      <c r="D54" s="172">
        <v>346.5</v>
      </c>
      <c r="E54" s="121">
        <f>D54</f>
        <v>346.5</v>
      </c>
      <c r="F54" s="121">
        <f>E54</f>
        <v>346.5</v>
      </c>
      <c r="G54" s="121">
        <f>F54</f>
        <v>346.5</v>
      </c>
    </row>
    <row r="55" spans="2:7" x14ac:dyDescent="0.25">
      <c r="B55" t="s">
        <v>37</v>
      </c>
      <c r="D55" s="172">
        <v>22100.471830919781</v>
      </c>
      <c r="E55" s="121">
        <f>E97</f>
        <v>-34869.90562324434</v>
      </c>
      <c r="F55" s="121">
        <f>F97</f>
        <v>12636.146854627827</v>
      </c>
      <c r="G55" s="121">
        <f>G97</f>
        <v>320302.57712763309</v>
      </c>
    </row>
    <row r="56" spans="2:7" x14ac:dyDescent="0.25">
      <c r="B56" s="10" t="s">
        <v>38</v>
      </c>
      <c r="C56" s="11"/>
      <c r="D56" s="139">
        <f>SUM(D52:D55)</f>
        <v>25066.613174676844</v>
      </c>
      <c r="E56" s="139">
        <f>SUM(E52:E55)</f>
        <v>-22559.449019616302</v>
      </c>
      <c r="F56" s="139">
        <f>SUM(F52:F55)</f>
        <v>48399.707404076493</v>
      </c>
      <c r="G56" s="139">
        <f>SUM(G52:G55)</f>
        <v>415449.94962664257</v>
      </c>
    </row>
    <row r="57" spans="2:7" ht="15.75" thickBot="1" x14ac:dyDescent="0.3">
      <c r="B57" s="17" t="s">
        <v>39</v>
      </c>
      <c r="C57" s="19"/>
      <c r="D57" s="137">
        <f>D56+D49</f>
        <v>31226.613174676844</v>
      </c>
      <c r="E57" s="137">
        <f>E56+E49</f>
        <v>-7631.4490196163024</v>
      </c>
      <c r="F57" s="137">
        <f>F56+F49</f>
        <v>70342.107404076494</v>
      </c>
      <c r="G57" s="137">
        <f>G56+G49</f>
        <v>443003.86962664255</v>
      </c>
    </row>
    <row r="58" spans="2:7" ht="15.75" thickTop="1" x14ac:dyDescent="0.25">
      <c r="D58" s="121"/>
      <c r="E58" s="121"/>
      <c r="F58" s="121"/>
      <c r="G58" s="121"/>
    </row>
    <row r="59" spans="2:7" x14ac:dyDescent="0.25">
      <c r="B59" s="7" t="s">
        <v>40</v>
      </c>
      <c r="C59" s="8"/>
      <c r="D59" s="119"/>
      <c r="E59" s="119"/>
      <c r="F59" s="119"/>
      <c r="G59" s="119"/>
    </row>
    <row r="60" spans="2:7" x14ac:dyDescent="0.25">
      <c r="B60" t="s">
        <v>116</v>
      </c>
      <c r="D60" s="172">
        <v>7396.2141856392291</v>
      </c>
      <c r="E60" s="121">
        <f>E25*'Control Panel'!$C$44</f>
        <v>36777.52402802102</v>
      </c>
      <c r="F60" s="121">
        <f>F25*'Control Panel'!$C$44</f>
        <v>108575.52845674258</v>
      </c>
      <c r="G60" s="121">
        <f>G25*'Control Panel'!$C$44</f>
        <v>290624.19833992858</v>
      </c>
    </row>
    <row r="61" spans="2:7" x14ac:dyDescent="0.25">
      <c r="B61" t="s">
        <v>36</v>
      </c>
      <c r="D61" s="121"/>
      <c r="E61" s="121">
        <f>-E40</f>
        <v>0</v>
      </c>
      <c r="F61" s="121">
        <f>E61</f>
        <v>0</v>
      </c>
      <c r="G61" s="121">
        <f>F61</f>
        <v>0</v>
      </c>
    </row>
    <row r="62" spans="2:7" x14ac:dyDescent="0.25">
      <c r="B62" t="s">
        <v>42</v>
      </c>
      <c r="D62" s="172">
        <v>0</v>
      </c>
      <c r="E62" s="121">
        <f>D62</f>
        <v>0</v>
      </c>
      <c r="F62" s="121">
        <f>E62</f>
        <v>0</v>
      </c>
      <c r="G62" s="121">
        <f>F62</f>
        <v>0</v>
      </c>
    </row>
    <row r="63" spans="2:7" x14ac:dyDescent="0.25">
      <c r="B63" s="14" t="s">
        <v>43</v>
      </c>
      <c r="C63" s="14"/>
      <c r="D63" s="135">
        <f>SUM(D60:D62)</f>
        <v>7396.2141856392291</v>
      </c>
      <c r="E63" s="135">
        <f>SUM(E60:E62)</f>
        <v>36777.52402802102</v>
      </c>
      <c r="F63" s="135">
        <f>SUM(F60:F62)</f>
        <v>108575.52845674258</v>
      </c>
      <c r="G63" s="135">
        <f>SUM(G60:G62)</f>
        <v>290624.19833992858</v>
      </c>
    </row>
    <row r="64" spans="2:7" x14ac:dyDescent="0.25">
      <c r="D64" s="121"/>
      <c r="E64" s="121"/>
      <c r="F64" s="121"/>
      <c r="G64" s="121"/>
    </row>
    <row r="65" spans="1:7" x14ac:dyDescent="0.25">
      <c r="B65" s="7" t="s">
        <v>44</v>
      </c>
      <c r="C65" s="8"/>
      <c r="D65" s="119"/>
      <c r="E65" s="119"/>
      <c r="F65" s="119"/>
      <c r="G65" s="119"/>
    </row>
    <row r="66" spans="1:7" x14ac:dyDescent="0.25">
      <c r="B66" t="s">
        <v>45</v>
      </c>
      <c r="D66" s="172">
        <v>2500</v>
      </c>
      <c r="E66" s="121">
        <f>D66-'Control Panel'!D48</f>
        <v>0</v>
      </c>
      <c r="F66" s="121">
        <f>E66</f>
        <v>0</v>
      </c>
      <c r="G66" s="121">
        <f>F66</f>
        <v>0</v>
      </c>
    </row>
    <row r="67" spans="1:7" x14ac:dyDescent="0.25">
      <c r="D67" s="121"/>
      <c r="E67" s="121"/>
      <c r="F67" s="121"/>
      <c r="G67" s="121"/>
    </row>
    <row r="68" spans="1:7" x14ac:dyDescent="0.25">
      <c r="B68" s="14" t="s">
        <v>46</v>
      </c>
      <c r="C68" s="16"/>
      <c r="D68" s="135">
        <f>D63+D66</f>
        <v>9896.21418563923</v>
      </c>
      <c r="E68" s="135">
        <f>E63+E66</f>
        <v>36777.52402802102</v>
      </c>
      <c r="F68" s="135">
        <f>F63+F66</f>
        <v>108575.52845674258</v>
      </c>
      <c r="G68" s="135">
        <f>G63+G66</f>
        <v>290624.19833992858</v>
      </c>
    </row>
    <row r="69" spans="1:7" ht="10.5" customHeight="1" x14ac:dyDescent="0.25">
      <c r="D69" s="121"/>
      <c r="E69" s="121"/>
      <c r="F69" s="121"/>
      <c r="G69" s="121"/>
    </row>
    <row r="70" spans="1:7" x14ac:dyDescent="0.25">
      <c r="B70" s="7" t="s">
        <v>47</v>
      </c>
      <c r="C70" s="8"/>
      <c r="D70" s="119"/>
      <c r="E70" s="119"/>
      <c r="F70" s="119"/>
      <c r="G70" s="119"/>
    </row>
    <row r="71" spans="1:7" x14ac:dyDescent="0.25">
      <c r="B71" t="s">
        <v>48</v>
      </c>
      <c r="D71" s="172">
        <v>52785.7</v>
      </c>
      <c r="E71" s="121">
        <f>D71+E91</f>
        <v>52785.7</v>
      </c>
      <c r="F71" s="121">
        <f>E71+F91</f>
        <v>52785.7</v>
      </c>
      <c r="G71" s="121">
        <f>F71+G91</f>
        <v>52785.7</v>
      </c>
    </row>
    <row r="72" spans="1:7" x14ac:dyDescent="0.25">
      <c r="B72" t="s">
        <v>49</v>
      </c>
      <c r="D72" s="172">
        <v>-31455.301010962379</v>
      </c>
      <c r="E72" s="121">
        <f>D72+E82</f>
        <v>-97194.673047637305</v>
      </c>
      <c r="F72" s="121">
        <f>E72+F82</f>
        <v>-91019.121052666073</v>
      </c>
      <c r="G72" s="121">
        <f>F72+G82</f>
        <v>99593.97128671399</v>
      </c>
    </row>
    <row r="73" spans="1:7" x14ac:dyDescent="0.25">
      <c r="B73" s="14" t="s">
        <v>50</v>
      </c>
      <c r="C73" s="16"/>
      <c r="D73" s="135">
        <f>SUM(D71:D72)</f>
        <v>21330.398989037618</v>
      </c>
      <c r="E73" s="135">
        <f>SUM(E71:E72)</f>
        <v>-44408.973047637308</v>
      </c>
      <c r="F73" s="135">
        <f>SUM(F71:F72)</f>
        <v>-38233.421052666075</v>
      </c>
      <c r="G73" s="135">
        <f>SUM(G71:G72)</f>
        <v>152379.67128671397</v>
      </c>
    </row>
    <row r="74" spans="1:7" ht="15.75" thickBot="1" x14ac:dyDescent="0.3">
      <c r="B74" s="17" t="s">
        <v>51</v>
      </c>
      <c r="C74" s="19"/>
      <c r="D74" s="137">
        <f>D73+D68</f>
        <v>31226.613174676848</v>
      </c>
      <c r="E74" s="137">
        <f>E73+E68</f>
        <v>-7631.4490196162878</v>
      </c>
      <c r="F74" s="137">
        <f>F73+F68</f>
        <v>70342.107404076509</v>
      </c>
      <c r="G74" s="137">
        <f>G73+G68</f>
        <v>443003.86962664255</v>
      </c>
    </row>
    <row r="75" spans="1:7" ht="9.75" customHeight="1" thickTop="1" x14ac:dyDescent="0.25">
      <c r="E75" s="121"/>
      <c r="F75" s="121"/>
      <c r="G75" s="121"/>
    </row>
    <row r="76" spans="1:7" x14ac:dyDescent="0.25">
      <c r="B76" t="s">
        <v>143</v>
      </c>
      <c r="D76" s="156">
        <f>D74-D57</f>
        <v>0</v>
      </c>
      <c r="E76" s="156">
        <f>E74-E57</f>
        <v>1.4551915228366852E-11</v>
      </c>
      <c r="F76" s="156">
        <f>F74-F57</f>
        <v>0</v>
      </c>
      <c r="G76" s="156">
        <f>G74-G57</f>
        <v>0</v>
      </c>
    </row>
    <row r="77" spans="1:7" x14ac:dyDescent="0.25">
      <c r="E77" s="121"/>
      <c r="F77" s="121"/>
      <c r="G77" s="121"/>
    </row>
    <row r="78" spans="1:7" ht="15.75" x14ac:dyDescent="0.25">
      <c r="A78" s="38" t="s">
        <v>88</v>
      </c>
      <c r="B78" s="41" t="s">
        <v>138</v>
      </c>
      <c r="C78" s="38"/>
      <c r="D78" s="38"/>
      <c r="E78" s="39"/>
      <c r="F78" s="39"/>
      <c r="G78" s="39" t="s">
        <v>88</v>
      </c>
    </row>
    <row r="80" spans="1:7" x14ac:dyDescent="0.25">
      <c r="D80" s="196">
        <v>2023</v>
      </c>
      <c r="E80" s="101">
        <f>D80+1</f>
        <v>2024</v>
      </c>
      <c r="F80" s="101">
        <f>E80+1</f>
        <v>2025</v>
      </c>
      <c r="G80" s="101">
        <f>F80+1</f>
        <v>2026</v>
      </c>
    </row>
    <row r="81" spans="2:7" ht="7.5" customHeight="1" x14ac:dyDescent="0.25">
      <c r="D81" s="144"/>
      <c r="E81" s="145"/>
      <c r="F81" s="145"/>
      <c r="G81" s="145"/>
    </row>
    <row r="82" spans="2:7" x14ac:dyDescent="0.25">
      <c r="B82" t="s">
        <v>53</v>
      </c>
      <c r="D82" s="172">
        <v>-31455.301010962379</v>
      </c>
      <c r="E82" s="121">
        <f>E41</f>
        <v>-65739.372036674933</v>
      </c>
      <c r="F82" s="121">
        <f>F41</f>
        <v>6175.5519949712325</v>
      </c>
      <c r="G82" s="121">
        <f>G41</f>
        <v>190613.09233938006</v>
      </c>
    </row>
    <row r="83" spans="2:7" x14ac:dyDescent="0.25">
      <c r="B83" t="s">
        <v>54</v>
      </c>
      <c r="D83" s="172">
        <v>440</v>
      </c>
      <c r="E83" s="121">
        <f>-E37</f>
        <v>1232</v>
      </c>
      <c r="F83" s="121">
        <f>-F37</f>
        <v>2985.6000000000004</v>
      </c>
      <c r="G83" s="121">
        <f>-G37</f>
        <v>4388.4800000000005</v>
      </c>
    </row>
    <row r="84" spans="2:7" x14ac:dyDescent="0.25">
      <c r="B84" t="s">
        <v>55</v>
      </c>
      <c r="D84" s="172">
        <v>-346.5</v>
      </c>
      <c r="E84" s="121">
        <f>(E54-D54)+(D61-E61)</f>
        <v>0</v>
      </c>
      <c r="F84" s="121">
        <f>(F54-E54)+(E61-F61)</f>
        <v>0</v>
      </c>
      <c r="G84" s="121">
        <f>(G54-F54)+(F61-G61)</f>
        <v>0</v>
      </c>
    </row>
    <row r="85" spans="2:7" x14ac:dyDescent="0.25">
      <c r="B85" t="s">
        <v>56</v>
      </c>
      <c r="D85" s="172">
        <v>4776.5728418821636</v>
      </c>
      <c r="E85" s="121">
        <f>(D52-E52)+(D53-E53)+(E60-D60)</f>
        <v>20036.994582510815</v>
      </c>
      <c r="F85" s="121">
        <f>(E52-F52)+(E53-F53)+(F60-E60)</f>
        <v>48344.900482900935</v>
      </c>
      <c r="G85" s="121">
        <f>(F52-G52)+(F53-G53)+(G60-F60)</f>
        <v>122664.8579336252</v>
      </c>
    </row>
    <row r="86" spans="2:7" x14ac:dyDescent="0.25">
      <c r="B86" s="14" t="s">
        <v>57</v>
      </c>
      <c r="C86" s="14"/>
      <c r="D86" s="135">
        <f>SUM(D82:D85)</f>
        <v>-26585.228169080216</v>
      </c>
      <c r="E86" s="135">
        <f>SUM(E82:E85)</f>
        <v>-44470.377454164118</v>
      </c>
      <c r="F86" s="135">
        <f>SUM(F82:F85)</f>
        <v>57506.052477872166</v>
      </c>
      <c r="G86" s="135">
        <f>SUM(G82:G85)</f>
        <v>317666.43027300527</v>
      </c>
    </row>
    <row r="87" spans="2:7" x14ac:dyDescent="0.25">
      <c r="D87" s="121"/>
    </row>
    <row r="88" spans="2:7" x14ac:dyDescent="0.25">
      <c r="B88" t="s">
        <v>58</v>
      </c>
      <c r="D88" s="172">
        <v>-6600</v>
      </c>
      <c r="E88" s="121">
        <f>-'Control Panel'!D46</f>
        <v>-10000</v>
      </c>
      <c r="F88" s="121">
        <f>-'Control Panel'!E46</f>
        <v>-10000</v>
      </c>
      <c r="G88" s="121">
        <f>-'Control Panel'!F46</f>
        <v>-10000</v>
      </c>
    </row>
    <row r="89" spans="2:7" x14ac:dyDescent="0.25">
      <c r="B89" s="14" t="s">
        <v>59</v>
      </c>
      <c r="C89" s="14"/>
      <c r="D89" s="135">
        <f>D88</f>
        <v>-6600</v>
      </c>
      <c r="E89" s="135">
        <f>E88</f>
        <v>-10000</v>
      </c>
      <c r="F89" s="135">
        <f>F88</f>
        <v>-10000</v>
      </c>
      <c r="G89" s="135">
        <f>G88</f>
        <v>-10000</v>
      </c>
    </row>
    <row r="90" spans="2:7" x14ac:dyDescent="0.25">
      <c r="D90" s="121"/>
    </row>
    <row r="91" spans="2:7" x14ac:dyDescent="0.25">
      <c r="B91" t="s">
        <v>60</v>
      </c>
      <c r="D91" s="172">
        <v>52785.7</v>
      </c>
      <c r="E91" s="172">
        <v>0</v>
      </c>
      <c r="F91" s="172">
        <v>0</v>
      </c>
      <c r="G91" s="172">
        <v>0</v>
      </c>
    </row>
    <row r="92" spans="2:7" x14ac:dyDescent="0.25">
      <c r="B92" t="s">
        <v>141</v>
      </c>
      <c r="D92" s="172">
        <v>2500</v>
      </c>
      <c r="E92" s="195">
        <f>-'Control Panel'!D48</f>
        <v>-2500</v>
      </c>
      <c r="F92" s="172">
        <v>0</v>
      </c>
      <c r="G92" s="172">
        <v>0</v>
      </c>
    </row>
    <row r="93" spans="2:7" x14ac:dyDescent="0.25">
      <c r="B93" s="14" t="s">
        <v>62</v>
      </c>
      <c r="C93" s="14"/>
      <c r="D93" s="135">
        <f>SUM(D91:D92)</f>
        <v>55285.7</v>
      </c>
      <c r="E93" s="135">
        <f>SUM(E91:E92)</f>
        <v>-2500</v>
      </c>
      <c r="F93" s="135">
        <f>SUM(F91:F92)</f>
        <v>0</v>
      </c>
      <c r="G93" s="135">
        <f>SUM(G91:G92)</f>
        <v>0</v>
      </c>
    </row>
    <row r="94" spans="2:7" x14ac:dyDescent="0.25">
      <c r="D94" s="121"/>
    </row>
    <row r="95" spans="2:7" x14ac:dyDescent="0.25">
      <c r="B95" t="s">
        <v>63</v>
      </c>
      <c r="D95" s="195">
        <f>D93+D89+D86</f>
        <v>22100.471830919781</v>
      </c>
      <c r="E95" s="121">
        <f>E93+E89+E86</f>
        <v>-56970.377454164118</v>
      </c>
      <c r="F95" s="121">
        <f>F93+F89+F86</f>
        <v>47506.052477872166</v>
      </c>
      <c r="G95" s="121">
        <f>G93+G89+G86</f>
        <v>307666.43027300527</v>
      </c>
    </row>
    <row r="96" spans="2:7" x14ac:dyDescent="0.25">
      <c r="B96" t="s">
        <v>159</v>
      </c>
      <c r="D96" s="171">
        <v>0</v>
      </c>
      <c r="E96" s="121">
        <f>D55</f>
        <v>22100.471830919781</v>
      </c>
      <c r="F96" s="121">
        <f>E55</f>
        <v>-34869.90562324434</v>
      </c>
      <c r="G96" s="121">
        <f>F55</f>
        <v>12636.146854627827</v>
      </c>
    </row>
    <row r="97" spans="1:14" ht="15.75" thickBot="1" x14ac:dyDescent="0.3">
      <c r="B97" s="17" t="s">
        <v>160</v>
      </c>
      <c r="C97" s="17"/>
      <c r="D97" s="137">
        <f>SUM(D95:D96)</f>
        <v>22100.471830919781</v>
      </c>
      <c r="E97" s="137">
        <f>SUM(E95:E96)</f>
        <v>-34869.90562324434</v>
      </c>
      <c r="F97" s="137">
        <f>SUM(F95:F96)</f>
        <v>12636.146854627827</v>
      </c>
      <c r="G97" s="137">
        <f>SUM(G95:G96)</f>
        <v>320302.57712763309</v>
      </c>
    </row>
    <row r="98" spans="1:14" ht="15.75" thickTop="1" x14ac:dyDescent="0.25"/>
    <row r="100" spans="1:14" ht="15.75" x14ac:dyDescent="0.25">
      <c r="A100" s="38" t="s">
        <v>88</v>
      </c>
      <c r="B100" s="41" t="s">
        <v>148</v>
      </c>
      <c r="C100" s="38"/>
      <c r="D100" s="38"/>
      <c r="E100" s="39"/>
      <c r="F100" s="39"/>
      <c r="G100" s="39" t="s">
        <v>88</v>
      </c>
    </row>
    <row r="101" spans="1:14" s="98" customFormat="1" ht="15.75" x14ac:dyDescent="0.25">
      <c r="A101" s="141"/>
      <c r="B101" s="97"/>
      <c r="C101" s="141"/>
      <c r="D101" s="141"/>
      <c r="E101" s="142"/>
      <c r="F101" s="142"/>
      <c r="G101" s="142"/>
      <c r="N101" s="121"/>
    </row>
    <row r="102" spans="1:14" s="98" customFormat="1" ht="15.75" x14ac:dyDescent="0.25">
      <c r="A102" s="141"/>
      <c r="B102" s="97"/>
      <c r="C102" s="141"/>
      <c r="D102" s="196">
        <v>2023</v>
      </c>
      <c r="E102" s="101">
        <f>D102+1</f>
        <v>2024</v>
      </c>
      <c r="F102" s="101">
        <f>E102+1</f>
        <v>2025</v>
      </c>
      <c r="G102" s="101">
        <f>F102+1</f>
        <v>2026</v>
      </c>
    </row>
    <row r="103" spans="1:14" s="98" customFormat="1" ht="7.5" customHeight="1" x14ac:dyDescent="0.25">
      <c r="A103" s="141"/>
      <c r="B103" s="97"/>
      <c r="C103" s="141"/>
      <c r="D103" s="144"/>
      <c r="E103" s="145"/>
      <c r="F103" s="145"/>
      <c r="G103" s="145"/>
    </row>
    <row r="104" spans="1:14" x14ac:dyDescent="0.25">
      <c r="B104" t="s">
        <v>149</v>
      </c>
      <c r="D104" s="121">
        <f>D39</f>
        <v>-31108.801010962386</v>
      </c>
      <c r="E104" s="121">
        <f>E39</f>
        <v>-65739.372036674933</v>
      </c>
      <c r="F104" s="121">
        <f>F39</f>
        <v>6175.5519949712325</v>
      </c>
      <c r="G104" s="121">
        <f>G39</f>
        <v>223811.08276828472</v>
      </c>
    </row>
    <row r="105" spans="1:14" x14ac:dyDescent="0.25">
      <c r="B105" s="8" t="s">
        <v>150</v>
      </c>
      <c r="C105" s="8"/>
      <c r="D105" s="119">
        <f>D37</f>
        <v>-440</v>
      </c>
      <c r="E105" s="119">
        <f>E37</f>
        <v>-1232</v>
      </c>
      <c r="F105" s="119">
        <f>F37</f>
        <v>-2985.6000000000004</v>
      </c>
      <c r="G105" s="119">
        <f>G37</f>
        <v>-4388.4800000000005</v>
      </c>
    </row>
    <row r="106" spans="1:14" x14ac:dyDescent="0.25">
      <c r="B106" s="159" t="s">
        <v>151</v>
      </c>
      <c r="C106" s="5"/>
      <c r="D106" s="160">
        <f>D104-D105</f>
        <v>-30668.801010962386</v>
      </c>
      <c r="E106" s="160">
        <f>E104-E105</f>
        <v>-64507.372036674933</v>
      </c>
      <c r="F106" s="160">
        <f>F104-F105</f>
        <v>9161.1519949712329</v>
      </c>
      <c r="G106" s="160">
        <f>G104-G105</f>
        <v>228199.56276828473</v>
      </c>
    </row>
    <row r="108" spans="1:14" x14ac:dyDescent="0.25">
      <c r="B108" s="5" t="s">
        <v>158</v>
      </c>
    </row>
    <row r="109" spans="1:14" x14ac:dyDescent="0.25">
      <c r="B109" t="s">
        <v>152</v>
      </c>
      <c r="D109" s="121">
        <f>D39</f>
        <v>-31108.801010962386</v>
      </c>
      <c r="E109" s="121">
        <f>E39</f>
        <v>-65739.372036674933</v>
      </c>
      <c r="F109" s="121">
        <f>F39</f>
        <v>6175.5519949712325</v>
      </c>
      <c r="G109" s="121">
        <f>G39</f>
        <v>223811.08276828472</v>
      </c>
    </row>
    <row r="110" spans="1:14" x14ac:dyDescent="0.25">
      <c r="B110" s="161" t="s">
        <v>153</v>
      </c>
      <c r="D110" s="121">
        <f>'Control Panel'!$C$36*-D109</f>
        <v>7777.2002527405966</v>
      </c>
      <c r="E110" s="121">
        <f>'Control Panel'!$C$36*-E109</f>
        <v>16434.843009168733</v>
      </c>
      <c r="F110" s="121">
        <f>'Control Panel'!$C$36*-F109</f>
        <v>-1543.8879987428081</v>
      </c>
      <c r="G110" s="121">
        <f>'Control Panel'!$C$36*-G109</f>
        <v>-55952.770692071179</v>
      </c>
    </row>
    <row r="111" spans="1:14" x14ac:dyDescent="0.25">
      <c r="B111" s="10" t="s">
        <v>154</v>
      </c>
      <c r="C111" s="10"/>
      <c r="D111" s="139">
        <f>SUM(D109:D110)</f>
        <v>-23331.60075822179</v>
      </c>
      <c r="E111" s="139">
        <f>SUM(E109:E110)</f>
        <v>-49304.5290275062</v>
      </c>
      <c r="F111" s="139">
        <f>SUM(F109:F110)</f>
        <v>4631.6639962284244</v>
      </c>
      <c r="G111" s="139">
        <f>SUM(G109:G110)</f>
        <v>167858.31207621354</v>
      </c>
      <c r="H111" s="121"/>
    </row>
    <row r="112" spans="1:14" x14ac:dyDescent="0.25">
      <c r="B112" s="161" t="s">
        <v>155</v>
      </c>
      <c r="D112" s="121">
        <f>-D37</f>
        <v>440</v>
      </c>
      <c r="E112" s="121">
        <f>-E37</f>
        <v>1232</v>
      </c>
      <c r="F112" s="121">
        <f>-F37</f>
        <v>2985.6000000000004</v>
      </c>
      <c r="G112" s="121">
        <f>-G37</f>
        <v>4388.4800000000005</v>
      </c>
    </row>
    <row r="113" spans="2:7" x14ac:dyDescent="0.25">
      <c r="B113" s="161" t="s">
        <v>156</v>
      </c>
      <c r="D113" s="121">
        <f>D88</f>
        <v>-6600</v>
      </c>
      <c r="E113" s="121">
        <f>E88</f>
        <v>-10000</v>
      </c>
      <c r="F113" s="121">
        <f>F88</f>
        <v>-10000</v>
      </c>
      <c r="G113" s="121">
        <f>G88</f>
        <v>-10000</v>
      </c>
    </row>
    <row r="114" spans="2:7" x14ac:dyDescent="0.25">
      <c r="B114" s="161" t="s">
        <v>157</v>
      </c>
      <c r="D114" s="121">
        <f>D85+D84</f>
        <v>4430.0728418821636</v>
      </c>
      <c r="E114" s="121">
        <f>E85+E84</f>
        <v>20036.994582510815</v>
      </c>
      <c r="F114" s="121">
        <f>F85+F84</f>
        <v>48344.900482900935</v>
      </c>
      <c r="G114" s="121">
        <f>G85+G84</f>
        <v>122664.8579336252</v>
      </c>
    </row>
    <row r="115" spans="2:7" x14ac:dyDescent="0.25">
      <c r="B115" s="10" t="s">
        <v>158</v>
      </c>
      <c r="C115" s="10"/>
      <c r="D115" s="139">
        <f>SUM(D111:D114)</f>
        <v>-25061.527916339626</v>
      </c>
      <c r="E115" s="139">
        <f>SUM(E111:E114)</f>
        <v>-38035.534444995385</v>
      </c>
      <c r="F115" s="139">
        <f>SUM(F111:F114)</f>
        <v>45962.164479129358</v>
      </c>
      <c r="G115" s="139">
        <f>SUM(G111:G114)</f>
        <v>284911.65000983875</v>
      </c>
    </row>
  </sheetData>
  <conditionalFormatting sqref="D76:G76">
    <cfRule type="expression" dxfId="1" priority="1">
      <formula>D76=1</formula>
    </cfRule>
    <cfRule type="expression" dxfId="0" priority="2">
      <formula>D76=0</formula>
    </cfRule>
  </conditionalFormatting>
  <pageMargins left="0.7" right="0.7" top="0.75" bottom="0.75" header="0.3" footer="0.3"/>
  <pageSetup paperSize="8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22A8-D28F-4A2C-B460-9837177BE8FE}">
  <dimension ref="A1:M25"/>
  <sheetViews>
    <sheetView showGridLines="0" workbookViewId="0">
      <selection activeCell="K17" sqref="K17:K21"/>
    </sheetView>
  </sheetViews>
  <sheetFormatPr defaultRowHeight="15" x14ac:dyDescent="0.25"/>
  <cols>
    <col min="1" max="1" width="5" customWidth="1"/>
    <col min="2" max="2" width="29.7109375" bestFit="1" customWidth="1"/>
    <col min="3" max="3" width="2.28515625" customWidth="1"/>
    <col min="4" max="4" width="11.28515625" customWidth="1"/>
    <col min="5" max="5" width="11.85546875" customWidth="1"/>
    <col min="6" max="6" width="13.28515625" customWidth="1"/>
    <col min="7" max="7" width="14.7109375" customWidth="1"/>
    <col min="11" max="11" width="13.28515625" bestFit="1" customWidth="1"/>
  </cols>
  <sheetData>
    <row r="1" spans="1:13" ht="18" x14ac:dyDescent="0.25">
      <c r="A1" s="205" t="s">
        <v>202</v>
      </c>
      <c r="B1" s="202"/>
      <c r="C1" s="202"/>
      <c r="D1" s="203"/>
      <c r="E1" s="203"/>
      <c r="F1" s="203"/>
      <c r="G1" s="203"/>
      <c r="H1" s="203"/>
      <c r="I1" s="203"/>
      <c r="J1" s="203"/>
      <c r="K1" s="203"/>
      <c r="L1" s="203"/>
      <c r="M1" s="203" t="s">
        <v>88</v>
      </c>
    </row>
    <row r="2" spans="1:13" ht="18" x14ac:dyDescent="0.25">
      <c r="A2" s="202"/>
      <c r="B2" s="202"/>
      <c r="C2" s="202"/>
      <c r="D2" s="203"/>
      <c r="E2" s="203"/>
      <c r="F2" s="203"/>
      <c r="G2" s="203"/>
      <c r="H2" s="203"/>
      <c r="I2" s="203"/>
      <c r="J2" s="203"/>
      <c r="K2" s="203"/>
      <c r="L2" s="203"/>
      <c r="M2" s="203" t="s">
        <v>88</v>
      </c>
    </row>
    <row r="3" spans="1:13" x14ac:dyDescent="0.25">
      <c r="A3" s="157"/>
    </row>
    <row r="4" spans="1:13" x14ac:dyDescent="0.25">
      <c r="A4" s="157"/>
      <c r="E4" s="170">
        <v>2024</v>
      </c>
      <c r="F4" s="170">
        <v>2025</v>
      </c>
      <c r="G4" s="170">
        <v>2026</v>
      </c>
    </row>
    <row r="5" spans="1:13" ht="4.5" customHeight="1" x14ac:dyDescent="0.25"/>
    <row r="6" spans="1:13" ht="15.75" x14ac:dyDescent="0.25">
      <c r="B6" s="41" t="s">
        <v>126</v>
      </c>
      <c r="C6" s="41"/>
      <c r="D6" s="41"/>
      <c r="E6" s="41"/>
      <c r="F6" s="41"/>
      <c r="G6" s="41"/>
    </row>
    <row r="7" spans="1:13" x14ac:dyDescent="0.25">
      <c r="B7" t="s">
        <v>144</v>
      </c>
      <c r="D7" s="198">
        <v>45133</v>
      </c>
      <c r="E7" s="110">
        <f>DATE(YEAR(D7)+1,MONTH(D7),30)</f>
        <v>45503</v>
      </c>
      <c r="F7" s="110">
        <f>DATE(YEAR(E7)+1,MONTH(E7),30)</f>
        <v>45868</v>
      </c>
      <c r="G7" s="110">
        <f>DATE(YEAR(F7)+1,MONTH(F7),30)</f>
        <v>46233</v>
      </c>
    </row>
    <row r="8" spans="1:13" x14ac:dyDescent="0.25">
      <c r="B8" t="s">
        <v>145</v>
      </c>
      <c r="D8" s="110">
        <f>+D7</f>
        <v>45133</v>
      </c>
      <c r="E8" s="110">
        <f>AVERAGE(E7:E7)</f>
        <v>45503</v>
      </c>
      <c r="F8" s="110">
        <f>AVERAGE(E7:F7)</f>
        <v>45685.5</v>
      </c>
      <c r="G8" s="110">
        <f>AVERAGE(F7:G7)</f>
        <v>46050.5</v>
      </c>
    </row>
    <row r="9" spans="1:13" x14ac:dyDescent="0.25">
      <c r="B9" t="s">
        <v>146</v>
      </c>
      <c r="E9" s="158">
        <f>YEARFRAC(D7,E7)</f>
        <v>1.0111111111111111</v>
      </c>
      <c r="F9" s="158">
        <f>YEARFRAC(E7,F7)</f>
        <v>1</v>
      </c>
      <c r="G9" s="158">
        <f>YEARFRAC(F7,G7)</f>
        <v>1</v>
      </c>
    </row>
    <row r="11" spans="1:13" x14ac:dyDescent="0.25">
      <c r="B11" t="s">
        <v>166</v>
      </c>
      <c r="E11" s="121">
        <f>'Financial Statements'!E106</f>
        <v>-64507.372036674933</v>
      </c>
      <c r="F11" s="121">
        <f>'Financial Statements'!F106</f>
        <v>9161.1519949712329</v>
      </c>
      <c r="G11" s="121">
        <f>'Financial Statements'!G106</f>
        <v>228199.56276828473</v>
      </c>
    </row>
    <row r="12" spans="1:13" x14ac:dyDescent="0.25">
      <c r="B12" t="s">
        <v>147</v>
      </c>
      <c r="E12" s="121">
        <f>'Financial Statements'!E115</f>
        <v>-38035.534444995385</v>
      </c>
      <c r="F12" s="121">
        <f>'Financial Statements'!F115</f>
        <v>45962.164479129358</v>
      </c>
      <c r="G12" s="121">
        <f>'Financial Statements'!G115</f>
        <v>284911.65000983875</v>
      </c>
    </row>
    <row r="14" spans="1:13" x14ac:dyDescent="0.25">
      <c r="B14" s="5" t="s">
        <v>161</v>
      </c>
    </row>
    <row r="15" spans="1:13" x14ac:dyDescent="0.25">
      <c r="B15" t="s">
        <v>162</v>
      </c>
      <c r="G15" s="121">
        <f>(G11*(1+'Control Panel'!G7)/('Control Panel'!G6-'Control Panel'!G7))</f>
        <v>599023.85226674739</v>
      </c>
    </row>
    <row r="16" spans="1:13" x14ac:dyDescent="0.25">
      <c r="B16" s="163" t="s">
        <v>163</v>
      </c>
      <c r="C16" s="164"/>
      <c r="D16" s="199">
        <v>0</v>
      </c>
      <c r="E16" s="139">
        <f>E9*E12</f>
        <v>-38458.151494384219</v>
      </c>
      <c r="F16" s="139">
        <f>F9*F12</f>
        <v>45962.164479129358</v>
      </c>
      <c r="G16" s="139">
        <f>G9*G12</f>
        <v>284911.65000983875</v>
      </c>
    </row>
    <row r="17" spans="2:11" x14ac:dyDescent="0.25">
      <c r="B17" s="50" t="s">
        <v>161</v>
      </c>
      <c r="C17" s="61"/>
      <c r="D17" s="200">
        <v>0</v>
      </c>
      <c r="E17" s="200">
        <v>0</v>
      </c>
      <c r="F17" s="200">
        <v>0</v>
      </c>
      <c r="G17" s="165">
        <f>G15</f>
        <v>599023.85226674739</v>
      </c>
      <c r="K17" s="153"/>
    </row>
    <row r="18" spans="2:11" x14ac:dyDescent="0.25">
      <c r="K18" s="153"/>
    </row>
    <row r="19" spans="2:11" x14ac:dyDescent="0.25">
      <c r="K19" s="153"/>
    </row>
    <row r="20" spans="2:11" ht="15.75" x14ac:dyDescent="0.25">
      <c r="B20" s="41" t="s">
        <v>171</v>
      </c>
      <c r="C20" s="38"/>
      <c r="D20" s="38"/>
      <c r="E20" s="38"/>
      <c r="F20" s="38"/>
      <c r="G20" s="38"/>
      <c r="K20" s="208"/>
    </row>
    <row r="21" spans="2:11" x14ac:dyDescent="0.25">
      <c r="B21" t="s">
        <v>167</v>
      </c>
      <c r="D21" s="121">
        <f>XNPV('Control Panel'!$G$6,DCF!D16:G16,DCF!$D$8:$G$8)</f>
        <v>111836.60700868147</v>
      </c>
    </row>
    <row r="22" spans="2:11" x14ac:dyDescent="0.25">
      <c r="B22" t="s">
        <v>168</v>
      </c>
      <c r="D22" s="121">
        <f>XNPV('Control Panel'!$G$6,DCF!D17:G17,DCF!$D$8:$G$8)</f>
        <v>235523.71424727992</v>
      </c>
    </row>
    <row r="23" spans="2:11" x14ac:dyDescent="0.25">
      <c r="B23" s="10" t="s">
        <v>169</v>
      </c>
      <c r="C23" s="10"/>
      <c r="D23" s="139">
        <f>SUM(D21:D22)</f>
        <v>347360.32125596137</v>
      </c>
    </row>
    <row r="24" spans="2:11" x14ac:dyDescent="0.25">
      <c r="B24" s="8" t="s">
        <v>194</v>
      </c>
      <c r="C24" s="8"/>
      <c r="D24" s="201">
        <f>'Financial Statements'!D66-'Financial Statements'!D55</f>
        <v>-19600.471830919781</v>
      </c>
    </row>
    <row r="25" spans="2:11" x14ac:dyDescent="0.25">
      <c r="B25" s="5" t="s">
        <v>170</v>
      </c>
      <c r="C25" s="5"/>
      <c r="D25" s="160">
        <f>D23-D24</f>
        <v>366960.79308688117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Dashboard</vt:lpstr>
      <vt:lpstr>Outputs</vt:lpstr>
      <vt:lpstr>Control Panel</vt:lpstr>
      <vt:lpstr>Scenarios</vt:lpstr>
      <vt:lpstr>Y1 Financial Statements</vt:lpstr>
      <vt:lpstr>Historical Analysis</vt:lpstr>
      <vt:lpstr>Financial Statements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2023-07-14T13:11:39Z</dcterms:created>
  <dcterms:modified xsi:type="dcterms:W3CDTF">2024-07-04T16:19:18Z</dcterms:modified>
</cp:coreProperties>
</file>