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omakazmi\Desktop\UOFT data Analytics\Excel\"/>
    </mc:Choice>
  </mc:AlternateContent>
  <xr:revisionPtr revIDLastSave="0" documentId="8_{E322DD87-C916-4FE1-8949-102F2632BF8E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Theater Outcomes by Launch Date" sheetId="17" r:id="rId1"/>
    <sheet name="Outcomes Based on Goals" sheetId="20" r:id="rId2"/>
    <sheet name="kickstarters" sheetId="1" r:id="rId3"/>
    <sheet name="Descriptive Statistics" sheetId="14" r:id="rId4"/>
    <sheet name="Edinburgh Research." sheetId="11" r:id="rId5"/>
    <sheet name="Outcomes Based on Launch Date" sheetId="9" r:id="rId6"/>
    <sheet name="Category Statistics" sheetId="3" r:id="rId7"/>
    <sheet name="Subcategory Statistics" sheetId="4" r:id="rId8"/>
  </sheets>
  <definedNames>
    <definedName name="_xlnm._FilterDatabase" localSheetId="2" hidden="1">kickstarters!$A$1:$T$4115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G3" i="20"/>
  <c r="G4" i="20"/>
  <c r="G5" i="20"/>
  <c r="G6" i="20"/>
  <c r="G7" i="20"/>
  <c r="G8" i="20"/>
  <c r="G9" i="20"/>
  <c r="G10" i="20"/>
  <c r="G11" i="20"/>
  <c r="G12" i="20"/>
  <c r="G13" i="20"/>
  <c r="F3" i="20"/>
  <c r="F4" i="20"/>
  <c r="F5" i="20"/>
  <c r="F6" i="20"/>
  <c r="F7" i="20"/>
  <c r="F8" i="20"/>
  <c r="F9" i="20"/>
  <c r="F10" i="20"/>
  <c r="F11" i="20"/>
  <c r="F12" i="20"/>
  <c r="F13" i="20"/>
  <c r="E3" i="20"/>
  <c r="E4" i="20"/>
  <c r="E5" i="20"/>
  <c r="E6" i="20"/>
  <c r="E7" i="20"/>
  <c r="E8" i="20"/>
  <c r="E9" i="20"/>
  <c r="E10" i="20"/>
  <c r="E11" i="20"/>
  <c r="E12" i="20"/>
  <c r="E13" i="20"/>
  <c r="D13" i="20"/>
  <c r="C13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D5" i="20"/>
  <c r="C5" i="20"/>
  <c r="D4" i="20"/>
  <c r="C4" i="20"/>
  <c r="D3" i="20"/>
  <c r="C3" i="20"/>
  <c r="B2" i="20"/>
  <c r="C2" i="20"/>
  <c r="B13" i="20"/>
  <c r="B12" i="20"/>
  <c r="B11" i="20"/>
  <c r="B10" i="20"/>
  <c r="B9" i="20"/>
  <c r="B8" i="20"/>
  <c r="B7" i="20"/>
  <c r="B6" i="20"/>
  <c r="B5" i="20"/>
  <c r="B4" i="20"/>
  <c r="B3" i="20"/>
  <c r="D2" i="20"/>
  <c r="E2" i="20" l="1"/>
  <c r="G2" i="20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2" i="1"/>
  <c r="C14" i="14"/>
  <c r="B14" i="14"/>
  <c r="C13" i="14"/>
  <c r="B13" i="14"/>
  <c r="B15" i="14" s="1"/>
  <c r="C12" i="14"/>
  <c r="B12" i="14"/>
  <c r="C6" i="14"/>
  <c r="B6" i="14"/>
  <c r="C5" i="14"/>
  <c r="B5" i="14"/>
  <c r="B7" i="14" s="1"/>
  <c r="C4" i="14"/>
  <c r="B4" i="14"/>
  <c r="C11" i="14"/>
  <c r="B11" i="14"/>
  <c r="C10" i="14"/>
  <c r="B10" i="14"/>
  <c r="C3" i="14"/>
  <c r="C2" i="14"/>
  <c r="B3" i="14"/>
  <c r="B2" i="14"/>
  <c r="F6" i="11"/>
  <c r="F5" i="11"/>
  <c r="F4" i="11"/>
  <c r="F3" i="11"/>
  <c r="F2" i="11"/>
  <c r="D6" i="1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U3743" i="1" s="1"/>
  <c r="S3744" i="1"/>
  <c r="S3745" i="1"/>
  <c r="S3746" i="1"/>
  <c r="S3747" i="1"/>
  <c r="S3748" i="1"/>
  <c r="S3749" i="1"/>
  <c r="U3749" i="1" s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2" i="1"/>
  <c r="T4105" i="1"/>
  <c r="T4106" i="1"/>
  <c r="T4107" i="1"/>
  <c r="T4108" i="1"/>
  <c r="T4109" i="1"/>
  <c r="T4110" i="1"/>
  <c r="T4111" i="1"/>
  <c r="T4112" i="1"/>
  <c r="T4113" i="1"/>
  <c r="T4114" i="1"/>
  <c r="T4115" i="1"/>
  <c r="C15" i="14" l="1"/>
  <c r="C7" i="14"/>
  <c r="F2" i="20"/>
  <c r="H2" i="20"/>
  <c r="S4104" i="1"/>
  <c r="T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<sst xmlns="http://schemas.openxmlformats.org/spreadsheetml/2006/main" count="33050" uniqueCount="8416">
  <si>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</si>
  <si>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</si>
  <si>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</si>
  <si>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</si>
  <si>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</si>
  <si>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</si>
  <si>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</si>
  <si>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</si>
  <si>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</si>
  <si>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</si>
  <si>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</si>
  <si>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</si>
  <si>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</si>
  <si>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</si>
  <si>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</si>
  <si>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</si>
  <si>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</si>
  <si>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</si>
  <si>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</si>
  <si>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</si>
  <si>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</si>
  <si>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</si>
  <si>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</si>
  <si>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</si>
  <si>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</si>
  <si>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</si>
  <si>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</si>
  <si>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</si>
  <si>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</si>
  <si>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</si>
  <si>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</si>
  <si>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</si>
  <si>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</si>
  <si>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</si>
  <si>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</si>
  <si>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</si>
  <si>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</si>
  <si>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</si>
  <si>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</si>
  <si>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</si>
  <si>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</si>
  <si>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</si>
  <si>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</si>
  <si>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</si>
  <si>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</si>
  <si>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</si>
  <si>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</si>
  <si>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</si>
  <si>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</si>
  <si>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</si>
  <si>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</si>
  <si>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</si>
  <si>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</si>
  <si>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</si>
  <si>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</si>
  <si>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</si>
  <si>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</si>
  <si>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</si>
  <si>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</si>
  <si>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</si>
  <si>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</si>
  <si>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</si>
  <si>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</si>
  <si>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</si>
  <si>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</si>
  <si>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</si>
  <si>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</si>
  <si>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</si>
  <si>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</si>
  <si>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</si>
  <si>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</si>
  <si>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</si>
  <si>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</si>
  <si>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</si>
  <si>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</si>
  <si>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</si>
  <si>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</si>
  <si>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</si>
  <si>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</si>
  <si>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</si>
  <si>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</si>
  <si>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</si>
  <si>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</si>
  <si>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</si>
  <si>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</si>
  <si>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</si>
  <si>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</si>
  <si>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</si>
  <si>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</si>
  <si>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</si>
  <si>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</si>
  <si>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</si>
  <si>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</si>
  <si>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</si>
  <si>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</si>
  <si>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</si>
  <si>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</si>
  <si>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</si>
  <si>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</si>
  <si>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</si>
  <si>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</si>
  <si>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</si>
  <si>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</si>
  <si>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</si>
  <si>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</si>
  <si>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</si>
  <si>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</si>
  <si>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</si>
  <si>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</si>
  <si>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</si>
  <si>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</si>
  <si>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</si>
  <si>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</si>
  <si>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</si>
  <si>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</si>
  <si>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</si>
  <si>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</si>
  <si>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</si>
  <si>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</si>
  <si>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</si>
  <si>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</si>
  <si>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</si>
  <si>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</si>
  <si>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</si>
  <si>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</si>
  <si>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</si>
  <si>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</si>
  <si>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</si>
  <si>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</si>
  <si>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</si>
  <si>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</si>
  <si>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</si>
  <si>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</si>
  <si>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</si>
  <si>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</si>
  <si>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</si>
  <si>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</si>
  <si>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</si>
  <si>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</si>
  <si>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</si>
  <si>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</si>
  <si>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</si>
  <si>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</si>
  <si>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</si>
  <si>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</si>
  <si>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</si>
  <si>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</si>
  <si>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</si>
  <si>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</si>
  <si>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</si>
  <si>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</si>
  <si>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</si>
  <si>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</si>
  <si>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</si>
  <si>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</si>
  <si>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</si>
  <si>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</si>
  <si>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</si>
  <si>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</si>
  <si>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</si>
  <si>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</si>
  <si>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</si>
  <si>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</si>
  <si>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</si>
  <si>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</si>
  <si>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</si>
  <si>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</si>
  <si>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</si>
  <si>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</si>
  <si>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</si>
  <si>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</si>
  <si>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</si>
  <si>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</si>
  <si>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</si>
  <si>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</si>
  <si>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</si>
  <si>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</si>
  <si>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</si>
  <si>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</si>
  <si>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</si>
  <si>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</si>
  <si>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</si>
  <si>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</si>
  <si>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</si>
  <si>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</si>
  <si>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</si>
  <si>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</si>
  <si>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</si>
  <si>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</si>
  <si>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</si>
  <si>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</si>
  <si>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</si>
  <si>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</si>
  <si>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</si>
  <si>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</si>
  <si>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</si>
  <si>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</si>
  <si>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</si>
  <si>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</si>
  <si>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</si>
  <si>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</si>
  <si>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</si>
  <si>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</si>
  <si>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</si>
  <si>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</si>
  <si>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</si>
  <si>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</si>
  <si>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</si>
  <si>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</si>
  <si>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</si>
  <si>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</si>
  <si>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</si>
  <si>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</si>
  <si>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</si>
  <si>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</si>
  <si>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</si>
  <si>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</si>
  <si>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</si>
  <si>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</si>
  <si>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</si>
  <si>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</si>
  <si>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</si>
  <si>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</si>
  <si>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</si>
  <si>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</si>
  <si>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</si>
  <si>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</si>
  <si>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</si>
  <si>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</si>
  <si>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</si>
  <si>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</si>
  <si>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</si>
  <si>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</si>
  <si>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</si>
  <si>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</si>
  <si>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</si>
  <si>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</si>
  <si>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</si>
  <si>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</si>
  <si>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</si>
  <si>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</si>
  <si>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</si>
  <si>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</si>
  <si>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</si>
  <si>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</si>
  <si>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</si>
  <si>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</si>
  <si>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</si>
  <si>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</si>
  <si>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</si>
  <si>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</si>
  <si>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</si>
  <si>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</si>
  <si>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</si>
  <si>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</si>
  <si>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</si>
  <si>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</si>
  <si>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</si>
  <si>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</si>
  <si>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</si>
  <si>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</si>
  <si>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</si>
  <si>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</si>
  <si>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</si>
  <si>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</si>
  <si>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</si>
  <si>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</si>
  <si>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</si>
  <si>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</si>
  <si>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</si>
  <si>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</si>
  <si>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</si>
  <si>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</si>
  <si>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</si>
  <si>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</si>
  <si>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</si>
  <si>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</si>
  <si>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</si>
  <si>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</si>
  <si>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</si>
  <si>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</si>
  <si>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</si>
  <si>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</si>
  <si>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</si>
  <si>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</si>
  <si>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</si>
  <si>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</si>
  <si>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</si>
  <si>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</si>
  <si>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</si>
  <si>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</si>
  <si>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</si>
  <si>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</si>
  <si>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</si>
  <si>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</si>
  <si>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</si>
  <si>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</si>
  <si>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</si>
  <si>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</si>
  <si>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</si>
  <si>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</si>
  <si>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</si>
  <si>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</si>
  <si>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</si>
  <si>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</si>
  <si>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</si>
  <si>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</si>
  <si>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</si>
  <si>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</si>
  <si>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</si>
  <si>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</si>
  <si>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</si>
  <si>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</si>
  <si>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</si>
  <si>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</si>
  <si>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</si>
  <si>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</si>
  <si>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</si>
  <si>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</si>
  <si>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</si>
  <si>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</si>
  <si>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</si>
  <si>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</si>
  <si>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</si>
  <si>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</si>
  <si>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</si>
  <si>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</si>
  <si>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</si>
  <si>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</si>
  <si>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</si>
  <si>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</si>
  <si>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</si>
  <si>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</si>
  <si>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</si>
  <si>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</si>
  <si>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</si>
  <si>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</si>
  <si>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</si>
  <si>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</si>
  <si>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</si>
  <si>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</si>
  <si>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</si>
  <si>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</si>
  <si>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</si>
  <si>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</si>
  <si>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</si>
  <si>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</si>
  <si>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</si>
  <si>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</si>
  <si>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</si>
  <si>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</si>
  <si>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</si>
  <si>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</si>
  <si>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</si>
  <si>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</si>
  <si>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</si>
  <si>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</si>
  <si>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</si>
  <si>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</si>
  <si>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</si>
  <si>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</si>
  <si>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</si>
  <si>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</si>
  <si>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</si>
  <si>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</si>
  <si>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</si>
  <si>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</si>
  <si>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</si>
  <si>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</si>
  <si>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</si>
  <si>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</si>
  <si>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</si>
  <si>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</si>
  <si>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</si>
  <si>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</si>
  <si>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</si>
  <si>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</si>
  <si>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</si>
  <si>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</si>
  <si>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</si>
  <si>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</si>
  <si>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</si>
  <si>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</si>
  <si>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</si>
  <si>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</si>
  <si>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</si>
  <si>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</si>
  <si>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</si>
  <si>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</si>
  <si>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</si>
  <si>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</si>
  <si>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</si>
  <si>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</si>
  <si>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</si>
  <si>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</si>
  <si>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</si>
  <si>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</si>
  <si>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</si>
  <si>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</si>
  <si>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</si>
  <si>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</si>
  <si>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</si>
  <si>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</si>
  <si>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</si>
  <si>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</si>
  <si>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</si>
  <si>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</si>
  <si>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</si>
  <si>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</si>
  <si>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</si>
  <si>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</si>
  <si>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</si>
  <si>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</si>
  <si>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</si>
  <si>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</si>
  <si>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</si>
  <si>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</si>
  <si>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</si>
  <si>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</si>
  <si>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</si>
  <si>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</si>
  <si>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</si>
  <si>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</si>
  <si>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</si>
  <si>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</si>
  <si>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</si>
  <si>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</si>
  <si>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</si>
  <si>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</si>
  <si>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</si>
  <si>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</si>
  <si>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</si>
  <si>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</si>
  <si>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</si>
  <si>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</si>
  <si>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</si>
  <si>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</si>
  <si>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</si>
  <si>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</si>
  <si>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</si>
  <si>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</si>
  <si>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</si>
  <si>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</si>
  <si>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</si>
  <si>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</si>
  <si>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</si>
  <si>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</si>
  <si>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</si>
  <si>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</si>
  <si>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</si>
  <si>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</si>
  <si>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</si>
  <si>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</si>
  <si>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</si>
  <si>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</si>
  <si>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</si>
  <si>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</si>
  <si>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</si>
  <si>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</si>
  <si>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</si>
  <si>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</si>
  <si>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</si>
  <si>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</si>
  <si>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</si>
  <si>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</si>
  <si>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</si>
  <si>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</si>
  <si>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</si>
  <si>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</si>
  <si>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</si>
  <si>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</si>
  <si>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</si>
  <si>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</si>
  <si>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</si>
  <si>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</si>
  <si>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</si>
  <si>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</si>
  <si>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</si>
  <si>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</si>
  <si>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</si>
  <si>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</si>
  <si>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</si>
  <si>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</si>
  <si>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</si>
  <si>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</si>
  <si>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</si>
  <si>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</si>
  <si>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</si>
  <si>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</si>
  <si>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</si>
  <si>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</si>
  <si>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</si>
  <si>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</si>
  <si>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</si>
  <si>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</si>
  <si>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</si>
  <si>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</si>
  <si>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</si>
  <si>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</si>
  <si>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</si>
  <si>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</si>
  <si>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</si>
  <si>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</si>
  <si>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</si>
  <si>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</si>
  <si>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</si>
  <si>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</si>
  <si>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</si>
  <si>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</si>
  <si>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</si>
  <si>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</si>
  <si>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</si>
  <si>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</si>
  <si>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</si>
  <si>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</si>
  <si>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</si>
  <si>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</si>
  <si>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</si>
  <si>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</si>
  <si>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</si>
  <si>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</si>
  <si>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</si>
  <si>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</si>
  <si>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</si>
  <si>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</si>
  <si>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</si>
  <si>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</si>
  <si>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</si>
  <si>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</si>
  <si>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</si>
  <si>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</si>
  <si>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</si>
  <si>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</si>
  <si>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</si>
  <si>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</si>
  <si>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</si>
  <si>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</si>
  <si>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</si>
  <si>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</si>
  <si>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</si>
  <si>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</si>
  <si>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</si>
  <si>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</si>
  <si>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</si>
  <si>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</si>
  <si>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</si>
  <si>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</si>
  <si>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</si>
  <si>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</si>
  <si>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</si>
  <si>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</si>
  <si>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</si>
  <si>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</si>
  <si>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</si>
  <si>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</si>
  <si>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</si>
  <si>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</si>
  <si>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</si>
  <si>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</si>
  <si>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</si>
  <si>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</si>
  <si>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</si>
  <si>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</si>
  <si>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</si>
  <si>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</si>
  <si>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</si>
  <si>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</si>
  <si>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</si>
  <si>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</si>
  <si>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</si>
  <si>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</si>
  <si>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</si>
  <si>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</si>
  <si>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</si>
  <si>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</si>
  <si>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</si>
  <si>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</si>
  <si>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</si>
  <si>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</si>
  <si>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</si>
  <si>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</si>
  <si>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</si>
  <si>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</si>
  <si>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</si>
  <si>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</si>
  <si>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</si>
  <si>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</si>
  <si>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</si>
  <si>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</si>
  <si>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</si>
  <si>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</si>
  <si>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</si>
  <si>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</si>
  <si>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</si>
  <si>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</si>
  <si>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</si>
  <si>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</si>
  <si>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</si>
  <si>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</si>
  <si>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</si>
  <si>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</si>
  <si>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</si>
  <si>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</si>
  <si>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</si>
  <si>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</si>
  <si>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</si>
  <si>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</si>
  <si>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</si>
  <si>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</si>
  <si>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</si>
  <si>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</si>
  <si>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</si>
  <si>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</si>
  <si>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</si>
  <si>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</si>
  <si>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</si>
  <si>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</si>
  <si>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</si>
  <si>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</si>
  <si>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</si>
  <si>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</si>
  <si>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</si>
  <si>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</si>
  <si>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</si>
  <si>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</si>
  <si>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</si>
  <si>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</si>
  <si>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</si>
  <si>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</si>
  <si>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</si>
  <si>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</si>
  <si>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</si>
  <si>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</si>
  <si>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</si>
  <si>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</si>
  <si>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</si>
  <si>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</si>
  <si>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</si>
  <si>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</si>
  <si>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</si>
  <si>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</si>
  <si>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</si>
  <si>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</si>
  <si>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</si>
  <si>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</si>
  <si>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</si>
  <si>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</si>
  <si>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</si>
  <si>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</si>
  <si>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</si>
  <si>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</si>
  <si>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</si>
  <si>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</si>
  <si>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</si>
  <si>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</si>
  <si>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</si>
  <si>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</si>
  <si>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</si>
  <si>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</si>
  <si>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</si>
  <si>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</si>
  <si>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</si>
  <si>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</si>
  <si>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</si>
  <si>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</si>
  <si>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</si>
  <si>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</si>
  <si>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</si>
  <si>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</si>
  <si>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</si>
  <si>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</si>
  <si>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</si>
  <si>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</si>
  <si>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</si>
  <si>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</si>
  <si>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</si>
  <si>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</si>
  <si>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</si>
  <si>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</si>
  <si>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</si>
  <si>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</si>
  <si>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</si>
  <si>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</si>
  <si>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</si>
  <si>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</si>
  <si>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</si>
  <si>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</si>
  <si>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</si>
  <si>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</si>
  <si>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</si>
  <si>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</si>
  <si>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</si>
  <si>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</si>
  <si>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</si>
  <si>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</si>
  <si>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</si>
  <si>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</si>
  <si>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</si>
  <si>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</si>
  <si>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</si>
  <si>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</si>
  <si>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</si>
  <si>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</si>
  <si>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</si>
  <si>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</si>
  <si>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</si>
  <si>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</si>
  <si>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</si>
  <si>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</si>
  <si>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</si>
  <si>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</si>
  <si>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</si>
  <si>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</si>
  <si>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</si>
  <si>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</si>
  <si>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</si>
  <si>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</si>
  <si>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</si>
  <si>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</si>
  <si>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</si>
  <si>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</si>
  <si>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</si>
  <si>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</si>
  <si>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</si>
  <si>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</si>
  <si>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</si>
  <si>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</si>
  <si>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</si>
  <si>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</si>
  <si>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</si>
  <si>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</si>
  <si>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</si>
  <si>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</si>
  <si>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</si>
  <si>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</si>
  <si>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</si>
  <si>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</si>
  <si>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</si>
  <si>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</si>
  <si>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</si>
  <si>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</si>
  <si>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</si>
  <si>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</si>
  <si>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</si>
  <si>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</si>
  <si>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</si>
  <si>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</si>
  <si>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</si>
  <si>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</si>
  <si>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</si>
  <si>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</si>
  <si>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</si>
  <si>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</si>
  <si>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</si>
  <si>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</si>
  <si>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</si>
  <si>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</si>
  <si>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</si>
  <si>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</si>
  <si>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</si>
  <si>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</si>
  <si>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</si>
  <si>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</si>
  <si>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</si>
  <si>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</si>
  <si>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</si>
  <si>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</si>
  <si>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</si>
  <si>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</si>
  <si>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</si>
  <si>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</si>
  <si>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</si>
  <si>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</si>
  <si>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</si>
  <si>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</si>
  <si>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</si>
  <si>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</si>
  <si>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</si>
  <si>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</si>
  <si>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</si>
  <si>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</si>
  <si>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</si>
  <si>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</si>
  <si>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</si>
  <si>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</si>
  <si>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</si>
  <si>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</si>
  <si>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</si>
  <si>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</si>
  <si>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</si>
  <si>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</si>
  <si>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</si>
  <si>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</si>
  <si>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</si>
  <si>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</si>
  <si>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</si>
  <si>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</si>
  <si>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</si>
  <si>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</si>
  <si>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</si>
  <si>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</si>
  <si>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</si>
  <si>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</si>
  <si>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</si>
  <si>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</si>
  <si>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</si>
  <si>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</si>
  <si>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</si>
  <si>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</si>
  <si>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</si>
  <si>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</si>
  <si>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</si>
  <si>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</si>
  <si>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</si>
  <si>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</si>
  <si>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</si>
  <si>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</si>
  <si>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</si>
  <si>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</si>
  <si>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</si>
  <si>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</si>
  <si>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</si>
  <si>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</si>
  <si>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</si>
  <si>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</si>
  <si>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</si>
  <si>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</si>
  <si>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</si>
  <si>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</si>
  <si>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</si>
  <si>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</si>
  <si>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</si>
  <si>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</si>
  <si>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</si>
  <si>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</si>
  <si>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</si>
  <si>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</si>
  <si>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</si>
  <si>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</si>
  <si>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</si>
  <si>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</si>
  <si>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</si>
  <si>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</si>
  <si>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</si>
  <si>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</si>
  <si>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</si>
  <si>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</si>
  <si>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</si>
  <si>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</si>
  <si>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</si>
  <si>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</si>
  <si>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</si>
  <si>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</si>
  <si>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</si>
  <si>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</si>
  <si>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</si>
  <si>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</si>
  <si>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</si>
  <si>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</si>
  <si>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</si>
  <si>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</si>
  <si>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</si>
  <si>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</si>
  <si>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</si>
  <si>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</si>
  <si>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</si>
  <si>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</si>
  <si>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</si>
  <si>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</si>
  <si>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</si>
  <si>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</si>
  <si>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</si>
  <si>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</si>
  <si>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</si>
  <si>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</si>
  <si>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</si>
  <si>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</si>
  <si>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</si>
  <si>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</si>
  <si>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</si>
  <si>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</si>
  <si>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</si>
  <si>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</si>
  <si>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</si>
  <si>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</si>
  <si>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</si>
  <si>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</si>
  <si>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</si>
  <si>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</si>
  <si>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</si>
  <si>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</si>
  <si>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</si>
  <si>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</si>
  <si>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</si>
  <si>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</si>
  <si>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</si>
  <si>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</si>
  <si>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</si>
  <si>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</si>
  <si>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</si>
  <si>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</si>
  <si>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</si>
  <si>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</si>
  <si>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</si>
  <si>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</si>
  <si>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</si>
  <si>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</si>
  <si>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</si>
  <si>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</si>
  <si>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</si>
  <si>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</si>
  <si>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</si>
  <si>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</si>
  <si>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</si>
  <si>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</si>
  <si>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</si>
  <si>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</si>
  <si>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</si>
  <si>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</si>
  <si>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</si>
  <si>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</si>
  <si>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</si>
  <si>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</si>
  <si>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</si>
  <si>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</si>
  <si>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</si>
  <si>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</si>
  <si>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</si>
  <si>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</si>
  <si>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</si>
  <si>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</si>
  <si>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</si>
  <si>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</si>
  <si>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</si>
  <si>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</si>
  <si>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</si>
  <si>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</si>
  <si>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</si>
  <si>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</si>
  <si>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</si>
  <si>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</si>
  <si>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</si>
  <si>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</si>
  <si>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</si>
  <si>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</si>
  <si>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</si>
  <si>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</si>
  <si>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</si>
  <si>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</si>
  <si>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</si>
  <si>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</si>
  <si>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</si>
  <si>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</si>
  <si>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</si>
  <si>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</si>
  <si>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</si>
  <si>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</si>
  <si>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</si>
  <si>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</si>
  <si>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</si>
  <si>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</si>
  <si>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</si>
  <si>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</si>
  <si>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</si>
  <si>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</si>
  <si>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</si>
  <si>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</si>
  <si>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</si>
  <si>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</si>
  <si>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</si>
  <si>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</si>
  <si>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</si>
  <si>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</si>
  <si>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</si>
  <si>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</si>
  <si>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</si>
  <si>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</si>
  <si>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</si>
  <si>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</si>
  <si>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</si>
  <si>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</si>
  <si>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</si>
  <si>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</si>
  <si>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</si>
  <si>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</si>
  <si>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</si>
  <si>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</si>
  <si>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</si>
  <si>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</si>
  <si>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</si>
  <si>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</si>
  <si>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</si>
  <si>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</si>
  <si>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</si>
  <si>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</si>
  <si>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</si>
  <si>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</si>
  <si>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</si>
  <si>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</si>
  <si>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</si>
  <si>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</si>
  <si>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</si>
  <si>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</si>
  <si>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</si>
  <si>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</si>
  <si>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</si>
  <si>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</si>
  <si>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</si>
  <si>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</si>
  <si>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</si>
  <si>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</si>
  <si>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</si>
  <si>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</si>
  <si>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</si>
  <si>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</si>
  <si>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</si>
  <si>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</si>
  <si>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</si>
  <si>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</si>
  <si>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</si>
  <si>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</si>
  <si>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</si>
  <si>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</si>
  <si>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</si>
  <si>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</si>
  <si>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</si>
  <si>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</si>
  <si>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</si>
  <si>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</si>
  <si>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</si>
  <si>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</si>
  <si>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</si>
  <si>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</si>
  <si>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</si>
  <si>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</si>
  <si>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</si>
  <si>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</si>
  <si>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</si>
  <si>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</si>
  <si>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</si>
  <si>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</si>
  <si>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</si>
  <si>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</si>
  <si>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</si>
  <si>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</si>
  <si>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</si>
  <si>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</si>
  <si>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</si>
  <si>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</si>
  <si>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</si>
  <si>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</si>
  <si>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</si>
  <si>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</si>
  <si>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</si>
  <si>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</si>
  <si>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</si>
  <si>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</si>
  <si>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</si>
  <si>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</si>
  <si>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</si>
  <si>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</si>
  <si>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</si>
  <si>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</si>
  <si>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</si>
  <si>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</si>
  <si>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</si>
  <si>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</si>
  <si>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</si>
  <si>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</si>
  <si>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</si>
  <si>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</si>
  <si>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</si>
  <si>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</si>
  <si>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</si>
  <si>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</si>
  <si>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</si>
  <si>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</si>
  <si>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</si>
  <si>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</si>
  <si>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</si>
  <si>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</si>
  <si>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</si>
  <si>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</si>
  <si>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</si>
  <si>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</si>
  <si>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</si>
  <si>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</si>
  <si>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</si>
  <si>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</si>
  <si>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</si>
  <si>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</si>
  <si>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</si>
  <si>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</si>
  <si>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</si>
  <si>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</si>
  <si>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</si>
  <si>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</si>
  <si>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</si>
  <si>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</si>
  <si>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</si>
  <si>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</si>
  <si>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</si>
  <si>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</si>
  <si>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</si>
  <si>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</si>
  <si>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</si>
  <si>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</si>
  <si>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</si>
  <si>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</si>
  <si>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</si>
  <si>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</si>
  <si>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</si>
  <si>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</si>
  <si>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</si>
  <si>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</si>
  <si>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</si>
  <si>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</si>
  <si>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</si>
  <si>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</si>
  <si>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</si>
  <si>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</si>
  <si>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</si>
  <si>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</si>
  <si>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</si>
  <si>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</si>
  <si>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</si>
  <si>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</si>
  <si>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</si>
  <si>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</si>
  <si>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</si>
  <si>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</si>
  <si>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</si>
  <si>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</si>
  <si>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</si>
  <si>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</si>
  <si>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</si>
  <si>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</si>
  <si>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</si>
  <si>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</si>
  <si>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</si>
  <si>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</si>
  <si>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</si>
  <si>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</si>
  <si>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</si>
  <si>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</si>
  <si>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</si>
  <si>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</si>
  <si>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</si>
  <si>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</si>
  <si>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</si>
  <si>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</si>
  <si>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</si>
  <si>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</si>
  <si>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</si>
  <si>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</si>
  <si>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</si>
  <si>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</si>
  <si>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</si>
  <si>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</si>
  <si>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</si>
  <si>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</si>
  <si>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</si>
  <si>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</si>
  <si>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</si>
  <si>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</si>
  <si>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</si>
  <si>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</si>
  <si>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</si>
  <si>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</si>
  <si>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</si>
  <si>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</si>
  <si>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</si>
  <si>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</si>
  <si>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</si>
  <si>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</si>
  <si>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</si>
  <si>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</si>
  <si>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</si>
  <si>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</si>
  <si>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</si>
  <si>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</si>
  <si>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</si>
  <si>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</si>
  <si>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</si>
  <si>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</si>
  <si>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</si>
  <si>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</si>
  <si>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</si>
  <si>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</si>
  <si>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</si>
  <si>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</si>
  <si>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</si>
  <si>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</si>
  <si>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</si>
  <si>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</si>
  <si>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</si>
  <si>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</si>
  <si>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</si>
  <si>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</si>
  <si>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</si>
  <si>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</si>
  <si>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</si>
  <si>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</si>
  <si>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</si>
  <si>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</si>
  <si>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</si>
  <si>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</si>
  <si>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</si>
  <si>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</si>
  <si>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</si>
  <si>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</si>
  <si>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</si>
  <si>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</si>
  <si>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</si>
  <si>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</si>
  <si>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</si>
  <si>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</si>
  <si>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</si>
  <si>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</si>
  <si>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</si>
  <si>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</si>
  <si>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</si>
  <si>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</si>
  <si>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</si>
  <si>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</si>
  <si>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</si>
  <si>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</si>
  <si>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</si>
  <si>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</si>
  <si>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</si>
  <si>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</si>
  <si>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</si>
  <si>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</si>
  <si>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</si>
  <si>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</si>
  <si>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</si>
  <si>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</si>
  <si>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</si>
  <si>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</si>
  <si>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</si>
  <si>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</si>
  <si>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</si>
  <si>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</si>
  <si>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</si>
  <si>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</si>
  <si>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</si>
  <si>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</si>
  <si>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</si>
  <si>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</si>
  <si>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</si>
  <si>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</si>
  <si>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</si>
  <si>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</si>
  <si>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</si>
  <si>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</si>
  <si>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</si>
  <si>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</si>
  <si>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</si>
  <si>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</si>
  <si>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</si>
  <si>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</si>
  <si>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</si>
  <si>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</si>
  <si>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</si>
  <si>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</si>
  <si>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</si>
  <si>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</si>
  <si>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</si>
  <si>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</si>
  <si>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</si>
  <si>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</si>
  <si>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</si>
  <si>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</si>
  <si>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</si>
  <si>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</si>
  <si>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</si>
  <si>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</si>
  <si>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</si>
  <si>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</si>
  <si>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</si>
  <si>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</si>
  <si>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</si>
  <si>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</si>
  <si>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</si>
  <si>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</si>
  <si>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</si>
  <si>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</si>
  <si>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</si>
  <si>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</si>
  <si>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</si>
  <si>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</si>
  <si>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</si>
  <si>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</si>
  <si>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</si>
  <si>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</si>
  <si>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</si>
  <si>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</si>
  <si>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</si>
  <si>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</si>
  <si>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</si>
  <si>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</si>
  <si>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</si>
  <si>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</si>
  <si>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</si>
  <si>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</si>
  <si>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</si>
  <si>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</si>
  <si>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</si>
  <si>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</si>
  <si>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</si>
  <si>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</si>
  <si>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</si>
  <si>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</si>
  <si>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</si>
  <si>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</si>
  <si>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</si>
  <si>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</si>
  <si>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</si>
  <si>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</si>
  <si>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</si>
  <si>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</si>
  <si>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</si>
  <si>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</si>
  <si>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</si>
  <si>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</si>
  <si>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</si>
  <si>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</si>
  <si>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</si>
  <si>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</si>
  <si>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</si>
  <si>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</si>
  <si>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</si>
  <si>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</si>
  <si>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</si>
  <si>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</si>
  <si>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</si>
  <si>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</si>
  <si>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</si>
  <si>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</si>
  <si>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</si>
  <si>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</si>
  <si>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</si>
  <si>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</si>
  <si>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</si>
  <si>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</si>
  <si>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</si>
  <si>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</si>
  <si>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</si>
  <si>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</si>
  <si>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</si>
  <si>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</si>
  <si>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</si>
  <si>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</si>
  <si>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</si>
  <si>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</si>
  <si>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</si>
  <si>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</si>
  <si>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</si>
  <si>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</si>
  <si>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</si>
  <si>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</si>
  <si>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</si>
  <si>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</si>
  <si>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</si>
  <si>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</si>
  <si>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</si>
  <si>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</si>
  <si>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</si>
  <si>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</si>
  <si>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</si>
  <si>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</si>
  <si>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</si>
  <si>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</si>
  <si>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</si>
  <si>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</si>
  <si>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</si>
  <si>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</si>
  <si>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</si>
  <si>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</si>
  <si>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</si>
  <si>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</si>
  <si>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</si>
  <si>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</si>
  <si>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</si>
  <si>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</si>
  <si>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</si>
  <si>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</si>
  <si>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</si>
  <si>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</si>
  <si>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</si>
  <si>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</si>
  <si>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</si>
  <si>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</si>
  <si>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</si>
  <si>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</si>
  <si>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</si>
  <si>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</si>
  <si>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</si>
  <si>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</si>
  <si>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</si>
  <si>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</si>
  <si>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</si>
  <si>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</si>
  <si>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</si>
  <si>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</si>
  <si>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</si>
  <si>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</si>
  <si>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</si>
  <si>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</si>
  <si>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</si>
  <si>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</si>
  <si>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</si>
  <si>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</si>
  <si>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</si>
  <si>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</si>
  <si>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</si>
  <si>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</si>
  <si>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</si>
  <si>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</si>
  <si>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</si>
  <si>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</si>
  <si>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</si>
  <si>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</si>
  <si>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</si>
  <si>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</si>
  <si>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</si>
  <si>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</si>
  <si>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</si>
  <si>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</si>
  <si>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</si>
  <si>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</si>
  <si>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</si>
  <si>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</si>
  <si>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</si>
  <si>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</si>
  <si>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</si>
  <si>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</si>
  <si>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</si>
  <si>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</si>
  <si>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</si>
  <si>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</si>
  <si>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</si>
  <si>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</si>
  <si>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</si>
  <si>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</si>
  <si>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</si>
  <si>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</si>
  <si>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</si>
  <si>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</si>
  <si>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</si>
  <si>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</si>
  <si>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</si>
  <si>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</si>
  <si>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</si>
  <si>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</si>
  <si>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</si>
  <si>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</si>
  <si>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</si>
  <si>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</si>
  <si>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</si>
  <si>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</si>
  <si>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</si>
  <si>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</si>
  <si>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</si>
  <si>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</si>
  <si>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</si>
  <si>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</si>
  <si>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</si>
  <si>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</si>
  <si>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</si>
  <si>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</si>
  <si>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</si>
  <si>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</si>
  <si>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</si>
  <si>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</si>
  <si>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</si>
  <si>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</si>
  <si>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</si>
  <si>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</si>
  <si>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</si>
  <si>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</si>
  <si>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</si>
  <si>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</si>
  <si>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</si>
  <si>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</si>
  <si>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</si>
  <si>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</si>
  <si>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</si>
  <si>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</si>
  <si>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</si>
  <si>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</si>
  <si>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</si>
  <si>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</si>
  <si>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</si>
  <si>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</si>
  <si>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</si>
  <si>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</si>
  <si>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</si>
  <si>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</si>
  <si>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</si>
  <si>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</si>
  <si>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</si>
  <si>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</si>
  <si>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</si>
  <si>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</si>
  <si>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</si>
  <si>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</si>
  <si>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</si>
  <si>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</si>
  <si>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</si>
  <si>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</si>
  <si>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</si>
  <si>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</si>
  <si>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</si>
  <si>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</si>
  <si>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</si>
  <si>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</si>
  <si>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</si>
  <si>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</si>
  <si>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</si>
  <si>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</si>
  <si>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</si>
  <si>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</si>
  <si>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</si>
  <si>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</si>
  <si>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</si>
  <si>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</si>
  <si>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</si>
  <si>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</si>
  <si>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</si>
  <si>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</si>
  <si>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</si>
  <si>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</si>
  <si>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</si>
  <si>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</si>
  <si>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</si>
  <si>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</si>
  <si>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</si>
  <si>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</si>
  <si>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</si>
  <si>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</si>
  <si>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</si>
  <si>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</si>
  <si>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</si>
  <si>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</si>
  <si>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</si>
  <si>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</si>
  <si>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</si>
  <si>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</si>
  <si>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</si>
  <si>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</si>
  <si>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</si>
  <si>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</si>
  <si>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</si>
  <si>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</si>
  <si>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</si>
  <si>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</si>
  <si>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</si>
  <si>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</si>
  <si>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</si>
  <si>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</si>
  <si>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</si>
  <si>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</si>
  <si>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</si>
  <si>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</si>
  <si>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</si>
  <si>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</si>
  <si>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</si>
  <si>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</si>
  <si>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</si>
  <si>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</si>
  <si>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</si>
  <si>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</si>
  <si>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</si>
  <si>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</si>
  <si>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</si>
  <si>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</si>
  <si>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</si>
  <si>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</si>
  <si>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</si>
  <si>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</si>
  <si>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</si>
  <si>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</si>
  <si>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</si>
  <si>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</si>
  <si>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</si>
  <si>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</si>
  <si>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</si>
  <si>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</si>
  <si>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</si>
  <si>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</si>
  <si>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</si>
  <si>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</si>
  <si>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</si>
  <si>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</si>
  <si>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</si>
  <si>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</si>
  <si>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</si>
  <si>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</si>
  <si>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</si>
  <si>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</si>
  <si>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</si>
  <si>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</si>
  <si>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</si>
  <si>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</si>
  <si>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</si>
  <si>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</si>
  <si>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</si>
  <si>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</si>
  <si>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</si>
  <si>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</si>
  <si>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</si>
  <si>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</si>
  <si>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</si>
  <si>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</si>
  <si>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</si>
  <si>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</si>
  <si>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</si>
  <si>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</si>
  <si>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</si>
  <si>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</si>
  <si>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</si>
  <si>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</si>
  <si>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</si>
  <si>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</si>
  <si>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</si>
  <si>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</si>
  <si>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</si>
  <si>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</si>
  <si>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</si>
  <si>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</si>
  <si>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</si>
  <si>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</si>
  <si>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</si>
  <si>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</si>
  <si>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</si>
  <si>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</si>
  <si>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</si>
  <si>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</si>
  <si>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</si>
  <si>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</si>
  <si>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</si>
  <si>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</si>
  <si>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</si>
  <si>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</si>
  <si>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</si>
  <si>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</si>
  <si>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</si>
  <si>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</si>
  <si>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</si>
  <si>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</si>
  <si>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</si>
  <si>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</si>
  <si>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</si>
  <si>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</si>
  <si>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</si>
  <si>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</si>
  <si>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</si>
  <si>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</si>
  <si>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</si>
  <si>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</si>
  <si>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</si>
  <si>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</si>
  <si>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</si>
  <si>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</si>
  <si>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</si>
  <si>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</si>
  <si>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</si>
  <si>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</si>
  <si>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</si>
  <si>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</si>
  <si>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</si>
  <si>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</si>
  <si>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</si>
  <si>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</si>
  <si>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</si>
  <si>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</si>
  <si>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</si>
  <si>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</si>
  <si>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</si>
  <si>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</si>
  <si>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</si>
  <si>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</si>
  <si>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</si>
  <si>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</si>
  <si>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</si>
  <si>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</si>
  <si>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</si>
  <si>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</si>
  <si>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</si>
  <si>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</si>
  <si>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</si>
  <si>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</si>
  <si>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</si>
  <si>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</si>
  <si>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</si>
  <si>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</si>
  <si>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</si>
  <si>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</si>
  <si>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</si>
  <si>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</si>
  <si>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</si>
  <si>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</si>
  <si>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</si>
  <si>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</si>
  <si>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</si>
  <si>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</si>
  <si>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</si>
  <si>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</si>
  <si>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</si>
  <si>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</si>
  <si>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</si>
  <si>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</si>
  <si>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</si>
  <si>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</si>
  <si>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</si>
  <si>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</si>
  <si>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</si>
  <si>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</si>
  <si>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</si>
  <si>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</si>
  <si>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</si>
  <si>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</si>
  <si>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</si>
  <si>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</si>
  <si>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</si>
  <si>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</si>
  <si>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</si>
  <si>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</si>
  <si>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</si>
  <si>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</si>
  <si>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</si>
  <si>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</si>
  <si>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</si>
  <si>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</si>
  <si>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</si>
  <si>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</si>
  <si>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</si>
  <si>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</si>
  <si>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</si>
  <si>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</si>
  <si>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</si>
  <si>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</si>
  <si>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</si>
  <si>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</si>
  <si>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</si>
  <si>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</si>
  <si>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</si>
  <si>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</si>
  <si>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</si>
  <si>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</si>
  <si>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</si>
  <si>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</si>
  <si>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</si>
  <si>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</si>
  <si>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</si>
  <si>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</si>
  <si>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</si>
  <si>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</si>
  <si>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</si>
  <si>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</si>
  <si>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</si>
  <si>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</si>
  <si>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</si>
  <si>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</si>
  <si>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</si>
  <si>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</si>
  <si>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</si>
  <si>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</si>
  <si>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</si>
  <si>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</si>
  <si>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</si>
  <si>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</si>
  <si>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</si>
  <si>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</si>
  <si>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</si>
  <si>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</si>
  <si>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</si>
  <si>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</si>
  <si>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</si>
  <si>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</si>
  <si>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</si>
  <si>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</si>
  <si>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</si>
  <si>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</si>
  <si>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</si>
  <si>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</si>
  <si>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</si>
  <si>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</si>
  <si>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</si>
  <si>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</si>
  <si>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</si>
  <si>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</si>
  <si>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</si>
  <si>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</si>
  <si>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</si>
  <si>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</si>
  <si>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</si>
  <si>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</si>
  <si>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</si>
  <si>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</si>
  <si>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</si>
  <si>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</si>
  <si>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</si>
  <si>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</si>
  <si>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</si>
  <si>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</si>
  <si>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</si>
  <si>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</si>
  <si>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</si>
  <si>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</si>
  <si>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</si>
  <si>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</si>
  <si>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</si>
  <si>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</si>
  <si>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</si>
  <si>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</si>
  <si>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</si>
  <si>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</si>
  <si>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</si>
  <si>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</si>
  <si>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</si>
  <si>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</si>
  <si>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</si>
  <si>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</si>
  <si>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</si>
  <si>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</si>
  <si>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</si>
  <si>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</si>
  <si>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</si>
  <si>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</si>
  <si>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</si>
  <si>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</si>
  <si>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</si>
  <si>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</si>
  <si>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</si>
  <si>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</si>
  <si>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</si>
  <si>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</si>
  <si>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</si>
  <si>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</si>
  <si>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</si>
  <si>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</si>
  <si>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</si>
  <si>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</si>
  <si>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</si>
  <si>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</si>
  <si>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</si>
  <si>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</si>
  <si>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</si>
  <si>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</si>
  <si>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</si>
  <si>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</si>
  <si>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</si>
  <si>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</si>
  <si>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</si>
  <si>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</si>
  <si>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</si>
  <si>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</si>
  <si>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</si>
  <si>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</si>
  <si>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</si>
  <si>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</si>
  <si>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</si>
  <si>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</si>
  <si>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</si>
  <si>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</si>
  <si>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</si>
  <si>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</si>
  <si>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</si>
  <si>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</si>
  <si>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</si>
  <si>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</si>
  <si>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</si>
  <si>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</si>
  <si>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</si>
  <si>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</si>
  <si>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</si>
  <si>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</si>
  <si>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</si>
  <si>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</si>
  <si>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</si>
  <si>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</si>
  <si>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</si>
  <si>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</si>
  <si>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</si>
  <si>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</si>
  <si>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</si>
  <si>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</si>
  <si>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</si>
  <si>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</si>
  <si>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</si>
  <si>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</si>
  <si>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</si>
  <si>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</si>
  <si>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</si>
  <si>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</si>
  <si>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</si>
  <si>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</si>
  <si>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</si>
  <si>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</si>
  <si>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</si>
  <si>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</si>
  <si>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</si>
  <si>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</si>
  <si>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</si>
  <si>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</si>
  <si>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</si>
  <si>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</si>
  <si>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</si>
  <si>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</si>
  <si>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</si>
  <si>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</si>
  <si>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</si>
  <si>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</si>
  <si>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</si>
  <si>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</si>
  <si>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</si>
  <si>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</si>
  <si>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</si>
  <si>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</si>
  <si>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</si>
  <si>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</si>
  <si>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</si>
  <si>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</si>
  <si>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</si>
  <si>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</si>
  <si>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</si>
  <si>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</si>
  <si>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</si>
  <si>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</si>
  <si>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</si>
  <si>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</si>
  <si>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</si>
  <si>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</si>
  <si>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</si>
  <si>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</si>
  <si>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</si>
  <si>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</si>
  <si>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</si>
  <si>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</si>
  <si>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</si>
  <si>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</si>
  <si>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</si>
  <si>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</si>
  <si>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</si>
  <si>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</si>
  <si>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</si>
  <si>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</si>
  <si>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</si>
  <si>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</si>
  <si>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</si>
  <si>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</si>
  <si>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</si>
  <si>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</si>
  <si>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</si>
  <si>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</si>
  <si>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</si>
  <si>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</si>
  <si>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</si>
  <si>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</si>
  <si>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</si>
  <si>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</si>
  <si>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</si>
  <si>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</si>
  <si>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</si>
  <si>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</si>
  <si>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</si>
  <si>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</si>
  <si>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</si>
  <si>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</si>
  <si>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</si>
  <si>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</si>
  <si>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</si>
  <si>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</si>
  <si>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</si>
  <si>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</si>
  <si>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</si>
  <si>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</si>
  <si>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</si>
  <si>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</si>
  <si>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</si>
  <si>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</si>
  <si>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</si>
  <si>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</si>
  <si>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</si>
  <si>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</si>
  <si>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</si>
  <si>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</si>
  <si>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</si>
  <si>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</si>
  <si>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</si>
  <si>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</si>
  <si>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</si>
  <si>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</si>
  <si>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</si>
  <si>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</si>
  <si>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</si>
  <si>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</si>
  <si>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</si>
  <si>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</si>
  <si>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</si>
  <si>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</si>
  <si>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</si>
  <si>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</si>
  <si>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</si>
  <si>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</si>
  <si>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</si>
  <si>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</si>
  <si>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</si>
  <si>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</si>
  <si>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</si>
  <si>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</si>
  <si>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</si>
  <si>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</si>
  <si>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</si>
  <si>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</si>
  <si>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</si>
  <si>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</si>
  <si>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</si>
  <si>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</si>
  <si>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</si>
  <si>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</si>
  <si>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</si>
  <si>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</si>
  <si>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</si>
  <si>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</si>
  <si>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</si>
  <si>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</si>
  <si>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</si>
  <si>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</si>
  <si>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</si>
  <si>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</si>
  <si>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</si>
  <si>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</si>
  <si>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</si>
  <si>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</si>
  <si>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</si>
  <si>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</si>
  <si>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</si>
  <si>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</si>
  <si>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</si>
  <si>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</si>
  <si>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</si>
  <si>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</si>
  <si>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</si>
  <si>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</si>
  <si>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</si>
  <si>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</si>
  <si>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</si>
  <si>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</si>
  <si>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</si>
  <si>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</si>
  <si>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</si>
  <si>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</si>
  <si>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</si>
  <si>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</si>
  <si>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</si>
  <si>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</si>
  <si>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</si>
  <si>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</si>
  <si>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</si>
  <si>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</si>
  <si>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</si>
  <si>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</si>
  <si>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</si>
  <si>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</si>
  <si>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</si>
  <si>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</si>
  <si>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</si>
  <si>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</si>
  <si>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</si>
  <si>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</si>
  <si>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</si>
  <si>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</si>
  <si>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</si>
  <si>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</si>
  <si>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</si>
  <si>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</si>
  <si>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</si>
  <si>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</si>
  <si>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</si>
  <si>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</si>
  <si>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</si>
  <si>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</si>
  <si>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</si>
  <si>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</si>
  <si>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</si>
  <si>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</si>
  <si>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</si>
  <si>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</si>
  <si>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</si>
  <si>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</si>
  <si>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</si>
  <si>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</si>
  <si>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</si>
  <si>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</si>
  <si>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</si>
  <si>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</si>
  <si>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</si>
  <si>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</si>
  <si>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</si>
  <si>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</si>
  <si>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</si>
  <si>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</si>
  <si>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</si>
  <si>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</si>
  <si>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</si>
  <si>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</si>
  <si>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</si>
  <si>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</si>
  <si>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</si>
  <si>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</si>
  <si>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</si>
  <si>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</si>
  <si>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</si>
  <si>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</si>
  <si>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</si>
  <si>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</si>
  <si>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</si>
  <si>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</si>
  <si>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</si>
  <si>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</si>
  <si>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</si>
  <si>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</si>
  <si>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</si>
  <si>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</si>
  <si>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</si>
  <si>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</si>
  <si>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</si>
  <si>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</si>
  <si>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</si>
  <si>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</si>
  <si>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</si>
  <si>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</si>
  <si>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</si>
  <si>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</si>
  <si>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</si>
  <si>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</si>
  <si>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</si>
  <si>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</si>
  <si>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</si>
  <si>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</si>
  <si>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</si>
  <si>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</si>
  <si>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</si>
  <si>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</si>
  <si>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</si>
  <si>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</si>
  <si>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</si>
  <si>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</si>
  <si>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</si>
  <si>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</si>
  <si>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</si>
  <si>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</si>
  <si>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</si>
  <si>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</si>
  <si>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</si>
  <si>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</si>
  <si>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</si>
  <si>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</si>
  <si>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</si>
  <si>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</si>
  <si>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</si>
  <si>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</si>
  <si>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</si>
  <si>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</si>
  <si>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</si>
  <si>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</si>
  <si>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</si>
  <si>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</si>
  <si>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</si>
  <si>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</si>
  <si>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</si>
  <si>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</si>
  <si>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</si>
  <si>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</si>
  <si>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</si>
  <si>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</si>
  <si>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</si>
  <si>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</si>
  <si>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</si>
  <si>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</si>
  <si>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</si>
  <si>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</si>
  <si>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</si>
  <si>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</si>
  <si>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</si>
  <si>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</si>
  <si>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</si>
  <si>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</si>
  <si>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</si>
  <si>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</si>
  <si>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</si>
  <si>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</si>
  <si>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</si>
  <si>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</si>
  <si>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</si>
  <si>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</si>
  <si>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</si>
  <si>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</si>
  <si>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</si>
  <si>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</si>
  <si>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</si>
  <si>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</si>
  <si>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</si>
  <si>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</si>
  <si>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</si>
  <si>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</si>
  <si>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</si>
  <si>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</si>
  <si>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</si>
  <si>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</si>
  <si>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</si>
  <si>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</si>
  <si>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</si>
  <si>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</si>
  <si>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</si>
  <si>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</si>
  <si>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</si>
  <si>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</si>
  <si>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</si>
  <si>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</si>
  <si>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</si>
  <si>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</si>
  <si>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</si>
  <si>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</si>
  <si>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</si>
  <si>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</si>
  <si>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</si>
  <si>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</si>
  <si>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</si>
  <si>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</si>
  <si>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</si>
  <si>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</si>
  <si>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</si>
  <si>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</si>
  <si>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</si>
  <si>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</si>
  <si>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</si>
  <si>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</si>
  <si>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</si>
  <si>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</si>
  <si>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</si>
  <si>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</si>
  <si>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</si>
  <si>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</si>
  <si>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</si>
  <si>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</si>
  <si>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</si>
  <si>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</si>
  <si>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</si>
  <si>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</si>
  <si>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</si>
  <si>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</si>
  <si>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</si>
  <si>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</si>
  <si>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</si>
  <si>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</si>
  <si>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</si>
  <si>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</si>
  <si>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</si>
  <si>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</si>
  <si>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</si>
  <si>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</si>
  <si>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</si>
  <si>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</si>
  <si>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</si>
  <si>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</si>
  <si>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</si>
  <si>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</si>
  <si>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</si>
  <si>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</si>
  <si>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</si>
  <si>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</si>
  <si>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</si>
  <si>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</si>
  <si>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</si>
  <si>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</si>
  <si>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</si>
  <si>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</si>
  <si>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</si>
  <si>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</si>
  <si>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</si>
  <si>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</si>
  <si>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</si>
  <si>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</si>
  <si>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</si>
  <si>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</si>
  <si>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</si>
  <si>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</si>
  <si>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</si>
  <si>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</si>
  <si>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</si>
  <si>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</si>
  <si>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</si>
  <si>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</si>
  <si>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</si>
  <si>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</si>
  <si>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</si>
  <si>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</si>
  <si>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</si>
  <si>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</si>
  <si>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</si>
  <si>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</si>
  <si>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</si>
  <si>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</si>
  <si>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</si>
  <si>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</si>
  <si>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</si>
  <si>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</si>
  <si>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</si>
  <si>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</si>
  <si>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</si>
  <si>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</si>
  <si>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</si>
  <si>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</si>
  <si>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</si>
  <si>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</si>
  <si>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</si>
  <si>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</si>
  <si>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</si>
  <si>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</si>
  <si>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</si>
  <si>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</si>
  <si>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</si>
  <si>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</si>
  <si>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</si>
  <si>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</si>
  <si>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</si>
  <si>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</si>
  <si>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</si>
  <si>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</si>
  <si>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</si>
  <si>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</si>
  <si>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</si>
  <si>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</si>
  <si>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</si>
  <si>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</si>
  <si>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</si>
  <si>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</si>
  <si>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</si>
  <si>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</si>
  <si>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</si>
  <si>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</si>
  <si>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</si>
  <si>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</si>
  <si>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</si>
  <si>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</si>
  <si>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</si>
  <si>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</si>
  <si>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</si>
  <si>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</si>
  <si>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</si>
  <si>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</si>
  <si>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</si>
  <si>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</si>
  <si>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</si>
  <si>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</si>
  <si>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</si>
  <si>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</si>
  <si>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</si>
  <si>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</si>
  <si>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</si>
  <si>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</si>
  <si>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</si>
  <si>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</si>
  <si>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</si>
  <si>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</si>
  <si>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</si>
  <si>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</si>
  <si>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</si>
  <si>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</si>
  <si>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</si>
  <si>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</si>
  <si>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</si>
  <si>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</si>
  <si>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</si>
  <si>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</si>
  <si>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</si>
  <si>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</si>
  <si>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</si>
  <si>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</si>
  <si>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</si>
  <si>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</si>
  <si>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</si>
  <si>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</si>
  <si>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</si>
  <si>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</si>
  <si>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</si>
  <si>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</si>
  <si>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</si>
  <si>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</si>
  <si>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</si>
  <si>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</si>
  <si>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</si>
  <si>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</si>
  <si>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</si>
  <si>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</si>
  <si>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</si>
  <si>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</si>
  <si>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</si>
  <si>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</si>
  <si>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</si>
  <si>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</si>
  <si>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</si>
  <si>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</si>
  <si>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</si>
  <si>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</si>
  <si>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</si>
  <si>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</si>
  <si>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</si>
  <si>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</si>
  <si>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</si>
  <si>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</si>
  <si>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</si>
  <si>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</si>
  <si>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</si>
  <si>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</si>
  <si>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</si>
  <si>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</si>
  <si>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</si>
  <si>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</si>
  <si>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</si>
  <si>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</si>
  <si>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</si>
  <si>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</si>
  <si>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</si>
  <si>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</si>
  <si>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</si>
  <si>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</si>
  <si>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</si>
  <si>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</si>
  <si>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</si>
  <si>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</si>
  <si>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</si>
  <si>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</si>
  <si>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</si>
  <si>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</si>
  <si>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</si>
  <si>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</si>
  <si>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</si>
  <si>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</si>
  <si>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</si>
  <si>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</si>
  <si>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</si>
  <si>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</si>
  <si>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</si>
  <si>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</si>
  <si>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</si>
  <si>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</si>
  <si>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</si>
  <si>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</si>
  <si>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</si>
  <si>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</si>
  <si>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</si>
  <si>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</si>
  <si>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</si>
  <si>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</si>
  <si>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</si>
  <si>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</si>
  <si>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</si>
  <si>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</si>
  <si>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</si>
  <si>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</si>
  <si>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</si>
  <si>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</si>
  <si>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</si>
  <si>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</si>
  <si>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</si>
  <si>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</si>
  <si>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</si>
  <si>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</si>
  <si>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</si>
  <si>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</si>
  <si>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</si>
  <si>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</si>
  <si>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</si>
  <si>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</si>
  <si>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</si>
  <si>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</si>
  <si>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</si>
  <si>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</si>
  <si>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</si>
  <si>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</si>
  <si>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</si>
  <si>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</si>
  <si>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</si>
  <si>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</si>
  <si>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</si>
  <si>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</si>
  <si>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</si>
  <si>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</si>
  <si>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</si>
  <si>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</si>
  <si>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</si>
  <si>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</si>
  <si>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</si>
  <si>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</si>
  <si>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</si>
  <si>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</si>
  <si>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</si>
  <si>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</si>
  <si>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</si>
  <si>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</si>
  <si>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</si>
  <si>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</si>
  <si>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</si>
  <si>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</si>
  <si>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</si>
  <si>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</si>
  <si>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</si>
  <si>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</si>
  <si>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</si>
  <si>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</si>
  <si>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</si>
  <si>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</si>
  <si>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</si>
  <si>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</si>
  <si>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</si>
  <si>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</si>
  <si>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</si>
  <si>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</si>
  <si>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</si>
  <si>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</si>
  <si>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</si>
  <si>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</si>
  <si>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</si>
  <si>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</si>
  <si>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</si>
  <si>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</si>
  <si>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</si>
  <si>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</si>
  <si>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</si>
  <si>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</si>
  <si>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</si>
  <si>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</si>
  <si>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</si>
  <si>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</si>
  <si>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</si>
  <si>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</si>
  <si>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</si>
  <si>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</si>
  <si>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</si>
  <si>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</si>
  <si>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</si>
  <si>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</si>
  <si>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</si>
  <si>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</si>
  <si>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</si>
  <si>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</si>
  <si>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</si>
  <si>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</si>
  <si>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</si>
  <si>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</si>
  <si>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</si>
  <si>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</si>
  <si>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</si>
  <si>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</si>
  <si>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</si>
  <si>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</si>
  <si>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</si>
  <si>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</si>
  <si>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</si>
  <si>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</si>
  <si>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</si>
  <si>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</si>
  <si>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</si>
  <si>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</si>
  <si>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</si>
  <si>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</si>
  <si>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</si>
  <si>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</si>
  <si>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</si>
  <si>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</si>
  <si>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</si>
  <si>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</si>
  <si>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</si>
  <si>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</si>
  <si>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</si>
  <si>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</si>
  <si>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</si>
  <si>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</si>
  <si>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</si>
  <si>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</si>
  <si>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</si>
  <si>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</si>
  <si>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</si>
  <si>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</si>
  <si>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</si>
  <si>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</si>
  <si>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</si>
  <si>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</si>
  <si>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</si>
  <si>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</si>
  <si>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</si>
  <si>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</si>
  <si>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</si>
  <si>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</si>
  <si>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</si>
  <si>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</si>
  <si>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</si>
  <si>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</si>
  <si>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</si>
  <si>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</si>
  <si>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</si>
  <si>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</si>
  <si>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</si>
  <si>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</si>
  <si>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</si>
  <si>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</si>
  <si>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</si>
  <si>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</si>
  <si>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</si>
  <si>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</si>
  <si>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</si>
  <si>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</si>
  <si>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</si>
  <si>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</si>
  <si>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</si>
  <si>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</si>
  <si>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</si>
  <si>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</si>
  <si>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</si>
  <si>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</si>
  <si>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</si>
  <si>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</si>
  <si>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</si>
  <si>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</si>
  <si>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</si>
  <si>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</si>
  <si>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</si>
  <si>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</si>
  <si>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</si>
  <si>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</si>
  <si>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</si>
  <si>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</si>
  <si>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</si>
  <si>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</si>
  <si>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</si>
  <si>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</si>
  <si>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</si>
  <si>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</si>
  <si>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</si>
  <si>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</si>
  <si>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</si>
  <si>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</si>
  <si>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</si>
  <si>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</si>
  <si>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</si>
  <si>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</si>
  <si>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</si>
  <si>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</si>
  <si>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</si>
  <si>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</si>
  <si>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</si>
  <si>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</si>
  <si>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</si>
  <si>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</si>
  <si>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</si>
  <si>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</si>
  <si>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</si>
  <si>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</si>
  <si>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</si>
  <si>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</si>
  <si>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</si>
  <si>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</si>
  <si>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</si>
  <si>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</si>
  <si>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</si>
  <si>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</si>
  <si>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</si>
  <si>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</si>
  <si>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</si>
  <si>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</si>
  <si>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</si>
  <si>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</si>
  <si>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</si>
  <si>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</si>
  <si>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</si>
  <si>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</si>
  <si>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</si>
  <si>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</si>
  <si>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</si>
  <si>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</si>
  <si>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</si>
  <si>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</si>
  <si>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</si>
  <si>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</si>
  <si>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</si>
  <si>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</si>
  <si>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</si>
  <si>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</si>
  <si>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</si>
  <si>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</si>
  <si>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</si>
  <si>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</si>
  <si>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</si>
  <si>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</si>
  <si>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</si>
  <si>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</si>
  <si>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</si>
  <si>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</si>
  <si>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</si>
  <si>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</si>
  <si>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</si>
  <si>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</si>
  <si>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</si>
  <si>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</si>
  <si>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</si>
  <si>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</si>
  <si>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</si>
  <si>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</si>
  <si>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</si>
  <si>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</si>
  <si>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</si>
  <si>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</si>
  <si>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</si>
  <si>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</si>
  <si>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</si>
  <si>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</si>
  <si>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</si>
  <si>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</si>
  <si>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</si>
  <si>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</si>
  <si>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</si>
  <si>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</si>
  <si>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</si>
  <si>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</si>
  <si>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</si>
  <si>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</si>
  <si>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</si>
  <si>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</si>
  <si>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</si>
  <si>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</si>
  <si>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</si>
  <si>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</si>
  <si>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</si>
  <si>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</si>
  <si>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</si>
  <si>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</si>
  <si>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</si>
  <si>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</si>
  <si>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</si>
  <si>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</si>
  <si>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</si>
  <si>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</si>
  <si>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</si>
  <si>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</si>
  <si>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</si>
  <si>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</si>
  <si>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</si>
  <si>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</si>
  <si>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</si>
  <si>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</si>
  <si>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</si>
  <si>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</si>
  <si>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</si>
  <si>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</si>
  <si>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</si>
  <si>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</si>
  <si>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</si>
  <si>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</si>
  <si>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</si>
  <si>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</si>
  <si>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</si>
  <si>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</si>
  <si>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</si>
  <si>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</si>
  <si>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</si>
  <si>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</si>
  <si>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</si>
  <si>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</si>
  <si>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</si>
  <si>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</si>
  <si>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</si>
  <si>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</si>
  <si>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</si>
  <si>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</si>
  <si>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</si>
  <si>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</si>
  <si>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</si>
  <si>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</si>
  <si>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</si>
  <si>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</si>
  <si>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</si>
  <si>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</si>
  <si>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</si>
  <si>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</si>
  <si>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</si>
  <si>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</si>
  <si>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</si>
  <si>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</si>
  <si>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</si>
  <si>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</si>
  <si>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</si>
  <si>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</si>
  <si>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</si>
  <si>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</si>
  <si>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</si>
  <si>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</si>
  <si>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</si>
  <si>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</si>
  <si>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</si>
  <si>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</si>
  <si>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</si>
  <si>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</si>
  <si>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</si>
  <si>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</si>
  <si>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</si>
  <si>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</si>
  <si>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</si>
  <si>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</si>
  <si>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</si>
  <si>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</si>
  <si>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</si>
  <si>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</si>
  <si>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</si>
  <si>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</si>
  <si>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</si>
  <si>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</si>
  <si>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</si>
  <si>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</si>
  <si>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</si>
  <si>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</si>
  <si>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</si>
  <si>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</si>
  <si>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</si>
  <si>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</si>
  <si>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</si>
  <si>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</si>
  <si>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</si>
  <si>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</si>
  <si>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</si>
  <si>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</si>
  <si>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</si>
  <si>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</si>
  <si>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</si>
  <si>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</si>
  <si>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</si>
  <si>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</si>
  <si>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</si>
  <si>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</si>
  <si>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</si>
  <si>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</si>
  <si>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</si>
  <si>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</si>
  <si>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</si>
  <si>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</si>
  <si>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</si>
  <si>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</si>
  <si>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</si>
  <si>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</si>
  <si>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</si>
  <si>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</si>
  <si>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</si>
  <si>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</si>
  <si>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</si>
  <si>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</si>
  <si>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</si>
  <si>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</si>
  <si>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</si>
  <si>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</si>
  <si>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</si>
  <si>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</si>
  <si>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</si>
  <si>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</si>
  <si>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</si>
  <si>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</si>
  <si>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</si>
  <si>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</si>
  <si>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</si>
  <si>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</si>
  <si>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</si>
  <si>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</si>
  <si>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</si>
  <si>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</si>
  <si>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</si>
  <si>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</si>
  <si>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</si>
  <si>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</si>
  <si>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</si>
  <si>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</si>
  <si>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</si>
  <si>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</si>
  <si>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</si>
  <si>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</si>
  <si>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</si>
  <si>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</si>
  <si>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</si>
  <si>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</si>
  <si>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</si>
  <si>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</si>
  <si>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</si>
  <si>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</si>
  <si>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</si>
  <si>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</si>
  <si>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</si>
  <si>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</si>
  <si>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</si>
  <si>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</si>
  <si>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</si>
  <si>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</si>
  <si>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</si>
  <si>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</si>
  <si>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</si>
  <si>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</si>
  <si>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</si>
  <si>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</si>
  <si>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</si>
  <si>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</si>
  <si>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</si>
  <si>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</si>
  <si>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</si>
  <si>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</si>
  <si>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</si>
  <si>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</si>
  <si>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</si>
  <si>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</si>
  <si>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</si>
  <si>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</si>
  <si>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</si>
  <si>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</si>
  <si>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</si>
  <si>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</si>
  <si>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</si>
  <si>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</si>
  <si>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</si>
  <si>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</si>
  <si>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</si>
  <si>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</si>
  <si>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</si>
  <si>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</si>
  <si>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</si>
  <si>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</si>
  <si>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</si>
  <si>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</si>
  <si>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</si>
  <si>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</si>
  <si>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</si>
  <si>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</si>
  <si>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</si>
  <si>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</si>
  <si>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</si>
  <si>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</si>
  <si>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</si>
  <si>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</si>
  <si>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</si>
  <si>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</si>
  <si>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</si>
  <si>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</si>
  <si>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</si>
  <si>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</si>
  <si>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</si>
  <si>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</si>
  <si>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</si>
  <si>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</si>
  <si>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</si>
  <si>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</si>
  <si>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</si>
  <si>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</si>
  <si>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</si>
  <si>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</si>
  <si>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</si>
  <si>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</si>
  <si>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</si>
  <si>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</si>
  <si>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</si>
  <si>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</si>
  <si>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</si>
  <si>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</si>
  <si>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</si>
  <si>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</si>
  <si>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</si>
  <si>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</si>
  <si>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</si>
  <si>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</si>
  <si>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</si>
  <si>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</si>
  <si>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</si>
  <si>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</si>
  <si>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</si>
  <si>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</si>
  <si>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</si>
  <si>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</si>
  <si>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</si>
  <si>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</si>
  <si>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</si>
  <si>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</si>
  <si>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</si>
  <si>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</si>
  <si>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</si>
  <si>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</si>
  <si>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</si>
  <si>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</si>
  <si>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</si>
  <si>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</si>
  <si>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</si>
  <si>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</si>
  <si>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</si>
  <si>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</si>
  <si>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</si>
  <si>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</si>
  <si>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</si>
  <si>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</si>
  <si>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</si>
  <si>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</si>
  <si>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</si>
  <si>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</si>
  <si>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</si>
  <si>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</si>
  <si>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</si>
  <si>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</si>
  <si>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</si>
  <si>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</si>
  <si>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</si>
  <si>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</si>
  <si>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</si>
  <si>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</si>
  <si>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</si>
  <si>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</si>
  <si>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</si>
  <si>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</si>
  <si>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</si>
  <si>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</si>
  <si>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</si>
  <si>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</si>
  <si>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</si>
  <si>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</si>
  <si>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</si>
  <si>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</si>
  <si>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</si>
  <si>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</si>
  <si>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</si>
  <si>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</si>
  <si>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</si>
  <si>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</si>
  <si>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</si>
  <si>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</si>
  <si>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</si>
  <si>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</si>
  <si>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</si>
  <si>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</si>
  <si>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</si>
  <si>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</si>
  <si>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</si>
  <si>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</si>
  <si>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</si>
  <si>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</si>
  <si>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</si>
  <si>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</si>
  <si>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</si>
  <si>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</si>
  <si>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</si>
  <si>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</si>
  <si>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</si>
  <si>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</si>
  <si>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</si>
  <si>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</si>
  <si>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</si>
  <si>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</si>
  <si>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</si>
  <si>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</si>
  <si>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</si>
  <si>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</si>
  <si>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</si>
  <si>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</si>
  <si>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</si>
  <si>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</si>
  <si>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</si>
  <si>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</si>
  <si>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</si>
  <si>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</si>
  <si>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</si>
  <si>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</si>
  <si>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</si>
  <si>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</si>
  <si>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</si>
  <si>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</si>
  <si>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</si>
  <si>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</si>
  <si>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</si>
  <si>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</si>
  <si>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</si>
  <si>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</si>
  <si>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</si>
  <si>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</si>
  <si>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</si>
  <si>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</si>
  <si>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</si>
  <si>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</si>
  <si>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</si>
  <si>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</si>
  <si>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</si>
  <si>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</si>
  <si>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</si>
  <si>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</si>
  <si>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</si>
  <si>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</si>
  <si>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</si>
  <si>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</si>
  <si>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</si>
  <si>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</si>
  <si>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</si>
  <si>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</si>
  <si>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</si>
  <si>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</si>
  <si>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</si>
  <si>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</si>
  <si>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</si>
  <si>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</si>
  <si>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</si>
  <si>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</si>
  <si>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</si>
  <si>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</si>
  <si>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</si>
  <si>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</si>
  <si>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</si>
  <si>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</si>
  <si>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</si>
  <si>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</si>
  <si>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</si>
  <si>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</si>
  <si>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</si>
  <si>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</si>
  <si>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</si>
  <si>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</si>
  <si>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</si>
  <si>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</si>
  <si>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</si>
  <si>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</si>
  <si>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</si>
  <si>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</si>
  <si>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</si>
  <si>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</si>
  <si>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</si>
  <si>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</si>
  <si>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</si>
  <si>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</si>
  <si>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</si>
  <si>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</si>
  <si>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</si>
  <si>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</si>
  <si>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</si>
  <si>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</si>
  <si>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</si>
  <si>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</si>
  <si>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</si>
  <si>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</si>
  <si>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</si>
  <si>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</si>
  <si>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</si>
  <si>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</si>
  <si>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</si>
  <si>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</si>
  <si>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</si>
  <si>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</si>
  <si>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</si>
  <si>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</si>
  <si>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</si>
  <si>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</si>
  <si>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</si>
  <si>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</si>
  <si>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</si>
  <si>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</si>
  <si>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</si>
  <si>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</si>
  <si>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</si>
  <si>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</si>
  <si>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</si>
  <si>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</si>
  <si>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</si>
  <si>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</si>
  <si>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</si>
  <si>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</si>
  <si>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</si>
  <si>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</si>
  <si>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</si>
  <si>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</si>
  <si>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</si>
  <si>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</si>
  <si>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</si>
  <si>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</si>
  <si>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</si>
  <si>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</si>
  <si>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</si>
  <si>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</si>
  <si>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</si>
  <si>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</si>
  <si>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</si>
  <si>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</si>
  <si>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</si>
  <si>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</si>
  <si>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</si>
  <si>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</si>
  <si>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</si>
  <si>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</si>
  <si>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</si>
  <si>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</si>
  <si>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</si>
  <si>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</si>
  <si>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</si>
  <si>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</si>
  <si>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</si>
  <si>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</si>
  <si>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</si>
  <si>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</si>
  <si>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</si>
  <si>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</si>
  <si>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</si>
  <si>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</si>
  <si>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</si>
  <si>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</si>
  <si>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</si>
  <si>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</si>
  <si>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</si>
  <si>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</si>
  <si>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</si>
  <si>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</si>
  <si>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</si>
  <si>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</si>
  <si>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</si>
  <si>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</si>
  <si>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</si>
  <si>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</si>
  <si>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</si>
  <si>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</si>
  <si>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</si>
  <si>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</si>
  <si>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</si>
  <si>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</si>
  <si>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</si>
  <si>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</si>
  <si>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</si>
  <si>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</si>
  <si>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</si>
  <si>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</si>
  <si>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</si>
  <si>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</si>
  <si>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</si>
  <si>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</si>
  <si>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</si>
  <si>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</si>
  <si>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</si>
  <si>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</si>
  <si>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</si>
  <si>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</si>
  <si>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</si>
  <si>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</si>
  <si>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</si>
  <si>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</si>
  <si>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</si>
  <si>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</si>
  <si>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</si>
  <si>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</si>
  <si>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</si>
  <si>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</si>
  <si>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</si>
  <si>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</si>
  <si>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</si>
  <si>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</si>
  <si>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</si>
  <si>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</si>
  <si>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</si>
  <si>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</si>
  <si>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</si>
  <si>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</si>
  <si>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</si>
  <si>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</si>
  <si>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</si>
  <si>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</si>
  <si>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</si>
  <si>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</si>
  <si>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</si>
  <si>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</si>
  <si>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</si>
  <si>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</si>
  <si>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</si>
  <si>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</si>
  <si>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</si>
  <si>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</si>
  <si>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</si>
  <si>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</si>
  <si>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</si>
  <si>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</si>
  <si>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</si>
  <si>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</si>
  <si>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</si>
  <si>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</si>
  <si>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</si>
  <si>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</si>
  <si>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</si>
  <si>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</si>
  <si>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</si>
  <si>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</si>
  <si>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</si>
  <si>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</si>
  <si>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</si>
  <si>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</si>
  <si>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</si>
  <si>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</si>
  <si>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</si>
  <si>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</si>
  <si>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</si>
  <si>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</si>
  <si>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</si>
  <si>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</si>
  <si>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</si>
  <si>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</si>
  <si>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</si>
  <si>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</si>
  <si>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</si>
  <si>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</si>
  <si>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</si>
  <si>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</si>
  <si>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</si>
  <si>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</si>
  <si>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</si>
  <si>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</si>
  <si>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</si>
  <si>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</si>
  <si>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</si>
  <si>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</si>
  <si>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</si>
  <si>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</si>
  <si>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</si>
  <si>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</si>
  <si>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</si>
  <si>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</si>
  <si>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</si>
  <si>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</si>
  <si>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</si>
  <si>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</si>
  <si>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</si>
  <si>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</si>
  <si>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</si>
  <si>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</si>
  <si>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</si>
  <si>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</si>
  <si>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</si>
  <si>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</si>
  <si>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</si>
  <si>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</si>
  <si>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</si>
  <si>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</si>
  <si>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</si>
  <si>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</si>
  <si>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</si>
  <si>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</si>
  <si>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</si>
  <si>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</si>
  <si>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</si>
  <si>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</si>
  <si>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</si>
  <si>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</si>
  <si>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</si>
  <si>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</si>
  <si>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</si>
  <si>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</si>
  <si>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</si>
  <si>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</si>
  <si>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</si>
  <si>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</si>
  <si>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</si>
  <si>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</si>
  <si>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</si>
  <si>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</si>
  <si>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</si>
  <si>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</si>
  <si>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</si>
  <si>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</si>
  <si>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</si>
  <si>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</si>
  <si>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</si>
  <si>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</si>
  <si>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</si>
  <si>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</si>
  <si>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</si>
  <si>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</si>
  <si>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</si>
  <si>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</si>
  <si>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</si>
  <si>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</si>
  <si>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</si>
  <si>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</si>
  <si>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</si>
  <si>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</si>
  <si>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</si>
  <si>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</si>
  <si>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</si>
  <si>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</si>
  <si>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</si>
  <si>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</si>
  <si>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</si>
  <si>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</si>
  <si>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</si>
  <si>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</si>
  <si>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</si>
  <si>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</si>
  <si>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</si>
  <si>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</si>
  <si>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</si>
  <si>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</si>
  <si>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</si>
  <si>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</si>
  <si>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</si>
  <si>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</si>
  <si>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</si>
  <si>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</si>
  <si>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</si>
  <si>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</si>
  <si>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</si>
  <si>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</si>
  <si>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</si>
  <si>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</si>
  <si>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</si>
  <si>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</si>
  <si>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</si>
  <si>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</si>
  <si>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</si>
  <si>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</si>
  <si>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</si>
  <si>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</si>
  <si>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</si>
  <si>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</si>
  <si>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</si>
  <si>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</si>
  <si>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</si>
  <si>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</si>
  <si>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</si>
  <si>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</si>
  <si>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</si>
  <si>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</si>
  <si>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</si>
  <si>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</si>
  <si>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</si>
  <si>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</si>
  <si>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</si>
  <si>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</si>
  <si>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</si>
  <si>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</si>
  <si>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</si>
  <si>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</si>
  <si>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</si>
  <si>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</si>
  <si>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</si>
  <si>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</si>
  <si>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</si>
  <si>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</si>
  <si>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</si>
  <si>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</si>
  <si>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</si>
  <si>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</si>
  <si>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</si>
  <si>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</si>
  <si>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</si>
  <si>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</si>
  <si>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</si>
  <si>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</si>
  <si>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</si>
  <si>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</si>
  <si>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</si>
  <si>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</si>
  <si>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</si>
  <si>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</si>
  <si>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</si>
  <si>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</si>
  <si>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</si>
  <si>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</si>
  <si>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</si>
  <si>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</si>
  <si>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</si>
  <si>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</si>
  <si>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</si>
  <si>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</si>
  <si>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</si>
  <si>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</si>
  <si>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</si>
  <si>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</si>
  <si>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</si>
  <si>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</si>
  <si>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</si>
  <si>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</si>
  <si>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</si>
  <si>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</si>
  <si>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</si>
  <si>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</si>
  <si>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</si>
  <si>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</si>
  <si>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</si>
  <si>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</si>
  <si>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</si>
  <si>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</si>
  <si>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</si>
  <si>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</si>
  <si>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</si>
  <si>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</si>
  <si>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</si>
  <si>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</si>
  <si>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</si>
  <si>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</si>
  <si>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</si>
  <si>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</si>
  <si>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</si>
  <si>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</si>
  <si>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</si>
  <si>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</si>
  <si>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</si>
  <si>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</si>
  <si>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</si>
  <si>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</si>
  <si>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</si>
  <si>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</si>
  <si>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</si>
  <si>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</si>
  <si>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</si>
  <si>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</si>
  <si>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</si>
  <si>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</si>
  <si>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</si>
  <si>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</si>
  <si>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</si>
  <si>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</si>
  <si>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</si>
  <si>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</si>
  <si>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</si>
  <si>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</si>
  <si>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</si>
  <si>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</si>
  <si>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</si>
  <si>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</si>
  <si>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</si>
  <si>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</si>
  <si>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</si>
  <si>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</si>
  <si>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</si>
  <si>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</si>
  <si>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</si>
  <si>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</si>
  <si>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</si>
  <si>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</si>
  <si>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</si>
  <si>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</si>
  <si>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</si>
  <si>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</si>
  <si>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</si>
  <si>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</si>
  <si>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</si>
  <si>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</si>
  <si>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</si>
  <si>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</si>
  <si>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</si>
  <si>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</si>
  <si>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</si>
  <si>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</si>
  <si>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</si>
  <si>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</si>
  <si>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</si>
  <si>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</si>
  <si>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</si>
  <si>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</si>
  <si>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</si>
  <si>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</si>
  <si>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</si>
  <si>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</si>
  <si>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</si>
  <si>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</si>
  <si>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</si>
  <si>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</si>
  <si>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</si>
  <si>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</si>
  <si>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</si>
  <si>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</si>
  <si>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</si>
  <si>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</si>
  <si>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</si>
  <si>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</si>
  <si>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</si>
  <si>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</si>
  <si>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</si>
  <si>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</si>
  <si>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</si>
  <si>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</si>
  <si>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</si>
  <si>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</si>
  <si>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</si>
  <si>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</si>
  <si>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</si>
  <si>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</si>
  <si>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</si>
  <si>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</si>
  <si>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</si>
  <si>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</si>
  <si>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</si>
  <si>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</si>
  <si>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</si>
  <si>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</si>
  <si>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</si>
  <si>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</si>
  <si>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</si>
  <si>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</si>
  <si>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</si>
  <si>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</si>
  <si>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</si>
  <si>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</si>
  <si>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</si>
  <si>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</si>
  <si>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</si>
  <si>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</si>
  <si>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</si>
  <si>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</si>
  <si>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</si>
  <si>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</si>
  <si>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</si>
  <si>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</si>
  <si>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</si>
  <si>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</si>
  <si>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</si>
  <si>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</si>
  <si>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</si>
  <si>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</si>
  <si>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</si>
  <si>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</si>
  <si>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</si>
  <si>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</si>
  <si>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</si>
  <si>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</si>
  <si>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</si>
  <si>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</si>
  <si>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</si>
  <si>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</si>
  <si>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</si>
  <si>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</si>
  <si>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</si>
  <si>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</si>
  <si>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</si>
  <si>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</si>
  <si>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</si>
  <si>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</si>
  <si>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</si>
  <si>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</si>
  <si>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</si>
  <si>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</si>
  <si>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</si>
  <si>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</si>
  <si>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</si>
  <si>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</si>
  <si>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</si>
  <si>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</si>
  <si>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</si>
  <si>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</si>
  <si>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</si>
  <si>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</si>
  <si>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</si>
  <si>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</si>
  <si>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</si>
  <si>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</si>
  <si>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</si>
  <si>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</si>
  <si>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</si>
  <si>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</si>
  <si>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</si>
  <si>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</si>
  <si>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</si>
  <si>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</si>
  <si>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</si>
  <si>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</si>
  <si>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</si>
  <si>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</si>
  <si>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</si>
  <si>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</si>
  <si>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</si>
  <si>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</si>
  <si>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</si>
  <si>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</si>
  <si>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</si>
  <si>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</si>
  <si>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</si>
  <si>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</si>
  <si>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</si>
  <si>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</si>
  <si>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</si>
  <si>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</si>
  <si>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</si>
  <si>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</si>
  <si>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</si>
  <si>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</si>
  <si>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</si>
  <si>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</si>
  <si>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</si>
  <si>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</si>
  <si>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</si>
  <si>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</si>
  <si>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</si>
  <si>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</si>
  <si>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</si>
  <si>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</si>
  <si>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</si>
  <si>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</si>
  <si>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</si>
  <si>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</si>
  <si>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</si>
  <si>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</si>
  <si>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</si>
  <si>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</si>
  <si>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</si>
  <si>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</si>
  <si>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</si>
  <si>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</si>
  <si>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</si>
  <si>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</si>
  <si>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</si>
  <si>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</si>
  <si>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</si>
  <si>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</si>
  <si>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</si>
  <si>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</si>
  <si>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</si>
  <si>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</si>
  <si>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</si>
  <si>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</si>
  <si>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</si>
  <si>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</si>
  <si>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</si>
  <si>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</si>
  <si>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</si>
  <si>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</si>
  <si>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</si>
  <si>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</si>
  <si>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</si>
  <si>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</si>
  <si>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</si>
  <si>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</si>
  <si>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</si>
  <si>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</si>
  <si>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</si>
  <si>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</si>
  <si>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</si>
  <si>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</si>
  <si>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</si>
  <si>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</si>
  <si>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</si>
  <si>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</si>
  <si>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</si>
  <si>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</si>
  <si>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</si>
  <si>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</si>
  <si>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</si>
  <si>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</si>
  <si>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</si>
  <si>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</si>
  <si>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</si>
  <si>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</si>
  <si>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</si>
  <si>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</si>
  <si>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</si>
  <si>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</si>
  <si>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</si>
  <si>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</si>
  <si>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</si>
  <si>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</si>
  <si>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</si>
  <si>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</si>
  <si>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</si>
  <si>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</si>
  <si>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</si>
  <si>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</si>
  <si>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</si>
  <si>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</si>
  <si>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</si>
  <si>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</si>
  <si>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</si>
  <si>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</si>
  <si>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</si>
  <si>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</si>
  <si>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</si>
  <si>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</si>
  <si>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</si>
  <si>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</si>
  <si>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</si>
  <si>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</si>
  <si>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</si>
  <si>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</si>
  <si>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</si>
  <si>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</si>
  <si>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</si>
  <si>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</si>
  <si>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</si>
  <si>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</si>
  <si>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</si>
  <si>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</si>
  <si>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</si>
  <si>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</si>
  <si>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</si>
  <si>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</si>
  <si>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</si>
  <si>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</si>
  <si>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</si>
  <si>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</si>
  <si>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</si>
  <si>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</si>
  <si>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</si>
  <si>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</si>
  <si>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</si>
  <si>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</si>
  <si>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</si>
  <si>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</si>
  <si>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</si>
  <si>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</si>
  <si>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</si>
  <si>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</si>
  <si>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</si>
  <si>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</si>
  <si>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</si>
  <si>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</si>
  <si>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</si>
  <si>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</si>
  <si>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</si>
  <si>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</si>
  <si>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</si>
  <si>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</si>
  <si>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</si>
  <si>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</si>
  <si>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</si>
  <si>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</si>
  <si>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</si>
  <si>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</si>
  <si>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</si>
  <si>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</si>
  <si>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</si>
  <si>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</si>
  <si>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</si>
  <si>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</si>
  <si>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</si>
  <si>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</si>
  <si>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</si>
  <si>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</si>
  <si>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</si>
  <si>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</si>
  <si>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</si>
  <si>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</si>
  <si>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</si>
  <si>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</si>
  <si>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</si>
  <si>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</si>
  <si>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</si>
  <si>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</si>
  <si>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</si>
  <si>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</si>
  <si>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</si>
  <si>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</si>
  <si>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</si>
  <si>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</si>
  <si>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</si>
  <si>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</si>
  <si>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</si>
  <si>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</si>
  <si>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</si>
  <si>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</si>
  <si>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</si>
  <si>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</si>
  <si>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</si>
  <si>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</si>
  <si>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</si>
  <si>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</si>
  <si>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</si>
  <si>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</si>
  <si>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</si>
  <si>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</si>
  <si>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</si>
  <si>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</si>
  <si>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</si>
  <si>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</si>
  <si>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</si>
  <si>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</si>
  <si>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</si>
  <si>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</si>
  <si>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</si>
  <si>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</si>
  <si>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</si>
  <si>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</si>
  <si>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</si>
  <si>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</si>
  <si>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</si>
  <si>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</si>
  <si>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</si>
  <si>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</si>
  <si>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</si>
  <si>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</si>
  <si>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</si>
  <si>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</si>
  <si>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</si>
  <si>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</si>
  <si>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</si>
  <si>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</si>
  <si>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</si>
  <si>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</si>
  <si>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</si>
  <si>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</si>
  <si>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</si>
  <si>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</si>
  <si>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</si>
  <si>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</si>
  <si>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</si>
  <si>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</si>
  <si>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</si>
  <si>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</si>
  <si>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</si>
  <si>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</si>
  <si>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</si>
  <si>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</si>
  <si>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</si>
  <si>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</si>
  <si>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</si>
  <si>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</si>
  <si>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</si>
  <si>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</si>
  <si>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</si>
  <si>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</si>
  <si>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</si>
  <si>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</si>
  <si>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</si>
  <si>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</si>
  <si>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</si>
  <si>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</si>
  <si>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</si>
  <si>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</si>
  <si>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</si>
  <si>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</si>
  <si>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</si>
  <si>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</si>
  <si>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</si>
  <si>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</si>
  <si>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</si>
  <si>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</si>
  <si>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</si>
  <si>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</si>
  <si>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</si>
  <si>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</si>
  <si>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</si>
  <si>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</si>
  <si>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</si>
  <si>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</si>
  <si>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</si>
  <si>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</si>
  <si>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</si>
  <si>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</si>
  <si>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</si>
  <si>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</si>
  <si>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</si>
  <si>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</si>
  <si>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</si>
  <si>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</si>
  <si>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</si>
  <si>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</si>
  <si>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</si>
  <si>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</si>
  <si>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</si>
  <si>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</si>
  <si>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</si>
  <si>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</si>
  <si>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</si>
  <si>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</si>
  <si>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</si>
  <si>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</si>
  <si>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</si>
  <si>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</si>
  <si>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</si>
  <si>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</si>
  <si>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</si>
  <si>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</si>
  <si>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</si>
  <si>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</si>
  <si>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</si>
  <si>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</si>
  <si>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</si>
  <si>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</si>
  <si>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</si>
  <si>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</si>
  <si>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</si>
  <si>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</si>
  <si>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</si>
  <si>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</si>
  <si>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</si>
  <si>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</si>
  <si>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</si>
  <si>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</si>
  <si>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</si>
  <si>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</si>
  <si>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</si>
  <si>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</si>
  <si>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</si>
  <si>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</si>
  <si>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</si>
  <si>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</si>
  <si>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</si>
  <si>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</si>
  <si>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</si>
  <si>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</si>
  <si>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</si>
  <si>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</si>
  <si>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</si>
  <si>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</si>
  <si>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</si>
  <si>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</si>
  <si>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</si>
  <si>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</si>
  <si>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</si>
  <si>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</si>
  <si>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</si>
  <si>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</si>
  <si>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</si>
  <si>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</si>
  <si>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</si>
  <si>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</si>
  <si>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</si>
  <si>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</si>
  <si>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</si>
  <si>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</si>
  <si>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</si>
  <si>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</si>
  <si>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</si>
  <si>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</si>
  <si>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</si>
  <si>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</si>
  <si>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</si>
  <si>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</si>
  <si>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</si>
  <si>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</si>
  <si>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</si>
  <si>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</si>
  <si>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</si>
  <si>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</si>
  <si>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</si>
  <si>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</si>
  <si>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</si>
  <si>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</si>
  <si>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</si>
  <si>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</si>
  <si>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</si>
  <si>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</si>
  <si>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</si>
  <si>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</si>
  <si>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</si>
  <si>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</si>
  <si>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</si>
  <si>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</si>
  <si>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</si>
  <si>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</si>
  <si>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</si>
  <si>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</si>
  <si>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</si>
  <si>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</si>
  <si>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</si>
  <si>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</si>
  <si>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</si>
  <si>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</si>
  <si>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</si>
  <si>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</si>
  <si>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</si>
  <si>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</si>
  <si>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</si>
  <si>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</si>
  <si>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</si>
  <si>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</si>
  <si>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</si>
  <si>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</si>
  <si>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</si>
  <si>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</si>
  <si>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</si>
  <si>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</si>
  <si>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</si>
  <si>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</si>
  <si>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</si>
  <si>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</si>
  <si>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</si>
  <si>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</si>
  <si>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</si>
  <si>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</si>
  <si>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</si>
  <si>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</si>
  <si>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</si>
  <si>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</si>
  <si>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</si>
  <si>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</si>
  <si>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</si>
  <si>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</si>
  <si>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</si>
  <si>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</si>
  <si>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</si>
  <si>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</si>
  <si>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</si>
  <si>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</si>
  <si>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</si>
  <si>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</si>
  <si>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</si>
  <si>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</si>
  <si>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</si>
  <si>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</si>
  <si>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</si>
  <si>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</si>
  <si>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</si>
  <si>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</si>
  <si>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</si>
  <si>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</si>
  <si>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</si>
  <si>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</si>
  <si>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</si>
  <si>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</si>
  <si>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</si>
  <si>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</si>
  <si>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</si>
  <si>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</si>
  <si>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</si>
  <si>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</si>
  <si>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</si>
  <si>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</si>
  <si>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</si>
  <si>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</si>
  <si>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</si>
  <si>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</si>
  <si>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</si>
  <si>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</si>
  <si>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</si>
  <si>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</si>
  <si>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</si>
  <si>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</si>
  <si>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</si>
  <si>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</si>
  <si>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</si>
  <si>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</si>
  <si>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</si>
  <si>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</si>
  <si>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</si>
  <si>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</si>
  <si>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</si>
  <si>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</si>
  <si>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</si>
  <si>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</si>
  <si>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</si>
  <si>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</si>
  <si>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</si>
  <si>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</si>
  <si>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</si>
  <si>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</si>
  <si>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</si>
  <si>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</si>
  <si>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</si>
  <si>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</si>
  <si>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</si>
  <si>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</si>
  <si>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</si>
  <si>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</si>
  <si>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</si>
  <si>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</si>
  <si>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</si>
  <si>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</si>
  <si>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</si>
  <si>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</si>
  <si>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</si>
  <si>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</si>
  <si>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</si>
  <si>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</si>
  <si>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</si>
  <si>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</si>
  <si>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</si>
  <si>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</si>
  <si>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</si>
  <si>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</si>
  <si>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</si>
  <si>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</si>
  <si>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</si>
  <si>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</si>
  <si>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</si>
  <si>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</si>
  <si>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</si>
  <si>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</si>
  <si>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</si>
  <si>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</si>
  <si>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</si>
  <si>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</si>
  <si>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</si>
  <si>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</si>
  <si>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</si>
  <si>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</si>
  <si>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</si>
  <si>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</si>
  <si>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</si>
  <si>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</si>
  <si>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</si>
  <si>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</si>
  <si>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</si>
  <si>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</si>
  <si>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</si>
  <si>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</si>
  <si>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</si>
  <si>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</si>
  <si>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</si>
  <si>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</si>
  <si>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</si>
  <si>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</si>
  <si>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</si>
  <si>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</si>
  <si>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</si>
  <si>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</si>
  <si>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</si>
  <si>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</si>
  <si>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</si>
  <si>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</si>
  <si>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</si>
  <si>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</si>
  <si>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</si>
  <si>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</si>
  <si>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</si>
  <si>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</si>
  <si>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</si>
  <si>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</si>
  <si>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</si>
  <si>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</si>
  <si>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</si>
  <si>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</si>
  <si>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</si>
  <si>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</si>
  <si>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</si>
  <si>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</si>
  <si>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</si>
  <si>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</si>
  <si>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</si>
  <si>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</si>
  <si>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</si>
  <si>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</si>
  <si>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</si>
  <si>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</si>
  <si>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</si>
  <si>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</si>
  <si>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</si>
  <si>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</si>
  <si>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</si>
  <si>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</si>
  <si>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</si>
  <si>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</si>
  <si>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</si>
  <si>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</si>
  <si>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</si>
  <si>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</si>
  <si>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</si>
  <si>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</si>
  <si>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</si>
  <si>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</si>
  <si>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</si>
  <si>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</si>
  <si>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</si>
  <si>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</si>
  <si>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</si>
  <si>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</si>
  <si>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</si>
  <si>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</si>
  <si>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</si>
  <si>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</si>
  <si>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</si>
  <si>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</si>
  <si>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</si>
  <si>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</si>
  <si>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</si>
  <si>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</si>
  <si>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</si>
  <si>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</si>
  <si>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</si>
  <si>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</si>
  <si>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</si>
  <si>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</si>
  <si>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</si>
  <si>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</si>
  <si>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</si>
  <si>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</si>
  <si>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</si>
  <si>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</si>
  <si>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</si>
  <si>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</si>
  <si>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</si>
  <si>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</si>
  <si>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</si>
  <si>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</si>
  <si>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</si>
  <si>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</si>
  <si>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</si>
  <si>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</si>
  <si>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</si>
  <si>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</si>
  <si>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</si>
  <si>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</si>
  <si>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</si>
  <si>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</si>
  <si>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</si>
  <si>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</si>
  <si>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</si>
  <si>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</si>
  <si>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</si>
  <si>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</si>
  <si>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</si>
  <si>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</si>
  <si>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</si>
  <si>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</si>
  <si>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</si>
  <si>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</si>
  <si>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</si>
  <si>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</si>
  <si>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</si>
  <si>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</si>
  <si>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</si>
  <si>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</si>
  <si>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</si>
  <si>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</si>
  <si>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</si>
  <si>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</si>
  <si>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</si>
  <si>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</si>
  <si>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</si>
  <si>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</si>
  <si>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</si>
  <si>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</si>
  <si>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</si>
  <si>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</si>
  <si>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</si>
  <si>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</si>
  <si>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</si>
  <si>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</si>
  <si>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</si>
  <si>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</si>
  <si>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</si>
  <si>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</si>
  <si>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</si>
  <si>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</si>
  <si>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</si>
  <si>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</si>
  <si>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</si>
  <si>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</si>
  <si>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</si>
  <si>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</si>
  <si>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</si>
  <si>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</si>
  <si>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</si>
  <si>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</si>
  <si>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</si>
  <si>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</si>
  <si>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</si>
  <si>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</si>
  <si>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</si>
  <si>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</si>
  <si>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</si>
  <si>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</si>
  <si>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</si>
  <si>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</si>
  <si>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</si>
  <si>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</si>
  <si>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</si>
  <si>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</si>
  <si>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</si>
  <si>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</si>
  <si>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</si>
  <si>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</si>
  <si>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</si>
  <si>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</si>
  <si>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</si>
  <si>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</si>
  <si>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</si>
  <si>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</si>
  <si>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</si>
  <si>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</si>
  <si>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</si>
  <si>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</si>
  <si>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</si>
  <si>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</si>
  <si>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</si>
  <si>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</si>
  <si>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</si>
  <si>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</si>
  <si>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</si>
  <si>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</si>
  <si>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</si>
  <si>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</si>
  <si>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</si>
  <si>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</si>
  <si>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</si>
  <si>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</si>
  <si>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</si>
  <si>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</si>
  <si>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</si>
  <si>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</si>
  <si>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</si>
  <si>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</si>
  <si>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</si>
  <si>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</si>
  <si>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</si>
  <si>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</si>
  <si>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</si>
  <si>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</si>
  <si>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</si>
  <si>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</si>
  <si>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</si>
  <si>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</si>
  <si>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</si>
  <si>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</si>
  <si>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</si>
  <si>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</si>
  <si>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</si>
  <si>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</si>
  <si>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</si>
  <si>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</si>
  <si>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</si>
  <si>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</si>
  <si>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</si>
  <si>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</si>
  <si>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</si>
  <si>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</si>
  <si>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</si>
  <si>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</si>
  <si>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</si>
  <si>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</si>
  <si>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</si>
  <si>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</si>
  <si>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</si>
  <si>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</si>
  <si>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</si>
  <si>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</si>
  <si>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</si>
  <si>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</si>
  <si>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</si>
  <si>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</si>
  <si>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</si>
  <si>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</si>
  <si>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</si>
  <si>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</si>
  <si>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</si>
  <si>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</si>
  <si>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</si>
  <si>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</si>
  <si>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</si>
  <si>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</si>
  <si>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</si>
  <si>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</si>
  <si>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</si>
  <si>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</si>
  <si>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</si>
  <si>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</si>
  <si>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</si>
  <si>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</si>
  <si>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</si>
  <si>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</si>
  <si>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</si>
  <si>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</si>
  <si>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</si>
  <si>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</si>
  <si>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</si>
  <si>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</si>
  <si>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</si>
  <si>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</si>
  <si>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</si>
  <si>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</si>
  <si>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</si>
  <si>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</si>
  <si>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</si>
  <si>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</si>
  <si>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</si>
  <si>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</si>
  <si>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</si>
  <si>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</si>
  <si>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</si>
  <si>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</si>
  <si>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</si>
  <si>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</si>
  <si>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</si>
  <si>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</si>
  <si>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</si>
  <si>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</si>
  <si>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</si>
  <si>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</si>
  <si>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</si>
  <si>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</si>
  <si>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</si>
  <si>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</si>
  <si>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</si>
  <si>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</si>
  <si>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</si>
  <si>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</si>
  <si>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</si>
  <si>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</si>
  <si>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</si>
  <si>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</si>
  <si>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</si>
  <si>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</si>
  <si>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</si>
  <si>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</si>
  <si>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</si>
  <si>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</si>
  <si>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</si>
  <si>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</si>
  <si>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</si>
  <si>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</si>
  <si>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</si>
  <si>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</si>
  <si>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</si>
  <si>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</si>
  <si>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</si>
  <si>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</si>
  <si>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</si>
  <si>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</si>
  <si>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</si>
  <si>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</si>
  <si>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</si>
  <si>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</si>
  <si>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</si>
  <si>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</si>
  <si>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</si>
  <si>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</si>
  <si>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</si>
  <si>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</si>
  <si>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</si>
  <si>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</si>
  <si>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</si>
  <si>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</si>
  <si>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</si>
  <si>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</si>
  <si>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</si>
  <si>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</si>
  <si>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</si>
  <si>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</si>
  <si>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</si>
  <si>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</si>
  <si>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</si>
  <si>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</si>
  <si>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</si>
  <si>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</si>
  <si>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</si>
  <si>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</si>
  <si>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</si>
  <si>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</si>
  <si>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</si>
  <si>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</si>
  <si>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</si>
  <si>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</si>
  <si>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</si>
  <si>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</si>
  <si>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</si>
  <si>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</si>
  <si>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</si>
  <si>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</si>
  <si>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</si>
  <si>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</si>
  <si>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</si>
  <si>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</si>
  <si>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</si>
  <si>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</si>
  <si>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</si>
  <si>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</si>
  <si>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</si>
  <si>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</si>
  <si>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</si>
  <si>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</si>
  <si>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</si>
  <si>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</si>
  <si>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</si>
  <si>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</si>
  <si>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</si>
  <si>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</si>
  <si>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</si>
  <si>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</si>
  <si>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</si>
  <si>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</si>
  <si>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</si>
  <si>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</si>
  <si>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</si>
  <si>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</si>
  <si>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</si>
  <si>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</si>
  <si>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</si>
  <si>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</si>
  <si>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</si>
  <si>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</si>
  <si>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</si>
  <si>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</si>
  <si>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</si>
  <si>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</si>
  <si>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</si>
  <si>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</si>
  <si>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</si>
  <si>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</si>
  <si>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</si>
  <si>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</si>
  <si>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</si>
  <si>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</si>
  <si>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</si>
  <si>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</si>
  <si>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</si>
  <si>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</si>
  <si>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</si>
  <si>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</si>
  <si>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</si>
  <si>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</si>
  <si>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</si>
  <si>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</si>
  <si>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</si>
  <si>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</si>
  <si>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</si>
  <si>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</si>
  <si>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</si>
  <si>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</si>
  <si>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</si>
  <si>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</si>
  <si>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</si>
  <si>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</si>
  <si>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</si>
  <si>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</si>
  <si>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</si>
  <si>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</si>
  <si>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</si>
  <si>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</si>
  <si>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</si>
  <si>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</si>
  <si>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</si>
  <si>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</si>
  <si>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</si>
  <si>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</si>
  <si>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</si>
  <si>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</si>
  <si>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</si>
  <si>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</si>
  <si>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</si>
  <si>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</si>
  <si>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</si>
  <si>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</si>
  <si>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</si>
  <si>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</si>
  <si>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</si>
  <si>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</si>
  <si>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</si>
  <si>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</si>
  <si>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</si>
  <si>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</si>
  <si>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</si>
  <si>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</si>
  <si>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</si>
  <si>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</si>
  <si>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</si>
  <si>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</si>
  <si>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</si>
  <si>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</si>
  <si>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</si>
  <si>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</si>
  <si>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</si>
  <si>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</si>
  <si>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</si>
  <si>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</si>
  <si>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</si>
  <si>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</si>
  <si>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</si>
  <si>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</si>
  <si>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</si>
  <si>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</si>
  <si>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</si>
  <si>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</si>
  <si>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</si>
  <si>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</si>
  <si>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</si>
  <si>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</si>
  <si>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</si>
  <si>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</si>
  <si>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</si>
  <si>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</si>
  <si>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</si>
  <si>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</si>
  <si>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</si>
  <si>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</si>
  <si>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</si>
  <si>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</si>
  <si>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</si>
  <si>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</si>
  <si>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</si>
  <si>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</si>
  <si>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</si>
  <si>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</si>
  <si>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</si>
  <si>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</si>
  <si>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</si>
  <si>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</si>
  <si>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</si>
  <si>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</si>
  <si>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</si>
  <si>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</si>
  <si>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</si>
  <si>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</si>
  <si>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</si>
  <si>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</si>
  <si>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</si>
  <si>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</si>
  <si>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</si>
  <si>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</si>
  <si>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</si>
  <si>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</si>
  <si>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</si>
  <si>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</si>
  <si>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</si>
  <si>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</si>
  <si>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</si>
  <si>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</si>
  <si>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</si>
  <si>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</si>
  <si>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</si>
  <si>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</si>
  <si>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</si>
  <si>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</si>
  <si>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</si>
  <si>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</si>
  <si>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</si>
  <si>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</si>
  <si>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</si>
  <si>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</si>
  <si>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</si>
  <si>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</si>
  <si>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</si>
  <si>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</si>
  <si>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</si>
  <si>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</si>
  <si>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</si>
  <si>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</si>
  <si>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</si>
  <si>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</si>
  <si>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</si>
  <si>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</si>
  <si>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</si>
  <si>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</si>
  <si>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</si>
  <si>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</si>
  <si>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</si>
  <si>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</si>
  <si>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</si>
  <si>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</si>
  <si>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</si>
  <si>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</si>
  <si>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</si>
  <si>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</si>
  <si>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</si>
  <si>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</si>
  <si>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</si>
  <si>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</si>
  <si>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</si>
  <si>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</si>
  <si>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</si>
  <si>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</si>
  <si>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</si>
  <si>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</si>
  <si>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</si>
  <si>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</si>
  <si>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</si>
  <si>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</si>
  <si>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</si>
  <si>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</si>
  <si>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</si>
  <si>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</si>
  <si>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</si>
  <si>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</si>
  <si>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</si>
  <si>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</si>
  <si>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</si>
  <si>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</si>
  <si>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</si>
  <si>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</si>
  <si>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</si>
  <si>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</si>
  <si>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</si>
  <si>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</si>
  <si>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</si>
  <si>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</si>
  <si>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</si>
  <si>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</si>
  <si>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</si>
  <si>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</si>
  <si>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</si>
  <si>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</si>
  <si>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</si>
  <si>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</si>
  <si>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</si>
  <si>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</si>
  <si>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</si>
  <si>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</si>
  <si>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</si>
  <si>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</si>
  <si>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</si>
  <si>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</si>
  <si>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</si>
  <si>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</si>
  <si>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</si>
  <si>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</si>
  <si>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</si>
  <si>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</si>
  <si>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</si>
  <si>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</si>
  <si>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</si>
  <si>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</si>
  <si>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</si>
  <si>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</si>
  <si>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</si>
  <si>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</si>
  <si>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</si>
  <si>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</si>
  <si>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</si>
  <si>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</si>
  <si>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</si>
  <si>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</si>
  <si>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</si>
  <si>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</si>
  <si>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</si>
  <si>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</si>
  <si>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</si>
  <si>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</si>
  <si>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</si>
  <si>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</si>
  <si>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</si>
  <si>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</si>
  <si>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</si>
  <si>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</si>
  <si>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</si>
  <si>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</si>
  <si>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</si>
  <si>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</si>
  <si>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</si>
  <si>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</si>
  <si>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</si>
  <si>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</si>
  <si>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</si>
  <si>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</si>
  <si>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</si>
  <si>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</si>
  <si>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</si>
  <si>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</si>
  <si>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</si>
  <si>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</si>
  <si>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</si>
  <si>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</si>
  <si>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</si>
  <si>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</si>
  <si>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</si>
  <si>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</si>
  <si>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</si>
  <si>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</si>
  <si>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</si>
  <si>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</si>
  <si>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</si>
  <si>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</si>
  <si>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</si>
  <si>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</si>
  <si>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</si>
  <si>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</si>
  <si>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</si>
  <si>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</si>
  <si>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</si>
  <si>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</si>
  <si>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</si>
  <si>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</si>
  <si>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</si>
  <si>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</si>
  <si>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</si>
  <si>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</si>
  <si>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</si>
  <si>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</si>
  <si>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</si>
  <si>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</si>
  <si>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</si>
  <si>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</si>
  <si>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</si>
  <si>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</si>
  <si>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</si>
  <si>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</si>
  <si>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</si>
  <si>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</si>
  <si>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</si>
  <si>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</si>
  <si>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</si>
  <si>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</si>
  <si>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</si>
  <si>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</si>
  <si>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</si>
  <si>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</si>
  <si>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</si>
  <si>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</si>
  <si>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</si>
  <si>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</si>
  <si>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</si>
  <si>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</si>
  <si>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</si>
  <si>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</si>
  <si>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</si>
  <si>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</si>
  <si>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</si>
  <si>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</si>
  <si>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</si>
  <si>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</si>
  <si>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</si>
  <si>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</si>
  <si>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</si>
  <si>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</si>
  <si>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</si>
  <si>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</si>
  <si>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</si>
  <si>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</si>
  <si>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</si>
  <si>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</si>
  <si>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</si>
  <si>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</si>
  <si>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</si>
  <si>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</si>
  <si>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</si>
  <si>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</si>
  <si>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</si>
  <si>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</si>
  <si>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</si>
  <si>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</si>
  <si>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</si>
  <si>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</si>
  <si>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</si>
  <si>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</si>
  <si>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</si>
  <si>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</si>
  <si>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</si>
  <si>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</si>
  <si>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</si>
  <si>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</si>
  <si>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</si>
  <si>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</si>
  <si>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</si>
  <si>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</si>
  <si>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</si>
  <si>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</si>
  <si>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</si>
  <si>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</si>
  <si>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</si>
  <si>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</si>
  <si>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</si>
  <si>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</si>
  <si>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</si>
  <si>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</si>
  <si>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</si>
  <si>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</si>
  <si>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</si>
  <si>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</si>
  <si>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</si>
  <si>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</si>
  <si>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</si>
  <si>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</si>
  <si>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</si>
  <si>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</si>
  <si>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</si>
  <si>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</si>
  <si>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</si>
  <si>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</si>
  <si>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</si>
  <si>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</si>
  <si>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</si>
  <si>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</si>
  <si>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</si>
  <si>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</si>
  <si>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</si>
  <si>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</si>
  <si>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</si>
  <si>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</si>
  <si>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</si>
  <si>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</si>
  <si>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</si>
  <si>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</si>
  <si>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</si>
  <si>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</si>
  <si>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</si>
  <si>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</si>
  <si>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</si>
  <si>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</si>
  <si>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</si>
  <si>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</si>
  <si>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</si>
  <si>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</si>
  <si>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</si>
  <si>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</si>
  <si>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</si>
  <si>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</si>
  <si>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</si>
  <si>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</si>
  <si>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</si>
  <si>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</si>
  <si>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</si>
  <si>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</si>
  <si>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</si>
  <si>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</si>
  <si>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</si>
  <si>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</si>
  <si>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</si>
  <si>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</si>
  <si>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</si>
  <si>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</si>
  <si>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</si>
  <si>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</si>
  <si>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</si>
  <si>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</si>
  <si>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</si>
  <si>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</si>
  <si>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</si>
  <si>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</si>
  <si>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</si>
  <si>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</si>
  <si>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</si>
  <si>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</si>
  <si>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</si>
  <si>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</si>
  <si>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</si>
  <si>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</si>
  <si>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</si>
  <si>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</si>
  <si>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</si>
  <si>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</si>
  <si>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</si>
  <si>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</si>
  <si>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</si>
  <si>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</si>
  <si>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</si>
  <si>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</si>
  <si>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</si>
  <si>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</si>
  <si>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</si>
  <si>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</si>
  <si>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</si>
  <si>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</si>
  <si>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</si>
  <si>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</si>
  <si>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</si>
  <si>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</si>
  <si>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</si>
  <si>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</si>
  <si>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</si>
  <si>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</si>
  <si>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</si>
  <si>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</si>
  <si>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</si>
  <si>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</si>
  <si>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</si>
  <si>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</si>
  <si>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</si>
  <si>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</si>
  <si>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</si>
  <si>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</si>
  <si>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</si>
  <si>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</si>
  <si>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</si>
  <si>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</si>
  <si>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</si>
  <si>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</si>
  <si>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</si>
  <si>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</si>
  <si>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</si>
  <si>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</si>
  <si>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</si>
  <si>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</si>
  <si>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</si>
  <si>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</si>
  <si>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</si>
  <si>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</si>
  <si>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</si>
  <si>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</si>
  <si>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</si>
  <si>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</si>
  <si>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</si>
  <si>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</si>
  <si>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</si>
  <si>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</si>
  <si>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</si>
  <si>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</si>
  <si>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</si>
  <si>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</si>
  <si>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</si>
  <si>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</si>
  <si>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</si>
  <si>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</si>
  <si>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</si>
  <si>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</si>
  <si>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</si>
  <si>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</si>
  <si>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</si>
  <si>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</si>
  <si>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</si>
  <si>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</si>
  <si>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</si>
  <si>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</si>
  <si>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</si>
  <si>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</si>
  <si>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</si>
  <si>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</si>
  <si>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</si>
  <si>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</si>
  <si>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</si>
  <si>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</si>
  <si>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</si>
  <si>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</si>
  <si>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</si>
  <si>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</si>
  <si>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</si>
  <si>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</si>
  <si>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</si>
  <si>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</si>
  <si>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</si>
  <si>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</si>
  <si>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</si>
  <si>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</si>
  <si>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</si>
  <si>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</si>
  <si>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</si>
  <si>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</si>
  <si>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</si>
  <si>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</si>
  <si>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</si>
  <si>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</si>
  <si>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</si>
  <si>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</si>
  <si>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</si>
  <si>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</si>
  <si>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</si>
  <si>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</si>
  <si>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</si>
  <si>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</si>
  <si>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</si>
  <si>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</si>
  <si>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</si>
  <si>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</si>
  <si>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</si>
  <si>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</si>
  <si>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</si>
  <si>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</si>
  <si>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</si>
  <si>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</si>
  <si>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</si>
  <si>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</si>
  <si>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</si>
  <si>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</si>
  <si>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</si>
  <si>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</si>
  <si>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</si>
  <si>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</si>
  <si>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</si>
  <si>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</si>
  <si>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</si>
  <si>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</si>
  <si>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</si>
  <si>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</si>
  <si>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</si>
  <si>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</si>
  <si>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</si>
  <si>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</si>
  <si>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</si>
  <si>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</si>
  <si>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</si>
  <si>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</si>
  <si>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</si>
  <si>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</si>
  <si>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</si>
  <si>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</si>
  <si>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</si>
  <si>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</si>
  <si>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</si>
  <si>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</si>
  <si>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</si>
  <si>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</si>
  <si>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</si>
  <si>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</si>
  <si>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</si>
  <si>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</si>
  <si>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</si>
  <si>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</si>
  <si>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</si>
  <si>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</si>
  <si>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</si>
  <si>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</si>
  <si>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</si>
  <si>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</si>
  <si>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</si>
  <si>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</si>
  <si>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</si>
  <si>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</si>
  <si>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</si>
  <si>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</si>
  <si>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</si>
  <si>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</si>
  <si>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</si>
  <si>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</si>
  <si>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</si>
  <si>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</si>
  <si>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</si>
  <si>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</si>
  <si>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</si>
  <si>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</si>
  <si>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</si>
  <si>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</si>
  <si>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</si>
  <si>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</si>
  <si>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</si>
  <si>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</si>
  <si>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</si>
  <si>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</si>
  <si>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</si>
  <si>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</si>
  <si>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</si>
  <si>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</si>
  <si>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</si>
  <si>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</si>
  <si>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</si>
  <si>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</si>
  <si>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</si>
  <si>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</si>
  <si>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</si>
  <si>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</si>
  <si>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</si>
  <si>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</si>
  <si>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</si>
  <si>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</si>
  <si>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</si>
  <si>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</si>
  <si>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</si>
  <si>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</si>
  <si>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</si>
  <si>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</si>
  <si>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</si>
  <si>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</si>
  <si>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</si>
  <si>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</si>
  <si>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</si>
  <si>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</si>
  <si>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</si>
  <si>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</si>
  <si>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</si>
  <si>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</si>
  <si>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</si>
  <si>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</si>
  <si>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</si>
  <si>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</si>
  <si>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</si>
  <si>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</si>
  <si>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</si>
  <si>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</si>
  <si>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</si>
  <si>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</si>
  <si>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</si>
  <si>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</si>
  <si>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</si>
  <si>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</si>
  <si>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</si>
  <si>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</si>
  <si>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</si>
  <si>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</si>
  <si>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</si>
  <si>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</si>
  <si>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</si>
  <si>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</si>
  <si>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</si>
  <si>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</si>
  <si>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</si>
  <si>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</si>
  <si>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</si>
  <si>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</si>
  <si>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</si>
  <si>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</si>
  <si>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</si>
  <si>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</si>
  <si>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</si>
  <si>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</si>
  <si>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</si>
  <si>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</si>
  <si>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</si>
  <si>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</si>
  <si>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</si>
  <si>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</si>
  <si>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</si>
  <si>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</si>
  <si>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</si>
  <si>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</si>
  <si>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</si>
  <si>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</si>
  <si>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</si>
  <si>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</si>
  <si>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</si>
  <si>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</si>
  <si>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</si>
  <si>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</si>
  <si>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</si>
  <si>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</si>
  <si>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</si>
  <si>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</si>
  <si>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</si>
  <si>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</si>
  <si>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</si>
  <si>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</si>
  <si>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</si>
  <si>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</si>
  <si>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</si>
  <si>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</si>
  <si>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</si>
  <si>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</si>
  <si>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</si>
  <si>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</si>
  <si>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</si>
  <si>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</si>
  <si>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</si>
  <si>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</si>
  <si>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</si>
  <si>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</si>
  <si>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</si>
  <si>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</si>
  <si>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</si>
  <si>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</si>
  <si>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</si>
  <si>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</si>
  <si>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</si>
  <si>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</si>
  <si>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</si>
  <si>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</si>
  <si>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</si>
  <si>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</si>
  <si>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</si>
  <si>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</si>
  <si>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</si>
  <si>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</si>
  <si>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</si>
  <si>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</si>
  <si>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</si>
  <si>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</si>
  <si>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</si>
  <si>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</si>
  <si>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</si>
  <si>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</si>
  <si>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</si>
  <si>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</si>
  <si>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</si>
  <si>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</si>
  <si>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</si>
  <si>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</si>
  <si>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</si>
  <si>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</si>
  <si>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</si>
  <si>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</si>
  <si>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</si>
  <si>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</si>
  <si>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</si>
  <si>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</si>
  <si>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</si>
  <si>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</si>
  <si>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</si>
  <si>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</si>
  <si>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</si>
  <si>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</si>
  <si>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</si>
  <si>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</si>
  <si>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</si>
  <si>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</si>
  <si>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</si>
  <si>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</si>
  <si>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</si>
  <si>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</si>
  <si>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</si>
  <si>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</si>
  <si>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</si>
  <si>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</si>
  <si>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</si>
  <si>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</si>
  <si>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</si>
  <si>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</si>
  <si>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</si>
  <si>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</si>
  <si>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</si>
  <si>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</si>
  <si>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</si>
  <si>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</si>
  <si>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</si>
  <si>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</si>
  <si>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</si>
  <si>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</si>
  <si>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</si>
  <si>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</si>
  <si>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</si>
  <si>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</si>
  <si>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</si>
  <si>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</si>
  <si>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</si>
  <si>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</si>
  <si>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</si>
  <si>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</si>
  <si>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</si>
  <si>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</si>
  <si>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</si>
  <si>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</si>
  <si>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</si>
  <si>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</si>
  <si>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</si>
  <si>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</si>
  <si>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</si>
  <si>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</si>
  <si>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</si>
  <si>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</si>
  <si>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</si>
  <si>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</si>
  <si>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</si>
  <si>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</si>
  <si>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</si>
  <si>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</si>
  <si>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</si>
  <si>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</si>
  <si>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</si>
  <si>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</si>
  <si>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</si>
  <si>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</si>
  <si>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</si>
  <si>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</si>
  <si>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</si>
  <si>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</si>
  <si>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</si>
  <si>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</si>
  <si>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</si>
  <si>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</si>
  <si>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</si>
  <si>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</si>
  <si>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</si>
  <si>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</si>
  <si>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</si>
  <si>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</si>
  <si>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</si>
  <si>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</si>
  <si>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</si>
  <si>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</si>
  <si>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</si>
  <si>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</si>
  <si>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</si>
  <si>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</si>
  <si>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</si>
  <si>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</si>
  <si>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</si>
  <si>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</si>
  <si>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</si>
  <si>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</si>
  <si>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</si>
  <si>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</si>
  <si>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</si>
  <si>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</si>
  <si>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</si>
  <si>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</si>
  <si>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</si>
  <si>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</si>
  <si>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</si>
  <si>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</si>
  <si>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</si>
  <si>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</si>
  <si>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</si>
  <si>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</si>
  <si>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</si>
  <si>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</si>
  <si>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</si>
  <si>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</si>
  <si>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</si>
  <si>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</si>
  <si>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</si>
  <si>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</si>
  <si>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</si>
  <si>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</si>
  <si>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</si>
  <si>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</si>
  <si>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</si>
  <si>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</si>
  <si>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</si>
  <si>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</si>
  <si>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</si>
  <si>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</si>
  <si>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</si>
  <si>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</si>
  <si>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</si>
  <si>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</si>
  <si>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</si>
  <si>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</si>
  <si>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</si>
  <si>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</si>
  <si>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</si>
  <si>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</si>
  <si>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</si>
  <si>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</si>
  <si>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</si>
  <si>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</si>
  <si>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</si>
  <si>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</si>
  <si>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</si>
  <si>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</si>
  <si>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</si>
  <si>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</si>
  <si>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</si>
  <si>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</si>
  <si>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</si>
  <si>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</si>
  <si>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</si>
  <si>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</si>
  <si>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</si>
  <si>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</si>
  <si>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</si>
  <si>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</si>
  <si>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</si>
  <si>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</si>
  <si>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</si>
  <si>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</si>
  <si>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</si>
  <si>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</si>
  <si>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</si>
  <si>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</si>
  <si>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</si>
  <si>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</si>
  <si>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</si>
  <si>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</si>
  <si>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</si>
  <si>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</si>
  <si>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</si>
  <si>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</si>
  <si>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</si>
  <si>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</si>
  <si>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</si>
  <si>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</si>
  <si>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</si>
  <si>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</si>
  <si>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</si>
  <si>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</si>
  <si>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</si>
  <si>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</si>
  <si>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</si>
  <si>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</si>
  <si>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</si>
  <si>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</si>
  <si>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</si>
  <si>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</si>
  <si>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</si>
  <si>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</si>
  <si>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</si>
  <si>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</si>
  <si>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</si>
  <si>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</si>
  <si>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</si>
  <si>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</si>
  <si>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</si>
  <si>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</si>
  <si>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</si>
  <si>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</si>
  <si>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</si>
  <si>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</si>
  <si>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</si>
  <si>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</si>
  <si>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</si>
  <si>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</si>
  <si>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</si>
  <si>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</si>
  <si>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</si>
  <si>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</si>
  <si>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</si>
  <si>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</si>
  <si>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</si>
  <si>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</si>
  <si>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</si>
  <si>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</si>
  <si>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</si>
  <si>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</si>
  <si>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</si>
  <si>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</si>
  <si>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</si>
  <si>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</si>
  <si>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</si>
  <si>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</si>
  <si>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</si>
  <si>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</si>
  <si>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</si>
  <si>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</si>
  <si>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</si>
  <si>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</si>
  <si>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</si>
  <si>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</si>
  <si>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</si>
  <si>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</si>
  <si>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</si>
  <si>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</si>
  <si>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</si>
  <si>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</si>
  <si>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</si>
  <si>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</si>
  <si>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</si>
  <si>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</si>
  <si>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</si>
  <si>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</si>
  <si>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</si>
  <si>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</si>
  <si>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</si>
  <si>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</si>
  <si>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</si>
  <si>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</si>
  <si>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</si>
  <si>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</si>
  <si>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</si>
  <si>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</si>
  <si>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</si>
  <si>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</si>
  <si>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</si>
  <si>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</si>
  <si>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</si>
  <si>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</si>
  <si>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</si>
  <si>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</si>
  <si>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</si>
  <si>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</si>
  <si>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</si>
  <si>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</si>
  <si>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</si>
  <si>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</si>
  <si>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</si>
  <si>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</si>
  <si>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</si>
  <si>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</si>
  <si>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</si>
  <si>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</si>
  <si>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</si>
  <si>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</si>
  <si>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</si>
  <si>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</si>
  <si>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</si>
  <si>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</si>
  <si>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</si>
  <si>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</si>
  <si>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</si>
  <si>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</si>
  <si>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</si>
  <si>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</si>
  <si>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</si>
  <si>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</si>
  <si>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</si>
  <si>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</si>
  <si>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</si>
  <si>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</si>
  <si>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</si>
  <si>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</si>
  <si>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</si>
  <si>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</si>
  <si>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</si>
  <si>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</si>
  <si>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</si>
  <si>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</si>
  <si>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</si>
  <si>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</si>
  <si>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</si>
  <si>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</si>
  <si>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</si>
  <si>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</si>
  <si>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</si>
  <si>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</si>
  <si>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</si>
  <si>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</si>
  <si>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</si>
  <si>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</si>
  <si>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</si>
  <si>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</si>
  <si>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</si>
  <si>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</si>
  <si>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</si>
  <si>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</si>
  <si>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</si>
  <si>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</si>
  <si>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</si>
  <si>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</si>
  <si>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</si>
  <si>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</si>
  <si>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</si>
  <si>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</si>
  <si>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</si>
  <si>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</si>
  <si>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</si>
  <si>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</si>
  <si>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</si>
  <si>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</si>
  <si>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</si>
  <si>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</si>
  <si>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</si>
  <si>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</si>
  <si>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</si>
  <si>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</si>
  <si>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</si>
  <si>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</si>
  <si>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</si>
  <si>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</si>
  <si>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</si>
  <si>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</si>
  <si>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</si>
  <si>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</si>
  <si>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</si>
  <si>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</si>
  <si>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</si>
  <si>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</si>
  <si>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</si>
  <si>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</si>
  <si>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</si>
  <si>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</si>
  <si>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</si>
  <si>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</si>
  <si>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</si>
  <si>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</si>
  <si>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</si>
  <si>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</si>
  <si>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</si>
  <si>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</si>
  <si>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</si>
  <si>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</si>
  <si>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</si>
  <si>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</si>
  <si>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</si>
  <si>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</si>
  <si>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</si>
  <si>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</si>
  <si>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</si>
  <si>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</si>
  <si>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</si>
  <si>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</si>
  <si>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</si>
  <si>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</si>
  <si>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</si>
  <si>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</si>
  <si>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</si>
  <si>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</si>
  <si>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</si>
  <si>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</si>
  <si>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</si>
  <si>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</si>
  <si>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</si>
  <si>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</si>
  <si>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</si>
  <si>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</si>
  <si>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</si>
  <si>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</si>
  <si>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</si>
  <si>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</si>
  <si>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</si>
  <si>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</si>
  <si>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</si>
  <si>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</si>
  <si>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</si>
  <si>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</si>
  <si>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</si>
  <si>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</si>
  <si>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</si>
  <si>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</si>
  <si>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</si>
  <si>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</si>
  <si>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</si>
  <si>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</si>
  <si>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</si>
  <si>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</si>
  <si>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</si>
  <si>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</si>
  <si>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</si>
  <si>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</si>
  <si>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</si>
  <si>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</si>
  <si>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</si>
  <si>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</si>
  <si>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</si>
  <si>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</si>
  <si>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</si>
  <si>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</si>
  <si>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</si>
  <si>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</si>
  <si>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</si>
  <si>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</si>
  <si>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</si>
  <si>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</si>
  <si>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</si>
  <si>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</si>
  <si>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</si>
  <si>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</si>
  <si>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</si>
  <si>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</si>
  <si>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</si>
  <si>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</si>
  <si>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</si>
  <si>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</si>
  <si>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</si>
  <si>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</si>
  <si>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</si>
  <si>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</si>
  <si>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</si>
  <si>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</si>
  <si>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</si>
  <si>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</si>
  <si>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</si>
  <si>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</si>
  <si>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</si>
  <si>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</si>
  <si>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</si>
  <si>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</si>
  <si>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</si>
  <si>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</si>
  <si>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</si>
  <si>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</si>
  <si>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</si>
  <si>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</si>
  <si>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</si>
  <si>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</si>
  <si>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</si>
  <si>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</si>
  <si>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</si>
  <si>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</si>
  <si>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</si>
  <si>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</si>
  <si>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</si>
  <si>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</si>
  <si>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</si>
  <si>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</si>
  <si>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</si>
  <si>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</si>
  <si>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</si>
  <si>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</si>
  <si>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</si>
  <si>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</si>
  <si>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</si>
  <si>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</si>
  <si>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</si>
  <si>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</si>
  <si>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</si>
  <si>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</si>
  <si>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</si>
  <si>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</si>
  <si>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</si>
  <si>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</si>
  <si>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</si>
  <si>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</si>
  <si>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</si>
  <si>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</si>
  <si>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</si>
  <si>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</si>
  <si>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</si>
  <si>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</si>
  <si>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</si>
  <si>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</si>
  <si>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</si>
  <si>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</si>
  <si>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</si>
  <si>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</si>
  <si>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</si>
  <si>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</si>
  <si>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</si>
  <si>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</si>
  <si>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</si>
  <si>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</si>
  <si>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</si>
  <si>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</si>
  <si>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</si>
  <si>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</si>
  <si>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</si>
  <si>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</si>
  <si>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</si>
  <si>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</si>
  <si>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</si>
  <si>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</si>
  <si>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</si>
  <si>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</si>
  <si>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</si>
  <si>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</si>
  <si>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</si>
  <si>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</si>
  <si>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</si>
  <si>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</si>
  <si>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</si>
  <si>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</si>
  <si>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</si>
  <si>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</si>
  <si>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</si>
  <si>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</si>
  <si>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</si>
  <si>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</si>
  <si>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</si>
  <si>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</si>
  <si>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</si>
  <si>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</si>
  <si>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</si>
  <si>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</si>
  <si>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</si>
  <si>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</si>
  <si>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</si>
  <si>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</si>
  <si>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</si>
  <si>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</si>
  <si>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</si>
  <si>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</si>
  <si>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</si>
  <si>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</si>
  <si>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</si>
  <si>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</si>
  <si>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</si>
  <si>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</si>
  <si>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</si>
  <si>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</si>
  <si>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</si>
  <si>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</si>
  <si>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</si>
  <si>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</si>
  <si>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</si>
  <si>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</si>
  <si>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</si>
  <si>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</si>
  <si>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</si>
  <si>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</si>
  <si>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</si>
  <si>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</si>
  <si>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</si>
  <si>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</si>
  <si>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</si>
  <si>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</si>
  <si>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</si>
  <si>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</si>
  <si>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</si>
  <si>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</si>
  <si>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</si>
  <si>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</si>
  <si>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</si>
  <si>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</si>
  <si>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</si>
  <si>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</si>
  <si>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</si>
  <si>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</si>
  <si>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</si>
  <si>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</si>
  <si>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</si>
  <si>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</si>
  <si>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</si>
  <si>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</si>
  <si>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</si>
  <si>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</si>
  <si>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</si>
  <si>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</si>
  <si>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</si>
  <si>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</si>
  <si>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</si>
  <si>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</si>
  <si>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</si>
  <si>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</si>
  <si>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</si>
  <si>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</si>
  <si>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</si>
  <si>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</si>
  <si>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</si>
  <si>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</si>
  <si>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</si>
  <si>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</si>
  <si>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</si>
  <si>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</si>
  <si>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</si>
  <si>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</si>
  <si>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</si>
  <si>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</si>
  <si>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</si>
  <si>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</si>
  <si>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</si>
  <si>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</si>
  <si>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</si>
  <si>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</si>
  <si>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</si>
  <si>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</si>
  <si>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</si>
  <si>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</si>
  <si>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</si>
  <si>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</si>
  <si>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</si>
  <si>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</si>
  <si>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</si>
  <si>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</si>
  <si>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</si>
  <si>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</si>
  <si>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</si>
  <si>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</si>
  <si>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</si>
  <si>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</si>
  <si>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</si>
  <si>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</si>
  <si>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</si>
  <si>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</si>
  <si>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</si>
  <si>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</si>
  <si>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</si>
  <si>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</si>
  <si>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</si>
  <si>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</si>
  <si>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</si>
  <si>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</si>
  <si>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</si>
  <si>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</si>
  <si>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</si>
  <si>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</si>
  <si>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</si>
  <si>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</si>
  <si>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</si>
  <si>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</si>
  <si>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</si>
  <si>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</si>
  <si>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</si>
  <si>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</si>
  <si>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</si>
  <si>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</si>
  <si>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</si>
  <si>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</si>
  <si>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</si>
  <si>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</si>
  <si>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</si>
  <si>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</si>
  <si>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</si>
  <si>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</si>
  <si>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</si>
  <si>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</si>
  <si>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</si>
  <si>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</si>
  <si>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</si>
  <si>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</si>
  <si>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</si>
  <si>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</si>
  <si>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</si>
  <si>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</si>
  <si>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</si>
  <si>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</si>
  <si>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</si>
  <si>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</si>
  <si>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</si>
  <si>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</si>
  <si>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</si>
  <si>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</si>
  <si>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</si>
  <si>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</si>
  <si>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</si>
  <si>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</si>
  <si>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</si>
  <si>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</si>
  <si>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</si>
  <si>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</si>
  <si>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</si>
  <si>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</si>
  <si>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</si>
  <si>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</si>
  <si>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</si>
  <si>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</si>
  <si>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</si>
  <si>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</si>
  <si>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</si>
  <si>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</si>
  <si>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</si>
  <si>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</si>
  <si>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</si>
  <si>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</si>
  <si>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</si>
  <si>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</si>
  <si>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</si>
  <si>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</si>
  <si>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</si>
  <si>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</si>
  <si>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</si>
  <si>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</si>
  <si>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</si>
  <si>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</si>
  <si>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</si>
  <si>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</si>
  <si>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</si>
  <si>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</si>
  <si>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</si>
  <si>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</si>
  <si>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</si>
  <si>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</si>
  <si>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</si>
  <si>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</si>
  <si>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</si>
  <si>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</si>
  <si>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</si>
  <si>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</si>
  <si>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</si>
  <si>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</si>
  <si>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</si>
  <si>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</si>
  <si>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</si>
  <si>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</si>
  <si>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</si>
  <si>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</si>
  <si>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</si>
  <si>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</si>
  <si>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</si>
  <si>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</si>
  <si>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</si>
  <si>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</si>
  <si>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</si>
  <si>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</si>
  <si>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</si>
  <si>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</si>
  <si>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</si>
  <si>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</si>
  <si>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</si>
  <si>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</si>
  <si>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</si>
  <si>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</si>
  <si>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</si>
  <si>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</si>
  <si>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</si>
  <si>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</si>
  <si>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</si>
  <si>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</si>
  <si>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</si>
  <si>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</si>
  <si>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</si>
  <si>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</si>
  <si>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</si>
  <si>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</si>
  <si>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</si>
  <si>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</si>
  <si>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</si>
  <si>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</si>
  <si>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</si>
  <si>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</si>
  <si>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</si>
  <si>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</si>
  <si>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</si>
  <si>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</si>
  <si>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</si>
  <si>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</si>
  <si>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</si>
  <si>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</si>
  <si>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</si>
  <si>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</si>
  <si>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</si>
  <si>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</si>
  <si>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</si>
  <si>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</si>
  <si>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</si>
  <si>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</si>
  <si>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</si>
  <si>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</si>
  <si>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</si>
  <si>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</si>
  <si>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</si>
  <si>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</si>
  <si>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</si>
  <si>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</si>
  <si>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</si>
  <si>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</si>
  <si>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</si>
  <si>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</si>
  <si>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</si>
  <si>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</si>
  <si>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</si>
  <si>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</si>
  <si>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</si>
  <si>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</si>
  <si>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</si>
  <si>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</si>
  <si>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</si>
  <si>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</si>
  <si>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</si>
  <si>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</si>
  <si>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</si>
  <si>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</si>
  <si>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</si>
  <si>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</si>
  <si>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</si>
  <si>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</si>
  <si>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</si>
  <si>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</si>
  <si>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</si>
  <si>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</si>
  <si>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</si>
  <si>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</si>
  <si>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</si>
  <si>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</si>
  <si>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</si>
  <si>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</si>
  <si>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</si>
  <si>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</si>
  <si>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</si>
  <si>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</si>
  <si>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</si>
  <si>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</si>
  <si>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</si>
  <si>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</si>
  <si>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</si>
  <si>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</si>
  <si>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</si>
  <si>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</si>
  <si>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</si>
  <si>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</si>
  <si>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</si>
  <si>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</si>
  <si>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</si>
  <si>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</si>
  <si>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</si>
  <si>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</si>
  <si>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</si>
  <si>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</si>
  <si>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</si>
  <si>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</si>
  <si>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</si>
  <si>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</si>
  <si>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</si>
  <si>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</si>
  <si>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</si>
  <si>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</si>
  <si>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</si>
  <si>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</si>
  <si>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</si>
  <si>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</si>
  <si>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</si>
  <si>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</si>
  <si>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</si>
  <si>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</si>
  <si>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</si>
  <si>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</si>
  <si>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</si>
  <si>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</si>
  <si>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</si>
  <si>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</si>
  <si>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</si>
  <si>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</si>
  <si>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</si>
  <si>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</si>
  <si>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</si>
  <si>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</si>
  <si>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</si>
  <si>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</si>
  <si>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</si>
  <si>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</si>
  <si>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</si>
  <si>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</si>
  <si>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</si>
  <si>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</si>
  <si>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</si>
  <si>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</si>
  <si>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</si>
  <si>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</si>
  <si>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</si>
  <si>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</si>
  <si>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</si>
  <si>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</si>
  <si>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</si>
  <si>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</si>
  <si>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</si>
  <si>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</si>
  <si>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</si>
  <si>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</si>
  <si>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</si>
  <si>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</si>
  <si>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</si>
  <si>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</si>
  <si>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</si>
  <si>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</si>
  <si>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</si>
  <si>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</si>
  <si>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</si>
  <si>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</si>
  <si>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</si>
  <si>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</si>
  <si>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</si>
  <si>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</si>
  <si>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</si>
  <si>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</si>
  <si>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</si>
  <si>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</si>
  <si>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</si>
  <si>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</si>
  <si>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</si>
  <si>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</si>
  <si>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</si>
  <si>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</si>
  <si>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</si>
  <si>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</si>
  <si>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</si>
  <si>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</si>
  <si>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</si>
  <si>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</si>
  <si>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</si>
  <si>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</si>
  <si>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</si>
  <si>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</si>
  <si>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</si>
  <si>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</si>
  <si>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</si>
  <si>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</si>
  <si>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</si>
  <si>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</si>
  <si>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</si>
  <si>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</si>
  <si>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</si>
  <si>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</si>
  <si>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</si>
  <si>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</si>
  <si>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</si>
  <si>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</si>
  <si>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</si>
  <si>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</si>
  <si>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</si>
  <si>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</si>
  <si>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</si>
  <si>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</si>
  <si>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</si>
  <si>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</si>
  <si>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</si>
  <si>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</si>
  <si>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</si>
  <si>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</si>
  <si>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</si>
  <si>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</si>
  <si>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</si>
  <si>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</si>
  <si>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</si>
  <si>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</si>
  <si>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</si>
  <si>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</si>
  <si>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</si>
  <si>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</si>
  <si>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</si>
  <si>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</si>
  <si>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</si>
  <si>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</si>
  <si>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</si>
  <si>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</si>
  <si>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</si>
  <si>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</si>
  <si>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</si>
  <si>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</si>
  <si>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</si>
  <si>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</si>
  <si>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</si>
  <si>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</si>
  <si>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</si>
  <si>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</si>
  <si>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</si>
  <si>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</si>
  <si>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</si>
  <si>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</si>
  <si>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</si>
  <si>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</si>
  <si>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</si>
  <si>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</si>
  <si>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</si>
  <si>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</si>
  <si>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</si>
  <si>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</si>
  <si>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</si>
  <si>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</si>
  <si>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</si>
  <si>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</si>
  <si>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</si>
  <si>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</si>
  <si>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</si>
  <si>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</si>
  <si>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</si>
  <si>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</si>
  <si>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</si>
  <si>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</si>
  <si>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</si>
  <si>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</si>
  <si>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</si>
  <si>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</si>
  <si>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</si>
  <si>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</si>
  <si>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</si>
  <si>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</si>
  <si>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</si>
  <si>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</si>
  <si>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</si>
  <si>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</si>
  <si>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</si>
  <si>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</si>
  <si>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</si>
  <si>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</si>
  <si>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</si>
  <si>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</si>
  <si>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</si>
  <si>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</si>
  <si>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</si>
  <si>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</si>
  <si>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</si>
  <si>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</si>
  <si>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</si>
  <si>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</si>
  <si>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</si>
  <si>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</si>
  <si>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</si>
  <si>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</si>
  <si>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</si>
  <si>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</si>
  <si>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</si>
  <si>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</si>
  <si>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</si>
  <si>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</si>
  <si>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</si>
  <si>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</si>
  <si>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</si>
  <si>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</si>
  <si>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</si>
  <si>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</si>
  <si>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</si>
  <si>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</si>
  <si>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</si>
  <si>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</si>
  <si>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</si>
  <si>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</si>
  <si>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</si>
  <si>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</si>
  <si>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</si>
  <si>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</si>
  <si>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</si>
  <si>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</si>
  <si>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</si>
  <si>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</si>
  <si>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</si>
  <si>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</si>
  <si>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</si>
  <si>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</si>
  <si>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</si>
  <si>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</si>
  <si>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</si>
  <si>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</si>
  <si>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</si>
  <si>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</si>
  <si>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</si>
  <si>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</si>
  <si>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</si>
  <si>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</si>
  <si>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</si>
  <si>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</si>
  <si>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</si>
  <si>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</si>
  <si>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</si>
  <si>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</si>
  <si>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</si>
  <si>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</si>
  <si>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</si>
  <si>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</si>
  <si>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</si>
  <si>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</si>
  <si>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</si>
  <si>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</si>
  <si>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</si>
  <si>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</si>
  <si>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</si>
  <si>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</si>
  <si>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</si>
  <si>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</si>
  <si>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</si>
  <si>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</si>
  <si>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</si>
  <si>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</si>
  <si>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</si>
  <si>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</si>
  <si>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</si>
  <si>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</si>
  <si>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</si>
  <si>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</si>
  <si>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</si>
  <si>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</si>
  <si>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</si>
  <si>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</si>
  <si>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</si>
  <si>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</si>
  <si>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</si>
  <si>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</si>
  <si>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</si>
  <si>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</si>
  <si>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</si>
  <si>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</si>
  <si>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</si>
  <si>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</si>
  <si>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</si>
  <si>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</si>
  <si>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</si>
  <si>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</si>
  <si>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</si>
  <si>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</si>
  <si>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</si>
  <si>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</si>
  <si>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</si>
  <si>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</si>
  <si>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</si>
  <si>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</si>
  <si>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</si>
  <si>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</si>
  <si>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</si>
  <si>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</si>
  <si>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</si>
  <si>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</si>
  <si>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</si>
  <si>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</si>
  <si>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</si>
  <si>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</si>
  <si>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</si>
  <si>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</si>
  <si>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</si>
  <si>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</si>
  <si>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</si>
  <si>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</si>
  <si>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</si>
  <si>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</si>
  <si>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</si>
  <si>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</si>
  <si>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</si>
  <si>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</si>
  <si>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</si>
  <si>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</si>
  <si>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</si>
  <si>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</si>
  <si>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</si>
  <si>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</si>
  <si>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</si>
  <si>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</si>
  <si>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</si>
  <si>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</si>
  <si>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</si>
  <si>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</si>
  <si>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</si>
  <si>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</si>
  <si>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</si>
  <si>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</si>
  <si>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</si>
  <si>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</si>
  <si>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</si>
  <si>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</si>
  <si>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</si>
  <si>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</si>
  <si>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</si>
  <si>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</si>
  <si>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</si>
  <si>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</si>
  <si>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</si>
  <si>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</si>
  <si>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</si>
  <si>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</si>
  <si>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</si>
  <si>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</si>
  <si>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</si>
  <si>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</si>
  <si>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</si>
  <si>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</si>
  <si>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</si>
  <si>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</si>
  <si>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</si>
  <si>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</si>
  <si>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</si>
  <si>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</si>
  <si>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</si>
  <si>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</si>
  <si>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</si>
  <si>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</si>
  <si>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</si>
  <si>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</si>
  <si>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</si>
  <si>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</si>
  <si>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</si>
  <si>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</si>
  <si>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</si>
  <si>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</si>
  <si>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</si>
  <si>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</si>
  <si>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</si>
  <si>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</si>
  <si>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</si>
  <si>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</si>
  <si>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</si>
  <si>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</si>
  <si>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</si>
  <si>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</si>
  <si>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</si>
  <si>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</si>
  <si>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</si>
  <si>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</si>
  <si>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</si>
  <si>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</si>
  <si>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</si>
  <si>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</si>
  <si>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</si>
  <si>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</si>
  <si>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</si>
  <si>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</si>
  <si>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</si>
  <si>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</si>
  <si>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</si>
  <si>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</si>
  <si>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</si>
  <si>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</si>
  <si>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</si>
  <si>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</si>
  <si>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</si>
  <si>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</si>
  <si>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</si>
  <si>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</si>
  <si>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</si>
  <si>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</si>
  <si>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</si>
  <si>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</si>
  <si>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</si>
  <si>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</si>
  <si>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</si>
  <si>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</si>
  <si>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</si>
  <si>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</si>
  <si>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</si>
  <si>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</si>
  <si>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</si>
  <si>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</si>
  <si>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</si>
  <si>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</si>
  <si>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</si>
  <si>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</si>
  <si>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</si>
  <si>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</si>
  <si>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</si>
  <si>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</si>
  <si>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</si>
  <si>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</si>
  <si>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</si>
  <si>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</si>
  <si>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</si>
  <si>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</si>
  <si>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</si>
  <si>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</si>
  <si>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</si>
  <si>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</si>
  <si>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</si>
  <si>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</si>
  <si>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</si>
  <si>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</si>
  <si>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</si>
  <si>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</si>
  <si>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</si>
  <si>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</si>
  <si>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</si>
  <si>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</si>
  <si>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</si>
  <si>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</si>
  <si>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</si>
  <si>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</si>
  <si>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</si>
  <si>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</si>
  <si>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</si>
  <si>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</si>
  <si>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</si>
  <si>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</si>
  <si>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</si>
  <si>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</si>
  <si>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</si>
  <si>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</si>
  <si>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</si>
  <si>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</si>
  <si>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</si>
  <si>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</si>
  <si>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</si>
  <si>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</si>
  <si>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</si>
  <si>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</si>
  <si>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</si>
  <si>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</si>
  <si>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</si>
  <si>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</si>
  <si>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</si>
  <si>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</si>
  <si>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</si>
  <si>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</si>
  <si>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</si>
  <si>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</si>
  <si>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</si>
  <si>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</si>
  <si>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</si>
  <si>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</si>
  <si>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</si>
  <si>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</si>
  <si>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</si>
  <si>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</si>
  <si>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</si>
  <si>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</si>
  <si>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</si>
  <si>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</si>
  <si>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</si>
  <si>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</si>
  <si>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</si>
  <si>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</si>
  <si>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</si>
  <si>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</si>
  <si>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</si>
  <si>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</si>
  <si>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</si>
  <si>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</si>
  <si>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</si>
  <si>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</si>
  <si>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</si>
  <si>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</si>
  <si>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</si>
  <si>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</si>
  <si>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</si>
  <si>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</si>
  <si>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</si>
  <si>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</si>
  <si>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</si>
  <si>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</si>
  <si>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</si>
  <si>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</si>
  <si>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</si>
  <si>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</si>
  <si>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</si>
  <si>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</si>
  <si>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</si>
  <si>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</si>
  <si>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</si>
  <si>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</si>
  <si>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</si>
  <si>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</si>
  <si>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</si>
  <si>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</si>
  <si>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</si>
  <si>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</si>
  <si>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</si>
  <si>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</si>
  <si>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</si>
  <si>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</si>
  <si>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</si>
  <si>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</si>
  <si>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</si>
  <si>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</si>
  <si>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</si>
  <si>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</si>
  <si>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</si>
  <si>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</si>
  <si>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</si>
  <si>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</si>
  <si>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</si>
  <si>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</si>
  <si>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</si>
  <si>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</si>
  <si>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</si>
  <si>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</si>
  <si>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</si>
  <si>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</si>
  <si>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</si>
  <si>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</si>
  <si>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</si>
  <si>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</si>
  <si>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</si>
  <si>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</si>
  <si>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</si>
  <si>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</si>
  <si>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</si>
  <si>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</si>
  <si>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</si>
  <si>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</si>
  <si>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</si>
  <si>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</si>
  <si>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</si>
  <si>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</si>
  <si>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</si>
  <si>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</si>
  <si>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</si>
  <si>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</si>
  <si>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</si>
  <si>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</si>
  <si>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</si>
  <si>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</si>
  <si>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</si>
  <si>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</si>
  <si>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</si>
  <si>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</si>
  <si>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</si>
  <si>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</si>
  <si>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</si>
  <si>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</si>
  <si>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</si>
  <si>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</si>
  <si>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</si>
  <si>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</si>
  <si>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</si>
  <si>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</si>
  <si>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</si>
  <si>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</si>
  <si>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</si>
  <si>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</si>
  <si>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</si>
  <si>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</si>
  <si>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</si>
  <si>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</si>
  <si>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</si>
  <si>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</si>
  <si>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</si>
  <si>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</si>
  <si>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</si>
  <si>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</si>
  <si>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</si>
  <si>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</si>
  <si>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</si>
  <si>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</si>
  <si>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</si>
  <si>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</si>
  <si>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</si>
  <si>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</si>
  <si>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</si>
  <si>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</si>
  <si>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</si>
  <si>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</si>
  <si>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</si>
  <si>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</si>
  <si>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</si>
  <si>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</si>
  <si>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</si>
  <si>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</si>
  <si>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</si>
  <si>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</si>
  <si>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</si>
  <si>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</si>
  <si>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</si>
  <si>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</si>
  <si>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</si>
  <si>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</si>
  <si>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</si>
  <si>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</si>
  <si>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</si>
  <si>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</si>
  <si>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</si>
  <si>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</si>
  <si>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</si>
  <si>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</si>
  <si>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</si>
  <si>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</si>
  <si>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</si>
  <si>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</si>
  <si>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</si>
  <si>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</si>
  <si>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</si>
  <si>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</si>
  <si>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</si>
  <si>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</si>
  <si>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</si>
  <si>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</si>
  <si>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</si>
  <si>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</si>
  <si>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</si>
  <si>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</si>
  <si>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</si>
  <si>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</si>
  <si>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</si>
  <si>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</si>
  <si>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</si>
  <si>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</si>
  <si>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</si>
  <si>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</si>
  <si>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</si>
  <si>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</si>
  <si>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</si>
  <si>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</si>
  <si>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</si>
  <si>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</si>
  <si>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</si>
  <si>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</si>
  <si>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</si>
  <si>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</si>
  <si>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</si>
  <si>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</si>
  <si>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</si>
  <si>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</si>
  <si>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</si>
  <si>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</si>
  <si>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</si>
  <si>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</si>
  <si>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</si>
  <si>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</si>
  <si>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</si>
  <si>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</si>
  <si>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</si>
  <si>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</si>
  <si>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</si>
  <si>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</si>
  <si>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</si>
  <si>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</si>
  <si>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</si>
  <si>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</si>
  <si>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</si>
  <si>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</si>
  <si>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</si>
  <si>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</si>
  <si>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</si>
  <si>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</si>
  <si>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</si>
  <si>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</si>
  <si>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</si>
  <si>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</si>
  <si>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</si>
  <si>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</si>
  <si>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</si>
  <si>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</si>
  <si>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</si>
  <si>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</si>
  <si>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</si>
  <si>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</si>
  <si>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</si>
  <si>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</si>
  <si>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</si>
  <si>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</si>
  <si>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</si>
  <si>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</si>
  <si>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</si>
  <si>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</si>
  <si>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</si>
  <si>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</si>
  <si>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</si>
  <si>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</si>
  <si>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</si>
  <si>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</si>
  <si>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</si>
  <si>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</si>
  <si>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</si>
  <si>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</si>
  <si>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</si>
  <si>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</si>
  <si>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</si>
  <si>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</si>
  <si>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</si>
  <si>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</si>
  <si>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</si>
  <si>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</si>
  <si>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</si>
  <si>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</si>
  <si>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</si>
  <si>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</si>
  <si>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</si>
  <si>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</si>
  <si>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</si>
  <si>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</si>
  <si>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</si>
  <si>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</si>
  <si>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</si>
  <si>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</si>
  <si>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</si>
  <si>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</si>
  <si>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</si>
  <si>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</si>
  <si>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</si>
  <si>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</si>
  <si>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</si>
  <si>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</si>
  <si>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</si>
  <si>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</si>
  <si>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</si>
  <si>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</si>
  <si>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</si>
  <si>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</si>
  <si>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</si>
  <si>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</si>
  <si>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</si>
  <si>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</si>
  <si>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</si>
  <si>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</si>
  <si>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</si>
  <si>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</si>
  <si>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</si>
  <si>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</si>
  <si>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</si>
  <si>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</si>
  <si>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</si>
  <si>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</si>
  <si>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</si>
  <si>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</si>
  <si>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</si>
  <si>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</si>
  <si>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</si>
  <si>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</si>
  <si>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</si>
  <si>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</si>
  <si>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</si>
  <si>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</si>
  <si>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</si>
  <si>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</si>
  <si>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</si>
  <si>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</si>
  <si>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</si>
  <si>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</si>
  <si>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</si>
  <si>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</si>
  <si>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</si>
  <si>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</si>
  <si>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</si>
  <si>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</si>
  <si>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</si>
  <si>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</si>
  <si>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</si>
  <si>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</si>
  <si>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</si>
  <si>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</si>
  <si>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</si>
  <si>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</si>
  <si>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</si>
  <si>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</si>
  <si>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</si>
  <si>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</si>
  <si>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</si>
  <si>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</si>
  <si>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</si>
  <si>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</si>
  <si>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</si>
  <si>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</si>
  <si>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</si>
  <si>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</si>
  <si>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</si>
  <si>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</si>
  <si>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</si>
  <si>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</si>
  <si>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</si>
  <si>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</si>
  <si>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</si>
  <si>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</si>
  <si>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</si>
  <si>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</si>
  <si>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</si>
  <si>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</si>
  <si>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</si>
  <si>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</si>
  <si>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</si>
  <si>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</si>
  <si>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</si>
  <si>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</si>
  <si>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</si>
  <si>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</si>
  <si>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</si>
  <si>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</si>
  <si>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</si>
  <si>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</si>
  <si>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</si>
  <si>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</si>
  <si>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</si>
  <si>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</si>
  <si>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</si>
  <si>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</si>
  <si>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</si>
  <si>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</si>
  <si>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</si>
  <si>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</si>
  <si>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</si>
  <si>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</si>
  <si>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</si>
  <si>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</si>
  <si>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</si>
  <si>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</si>
  <si>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</si>
  <si>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</si>
  <si>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</si>
  <si>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</si>
  <si>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</si>
  <si>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</si>
  <si>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</si>
  <si>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</si>
  <si>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</si>
  <si>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</si>
  <si>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</si>
  <si>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</si>
  <si>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</si>
  <si>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</si>
  <si>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</si>
  <si>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</si>
  <si>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</si>
  <si>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</si>
  <si>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</si>
  <si>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</si>
  <si>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</si>
  <si>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</si>
  <si>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</si>
  <si>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</si>
  <si>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</si>
  <si>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</si>
  <si>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</si>
  <si>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</si>
  <si>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</si>
  <si>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</si>
  <si>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</si>
  <si>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</si>
  <si>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</si>
  <si>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</si>
  <si>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</si>
  <si>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</si>
  <si>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</si>
  <si>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</si>
  <si>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</si>
  <si>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</si>
  <si>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</si>
  <si>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</si>
  <si>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</si>
  <si>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</si>
  <si>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</si>
  <si>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</si>
  <si>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</si>
  <si>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</si>
  <si>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</si>
  <si>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</si>
  <si>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</si>
  <si>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</si>
  <si>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</si>
  <si>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</si>
  <si>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</si>
  <si>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</si>
  <si>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</si>
  <si>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</si>
  <si>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</si>
  <si>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</si>
  <si>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</si>
  <si>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</si>
  <si>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</si>
  <si>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</si>
  <si>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</si>
  <si>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</si>
  <si>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</si>
  <si>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</si>
  <si>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</si>
  <si>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</si>
  <si>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</si>
  <si>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</si>
  <si>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</si>
  <si>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</si>
  <si>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</si>
  <si>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</si>
  <si>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</si>
  <si>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</si>
  <si>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</si>
  <si>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</si>
  <si>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</si>
  <si>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</si>
  <si>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</si>
  <si>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</si>
  <si>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</si>
  <si>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</si>
  <si>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</si>
  <si>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</si>
  <si>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</si>
  <si>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</si>
  <si>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</si>
  <si>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</si>
  <si>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</si>
  <si>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</si>
  <si>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</si>
  <si>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</si>
  <si>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</si>
  <si>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</si>
  <si>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</si>
  <si>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</si>
  <si>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</si>
  <si>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</si>
  <si>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</si>
  <si>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</si>
  <si>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</si>
  <si>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</si>
  <si>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</si>
  <si>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</si>
  <si>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</si>
  <si>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</si>
  <si>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</si>
  <si>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</si>
  <si>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</si>
  <si>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</si>
  <si>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</si>
  <si>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</si>
  <si>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</si>
  <si>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</si>
  <si>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</si>
  <si>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</si>
  <si>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</si>
  <si>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</si>
  <si>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</si>
  <si>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</si>
  <si>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</si>
  <si>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</si>
  <si>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</si>
  <si>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</si>
  <si>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</si>
  <si>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</si>
  <si>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</si>
  <si>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</si>
  <si>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</si>
  <si>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</si>
  <si>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</si>
  <si>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</si>
  <si>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</si>
  <si>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</si>
  <si>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</si>
  <si>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</si>
  <si>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</si>
  <si>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</si>
  <si>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</si>
  <si>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</si>
  <si>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</si>
  <si>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</si>
  <si>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</si>
  <si>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</si>
  <si>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</si>
  <si>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</si>
  <si>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</si>
  <si>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</si>
  <si>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</si>
  <si>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</si>
  <si>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</si>
  <si>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</si>
  <si>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</si>
  <si>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</si>
  <si>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</si>
  <si>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</si>
  <si>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</si>
  <si>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</si>
  <si>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</si>
  <si>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</si>
  <si>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</si>
  <si>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</si>
  <si>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</si>
  <si>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</si>
  <si>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</si>
  <si>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</si>
  <si>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</si>
  <si>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</si>
  <si>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</si>
  <si>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</si>
  <si>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</si>
  <si>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</si>
  <si>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</si>
  <si>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</si>
  <si>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</si>
  <si>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</si>
  <si>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</si>
  <si>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</si>
  <si>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</si>
  <si>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</si>
  <si>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</si>
  <si>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</si>
  <si>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</si>
  <si>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</si>
  <si>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</si>
  <si>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</si>
  <si>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</si>
  <si>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</si>
  <si>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</si>
  <si>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</si>
  <si>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</si>
  <si>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</si>
  <si>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</si>
  <si>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</si>
  <si>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</si>
  <si>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</si>
  <si>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</si>
  <si>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</si>
  <si>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</si>
  <si>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</si>
  <si>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</si>
  <si>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</si>
  <si>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</si>
  <si>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</si>
  <si>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</si>
  <si>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</si>
  <si>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</si>
  <si>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</si>
  <si>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</si>
  <si>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</si>
  <si>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</si>
  <si>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</si>
  <si>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</si>
  <si>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</si>
  <si>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</si>
  <si>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</si>
  <si>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</si>
  <si>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</si>
  <si>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</si>
  <si>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</si>
  <si>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</si>
  <si>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</si>
  <si>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</si>
  <si>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</si>
  <si>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</si>
  <si>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</si>
  <si>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</si>
  <si>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</si>
  <si>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</si>
  <si>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</si>
  <si>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</si>
  <si>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</si>
  <si>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</si>
  <si>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</si>
  <si>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</si>
  <si>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</si>
  <si>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</si>
  <si>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</si>
  <si>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</si>
  <si>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</si>
  <si>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</si>
  <si>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</si>
  <si>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</si>
  <si>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</si>
  <si>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</si>
  <si>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</si>
  <si>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</si>
  <si>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</si>
  <si>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</si>
  <si>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</si>
  <si>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</si>
  <si>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</si>
  <si>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</si>
  <si>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</si>
  <si>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</si>
  <si>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</si>
  <si>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</si>
  <si>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</si>
  <si>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</si>
  <si>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</si>
  <si>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</si>
  <si>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</si>
  <si>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</si>
  <si>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</si>
  <si>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</si>
  <si>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</si>
  <si>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</si>
  <si>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</si>
  <si>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</si>
  <si>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</si>
  <si>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</si>
  <si>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</si>
  <si>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</si>
  <si>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</si>
  <si>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</si>
  <si>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</si>
  <si>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</si>
  <si>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</si>
  <si>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</si>
  <si>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</si>
  <si>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</si>
  <si>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</si>
  <si>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</si>
  <si>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</si>
  <si>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</si>
  <si>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</si>
  <si>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</si>
  <si>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</si>
  <si>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</si>
  <si>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</si>
  <si>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</si>
  <si>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</si>
  <si>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</si>
  <si>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</si>
  <si>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</si>
  <si>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</si>
  <si>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</si>
  <si>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</si>
  <si>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</si>
  <si>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</si>
  <si>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</si>
  <si>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</si>
  <si>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</si>
  <si>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</si>
  <si>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</si>
  <si>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</si>
  <si>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</si>
  <si>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</si>
  <si>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</si>
  <si>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</si>
  <si>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</si>
  <si>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</si>
  <si>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</si>
  <si>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</si>
  <si>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</si>
  <si>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</si>
  <si>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</si>
  <si>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</si>
  <si>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</si>
  <si>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</si>
  <si>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</si>
  <si>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</si>
  <si>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</si>
  <si>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</si>
  <si>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</si>
  <si>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</si>
  <si>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</si>
  <si>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</si>
  <si>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</si>
  <si>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</si>
  <si>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</si>
  <si>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</si>
  <si>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</si>
  <si>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</si>
  <si>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</si>
  <si>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</si>
  <si>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</si>
  <si>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</si>
  <si>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</si>
  <si>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</si>
  <si>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</si>
  <si>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</si>
  <si>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</si>
  <si>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</si>
  <si>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</si>
  <si>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</si>
  <si>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</si>
  <si>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</si>
  <si>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</si>
  <si>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</si>
  <si>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</si>
  <si>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</si>
  <si>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</si>
  <si>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</si>
  <si>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</si>
  <si>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</si>
  <si>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</si>
  <si>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</si>
  <si>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</si>
  <si>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</si>
  <si>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</si>
  <si>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</si>
  <si>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</si>
  <si>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</si>
  <si>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</si>
  <si>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</si>
  <si>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</si>
  <si>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</si>
  <si>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</si>
  <si>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</si>
  <si>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</si>
  <si>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</si>
  <si>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</si>
  <si>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</si>
  <si>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</si>
  <si>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</si>
  <si>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</si>
  <si>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</si>
  <si>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</si>
  <si>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</si>
  <si>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</si>
  <si>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</si>
  <si>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</si>
  <si>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</si>
  <si>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</si>
  <si>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</si>
  <si>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</si>
  <si>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</si>
  <si>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</si>
  <si>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</si>
  <si>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</si>
  <si>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</si>
  <si>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</si>
  <si>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</si>
  <si>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</si>
  <si>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</si>
  <si>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</si>
  <si>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</si>
  <si>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</si>
  <si>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</si>
  <si>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</si>
  <si>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</si>
  <si>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</si>
  <si>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</si>
  <si>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</si>
  <si>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</si>
  <si>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</si>
  <si>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</si>
  <si>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</si>
  <si>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</si>
  <si>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</si>
  <si>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</si>
  <si>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</si>
  <si>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</si>
  <si>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</si>
  <si>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</si>
  <si>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</si>
  <si>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</si>
  <si>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</si>
  <si>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</si>
  <si>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</si>
  <si>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</si>
  <si>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</si>
  <si>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</si>
  <si>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</si>
  <si>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</si>
  <si>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</si>
  <si>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</si>
  <si>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</si>
  <si>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</si>
  <si>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</si>
  <si>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</si>
  <si>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</si>
  <si>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</si>
  <si>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</si>
  <si>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</si>
  <si>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</si>
  <si>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</si>
  <si>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</si>
  <si>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</si>
  <si>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</si>
  <si>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</si>
  <si>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</si>
  <si>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</si>
  <si>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</si>
  <si>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</si>
  <si>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</si>
  <si>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</si>
  <si>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</si>
  <si>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</si>
  <si>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</si>
  <si>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</si>
  <si>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</si>
  <si>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</si>
  <si>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</si>
  <si>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</si>
  <si>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</si>
  <si>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</si>
  <si>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</si>
  <si>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</si>
  <si>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</si>
  <si>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</si>
  <si>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</si>
  <si>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</si>
  <si>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</si>
  <si>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</si>
  <si>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</si>
  <si>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</si>
  <si>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</si>
  <si>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</si>
  <si>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</si>
  <si>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</si>
  <si>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</si>
  <si>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</si>
  <si>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</si>
  <si>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</si>
  <si>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</si>
  <si>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</si>
  <si>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</si>
  <si>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</si>
  <si>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</si>
  <si>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</si>
  <si>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</si>
  <si>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</si>
  <si>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</si>
  <si>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</si>
  <si>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</si>
  <si>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</si>
  <si>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</si>
  <si>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</si>
  <si>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</si>
  <si>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</si>
  <si>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</si>
  <si>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</si>
  <si>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</si>
  <si>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</si>
  <si>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</si>
  <si>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</si>
  <si>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</si>
  <si>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</si>
  <si>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</si>
  <si>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</si>
  <si>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</si>
  <si>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</si>
  <si>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</si>
  <si>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</si>
  <si>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</si>
  <si>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</si>
  <si>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</si>
  <si>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</si>
  <si>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</si>
  <si>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</si>
  <si>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</si>
  <si>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</si>
  <si>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</si>
  <si>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</si>
  <si>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</si>
  <si>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</si>
  <si>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</si>
  <si>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</si>
  <si>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</si>
  <si>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</si>
  <si>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</si>
  <si>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</si>
  <si>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</si>
  <si>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</si>
  <si>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</si>
  <si>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</si>
  <si>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</si>
  <si>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</si>
  <si>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</si>
  <si>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</si>
  <si>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</si>
  <si>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</si>
  <si>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</si>
  <si>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</si>
  <si>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</si>
  <si>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</si>
  <si>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</si>
  <si>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</si>
  <si>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</si>
  <si>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</si>
  <si>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</si>
  <si>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</si>
  <si>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</si>
  <si>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</si>
  <si>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</si>
  <si>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</si>
  <si>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</si>
  <si>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</si>
  <si>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</si>
  <si>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</si>
  <si>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</si>
  <si>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</si>
  <si>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</si>
  <si>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</si>
  <si>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</si>
  <si>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</si>
  <si>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</si>
  <si>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</si>
  <si>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</si>
  <si>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</si>
  <si>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</si>
  <si>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</si>
  <si>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</si>
  <si>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</si>
  <si>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</si>
  <si>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</si>
  <si>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</si>
  <si>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</si>
  <si>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</si>
  <si>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</si>
  <si>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</si>
  <si>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</si>
  <si>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</si>
  <si>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</si>
  <si>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</si>
  <si>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</si>
  <si>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</si>
  <si>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</si>
  <si>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</si>
  <si>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</si>
  <si>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</si>
  <si>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</si>
  <si>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</si>
  <si>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</si>
  <si>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</si>
  <si>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</si>
  <si>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</si>
  <si>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</si>
  <si>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</si>
  <si>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</si>
  <si>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</si>
  <si>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</si>
  <si>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</si>
  <si>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</si>
  <si>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</si>
  <si>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</si>
  <si>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</si>
  <si>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</si>
  <si>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</si>
  <si>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</si>
  <si>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</si>
  <si>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</si>
  <si>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</si>
  <si>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</si>
  <si>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</si>
  <si>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</si>
  <si>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</si>
  <si>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</si>
  <si>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</si>
  <si>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</si>
  <si>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</si>
  <si>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</si>
  <si>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</si>
  <si>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</si>
  <si>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</si>
  <si>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</si>
  <si>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</si>
  <si>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</si>
  <si>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</si>
  <si>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</si>
  <si>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</si>
  <si>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</si>
  <si>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</si>
  <si>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</si>
  <si>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</si>
  <si>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</si>
  <si>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</si>
  <si>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</si>
  <si>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</si>
  <si>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</si>
  <si>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</si>
  <si>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</si>
  <si>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</si>
  <si>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</si>
  <si>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</si>
  <si>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</si>
  <si>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</si>
  <si>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</si>
  <si>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</si>
  <si>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</si>
  <si>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</si>
  <si>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</si>
  <si>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</si>
  <si>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</si>
  <si>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</si>
  <si>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</si>
  <si>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</si>
  <si>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</si>
  <si>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</si>
  <si>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</si>
  <si>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</si>
  <si>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</si>
  <si>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</si>
  <si>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</si>
  <si>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</si>
  <si>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</si>
  <si>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</si>
  <si>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</si>
  <si>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</si>
  <si>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</si>
  <si>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</si>
  <si>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</si>
  <si>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</si>
  <si>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</si>
  <si>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</si>
  <si>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</si>
  <si>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</si>
  <si>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</si>
  <si>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</si>
  <si>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</si>
  <si>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</si>
  <si>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</si>
  <si>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</si>
  <si>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</si>
  <si>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</si>
  <si>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</si>
  <si>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</si>
  <si>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</si>
  <si>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</si>
  <si>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</si>
  <si>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</si>
  <si>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</si>
  <si>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</si>
  <si>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</si>
  <si>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</si>
  <si>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</si>
  <si>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</si>
  <si>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</si>
  <si>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</si>
  <si>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</si>
  <si>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</si>
  <si>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</si>
  <si>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</si>
  <si>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</si>
  <si>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</si>
  <si>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</si>
  <si>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</si>
  <si>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</si>
  <si>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</si>
  <si>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</si>
  <si>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</si>
  <si>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</si>
  <si>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</si>
  <si>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</si>
  <si>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</si>
  <si>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</si>
  <si>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</si>
  <si>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</si>
  <si>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</si>
  <si>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</si>
  <si>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</si>
  <si>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</si>
  <si>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</si>
  <si>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</si>
  <si>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</si>
  <si>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</si>
  <si>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</si>
  <si>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</si>
  <si>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</si>
  <si>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</si>
  <si>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</si>
  <si>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</si>
  <si>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</si>
  <si>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</si>
  <si>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</si>
  <si>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</si>
  <si>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</si>
  <si>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</si>
  <si>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</si>
  <si>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</si>
  <si>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</si>
  <si>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</si>
  <si>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</si>
  <si>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</si>
  <si>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</si>
  <si>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</si>
  <si>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</si>
  <si>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</si>
  <si>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</si>
  <si>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</si>
  <si>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</si>
  <si>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</si>
  <si>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</si>
  <si>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</si>
  <si>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</si>
  <si>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</si>
  <si>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</si>
  <si>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</si>
  <si>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</si>
  <si>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</si>
  <si>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</si>
  <si>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</si>
  <si>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</si>
  <si>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</si>
  <si>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</si>
  <si>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</si>
  <si>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</si>
  <si>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</si>
  <si>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</si>
  <si>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</si>
  <si>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</si>
  <si>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</si>
  <si>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</si>
  <si>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</si>
  <si>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</si>
  <si>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</si>
  <si>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</si>
  <si>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</si>
  <si>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</si>
  <si>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</si>
  <si>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</si>
  <si>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</si>
  <si>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</si>
  <si>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</si>
  <si>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</si>
  <si>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</si>
  <si>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</si>
  <si>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</si>
  <si>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</si>
  <si>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</si>
  <si>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</si>
  <si>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</si>
  <si>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</si>
  <si>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</si>
  <si>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</si>
  <si>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</si>
  <si>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</si>
  <si>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</si>
  <si>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</si>
  <si>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</si>
  <si>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</si>
  <si>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</si>
  <si>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</si>
  <si>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</si>
  <si>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</si>
  <si>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</si>
  <si>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</si>
  <si>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</si>
  <si>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</si>
  <si>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</si>
  <si>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</si>
  <si>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</si>
  <si>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</si>
  <si>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</si>
  <si>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</si>
  <si>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</si>
  <si>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</si>
  <si>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</si>
  <si>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</si>
  <si>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</si>
  <si>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</si>
  <si>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</si>
  <si>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</si>
  <si>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</si>
  <si>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</si>
  <si>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</si>
  <si>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</si>
  <si>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</si>
  <si>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</si>
  <si>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</si>
  <si>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</si>
  <si>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</si>
  <si>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</si>
  <si>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</si>
  <si>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</si>
  <si>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</si>
  <si>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</si>
  <si>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</si>
  <si>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</si>
  <si>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</si>
  <si>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</si>
  <si>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</si>
  <si>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</si>
  <si>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</si>
  <si>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</si>
  <si>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</si>
  <si>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</si>
  <si>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</si>
  <si>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</si>
  <si>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</si>
  <si>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</si>
  <si>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</si>
  <si>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</si>
  <si>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</si>
  <si>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</si>
  <si>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</si>
  <si>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</si>
  <si>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</si>
  <si>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</si>
  <si>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</si>
  <si>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</si>
  <si>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</si>
  <si>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</si>
  <si>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</si>
  <si>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</si>
  <si>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</si>
  <si>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</si>
  <si>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</si>
  <si>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</si>
  <si>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</si>
  <si>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</si>
  <si>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</si>
  <si>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</si>
  <si>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</si>
  <si>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</si>
  <si>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</si>
  <si>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</si>
  <si>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</si>
  <si>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</si>
  <si>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</si>
  <si>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</si>
  <si>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</si>
  <si>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</si>
  <si>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</si>
  <si>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</si>
  <si>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</si>
  <si>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</si>
  <si>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</si>
  <si>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</si>
  <si>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</si>
  <si>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</si>
  <si>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</si>
  <si>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</si>
  <si>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</si>
  <si>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</si>
  <si>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</si>
  <si>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</si>
  <si>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</si>
  <si>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</si>
  <si>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</si>
  <si>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</si>
  <si>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</si>
  <si>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</si>
  <si>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</si>
  <si>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</si>
  <si>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</si>
  <si>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</si>
  <si>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</si>
  <si>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</si>
  <si>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</si>
  <si>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</si>
  <si>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</si>
  <si>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</si>
  <si>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</si>
  <si>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</si>
  <si>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</si>
  <si>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</si>
  <si>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</si>
  <si>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</si>
  <si>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</si>
  <si>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</si>
  <si>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</si>
  <si>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</si>
  <si>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</si>
  <si>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</si>
  <si>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</si>
  <si>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</si>
  <si>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</si>
  <si>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</si>
  <si>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</si>
  <si>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</si>
  <si>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</si>
  <si>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</si>
  <si>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</si>
  <si>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</si>
  <si>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</si>
  <si>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</si>
  <si>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</si>
  <si>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</si>
  <si>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</si>
  <si>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</si>
  <si>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</si>
  <si>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</si>
  <si>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</si>
  <si>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</si>
  <si>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</si>
  <si>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</si>
  <si>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</si>
  <si>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</si>
  <si>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</si>
  <si>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</si>
  <si>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</si>
  <si>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</si>
  <si>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</si>
  <si>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</si>
  <si>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</si>
  <si>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</si>
  <si>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</si>
  <si>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</si>
  <si>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</si>
  <si>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</si>
  <si>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</si>
  <si>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</si>
  <si>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</si>
  <si>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</si>
  <si>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</si>
  <si>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</si>
  <si>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</si>
  <si>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</si>
  <si>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</si>
  <si>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</si>
  <si>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</si>
  <si>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</si>
  <si>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</si>
  <si>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</si>
  <si>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</si>
  <si>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</si>
  <si>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</si>
  <si>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</si>
  <si>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</si>
  <si>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</si>
  <si>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</si>
  <si>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</si>
  <si>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</si>
  <si>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</si>
  <si>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</si>
  <si>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</si>
  <si>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</si>
  <si>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</si>
  <si>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</si>
  <si>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</si>
  <si>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</si>
  <si>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</si>
  <si>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</si>
  <si>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</si>
  <si>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</si>
  <si>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</si>
  <si>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</si>
  <si>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</si>
  <si>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</si>
  <si>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</si>
  <si>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</si>
  <si>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</si>
  <si>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</si>
  <si>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</si>
  <si>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</si>
  <si>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</si>
  <si>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</si>
  <si>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</si>
  <si>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</si>
  <si>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</si>
  <si>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</si>
  <si>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</si>
  <si>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</si>
  <si>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</si>
  <si>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</si>
  <si>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</si>
  <si>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</si>
  <si>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</si>
  <si>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</si>
  <si>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</si>
  <si>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</si>
  <si>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</si>
  <si>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</si>
  <si>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</si>
  <si>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</si>
  <si>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</si>
  <si>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</si>
  <si>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</si>
  <si>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</si>
  <si>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</si>
  <si>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</si>
  <si>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</si>
  <si>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</si>
  <si>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</si>
  <si>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</si>
  <si>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</si>
  <si>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</si>
  <si>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</si>
  <si>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</si>
  <si>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</si>
  <si>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</si>
  <si>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</si>
  <si>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</si>
  <si>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</si>
  <si>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</si>
  <si>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</si>
  <si>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</si>
  <si>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</si>
  <si>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</si>
  <si>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</si>
  <si>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</si>
  <si>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</si>
  <si>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</si>
  <si>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</si>
  <si>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</si>
  <si>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</si>
  <si>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</si>
  <si>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</si>
  <si>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</si>
  <si>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</si>
  <si>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</si>
  <si>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</si>
  <si>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</si>
  <si>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</si>
  <si>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</si>
  <si>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</si>
  <si>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</si>
  <si>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</si>
  <si>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</si>
  <si>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</si>
  <si>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</si>
  <si>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</si>
  <si>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</si>
  <si>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</si>
  <si>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</si>
  <si>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</si>
  <si>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</si>
  <si>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</si>
  <si>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</si>
  <si>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</si>
  <si>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</si>
  <si>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</si>
  <si>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</si>
  <si>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</si>
  <si>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</si>
  <si>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</si>
  <si>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</si>
  <si>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</si>
  <si>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</si>
  <si>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</si>
  <si>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</si>
  <si>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</si>
  <si>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</si>
  <si>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</si>
  <si>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</si>
  <si>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</si>
  <si>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</si>
  <si>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</si>
  <si>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</si>
  <si>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</si>
  <si>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</si>
  <si>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</si>
  <si>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</si>
  <si>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</si>
  <si>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</si>
  <si>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</si>
  <si>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</si>
  <si>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</si>
  <si>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</si>
  <si>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</si>
  <si>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</si>
  <si>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</si>
  <si>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</si>
  <si>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</si>
  <si>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</si>
  <si>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</si>
  <si>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</si>
  <si>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</si>
  <si>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</si>
  <si>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</si>
  <si>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</si>
  <si>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</si>
  <si>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</si>
  <si>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</si>
  <si>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</si>
  <si>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</si>
  <si>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</si>
  <si>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</si>
  <si>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</si>
  <si>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</si>
  <si>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</si>
  <si>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</si>
  <si>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</si>
  <si>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</si>
  <si>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</si>
  <si>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</si>
  <si>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</si>
  <si>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</si>
  <si>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</si>
  <si>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</si>
  <si>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</si>
  <si>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</si>
  <si>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</si>
  <si>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</si>
  <si>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</si>
  <si>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</si>
  <si>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</si>
  <si>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</si>
  <si>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</si>
  <si>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</si>
  <si>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</si>
  <si>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</si>
  <si>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</si>
  <si>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</si>
  <si>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</si>
  <si>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</si>
  <si>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</si>
  <si>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</si>
  <si>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</si>
  <si>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</si>
  <si>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</si>
  <si>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</si>
  <si>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</si>
  <si>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</si>
  <si>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</si>
  <si>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</si>
  <si>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</si>
  <si>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</si>
  <si>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</si>
  <si>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</si>
  <si>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</si>
  <si>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</si>
  <si>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</si>
  <si>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</si>
  <si>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</si>
  <si>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</si>
  <si>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</si>
  <si>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</si>
  <si>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</si>
  <si>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</si>
  <si>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</si>
  <si>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</si>
  <si>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</si>
  <si>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</si>
  <si>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</si>
  <si>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</si>
  <si>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</si>
  <si>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</si>
  <si>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</si>
  <si>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</si>
  <si>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</si>
  <si>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</si>
  <si>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</si>
  <si>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</si>
  <si>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</si>
  <si>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</si>
  <si>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</si>
  <si>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</si>
  <si>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</si>
  <si>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</si>
  <si>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</si>
  <si>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</si>
  <si>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</si>
  <si>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</si>
  <si>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</si>
  <si>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</si>
  <si>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</si>
  <si>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</si>
  <si>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</si>
  <si>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</si>
  <si>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</si>
  <si>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</si>
  <si>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</si>
  <si>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</si>
  <si>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</si>
  <si>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</si>
  <si>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</si>
  <si>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</si>
  <si>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</si>
  <si>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</si>
  <si>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</si>
  <si>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</si>
  <si>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</si>
  <si>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</si>
  <si>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</si>
  <si>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</si>
  <si>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</si>
  <si>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</si>
  <si>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</si>
  <si>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</si>
  <si>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</si>
  <si>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</si>
  <si>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</si>
  <si>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</si>
  <si>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</si>
  <si>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</si>
  <si>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</si>
  <si>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</si>
  <si>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</si>
  <si>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</si>
  <si>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</si>
  <si>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</si>
  <si>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</si>
  <si>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</si>
  <si>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</si>
  <si>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</si>
  <si>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</si>
  <si>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</si>
  <si>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</si>
  <si>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</si>
  <si>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</si>
  <si>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</si>
  <si>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</si>
  <si>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</si>
  <si>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</si>
  <si>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</si>
  <si>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</si>
  <si>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</si>
  <si>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</si>
  <si>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</si>
  <si>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</si>
  <si>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</si>
  <si>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</si>
  <si>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</si>
  <si>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</si>
  <si>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</si>
  <si>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</si>
  <si>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</si>
  <si>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</si>
  <si>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</si>
  <si>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</si>
  <si>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</si>
  <si>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</si>
  <si>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</si>
  <si>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</si>
  <si>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</si>
  <si>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</si>
  <si>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</si>
  <si>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</si>
  <si>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</si>
  <si>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</si>
  <si>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</si>
  <si>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</si>
  <si>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</si>
  <si>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</si>
  <si>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</si>
  <si>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</si>
  <si>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</si>
  <si>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</si>
  <si>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</si>
  <si>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</si>
  <si>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</si>
  <si>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</si>
  <si>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</si>
  <si>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</si>
  <si>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</si>
  <si>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</si>
  <si>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</si>
  <si>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</si>
  <si>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</si>
  <si>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</si>
  <si>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</si>
  <si>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</si>
  <si>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</si>
  <si>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</si>
  <si>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</si>
  <si>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</si>
  <si>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</si>
  <si>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</si>
  <si>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</si>
  <si>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</si>
  <si>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</si>
  <si>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</si>
  <si>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</si>
  <si>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</si>
  <si>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</si>
  <si>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</si>
  <si>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</si>
  <si>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</si>
  <si>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Row Labels</t>
  </si>
  <si>
    <t>Grand Total</t>
  </si>
  <si>
    <t>Count of outcomes</t>
  </si>
  <si>
    <t>(All)</t>
  </si>
  <si>
    <t>Date Ended Conversion column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</si>
  <si>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</si>
  <si>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</si>
  <si>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</si>
  <si>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</si>
  <si>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</si>
  <si>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</si>
  <si>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</si>
  <si>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</si>
  <si>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</si>
  <si>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</si>
  <si>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</si>
  <si>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</si>
  <si>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</si>
  <si>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</si>
  <si>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</si>
  <si>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</si>
  <si>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Pledged</t>
  </si>
  <si>
    <t>Average donation</t>
  </si>
  <si>
    <t xml:space="preserve">Numbers of backers </t>
  </si>
  <si>
    <t xml:space="preserve">Mean Goal </t>
  </si>
  <si>
    <t xml:space="preserve">Median Goal 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</si>
  <si>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</si>
  <si>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</si>
  <si>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</si>
  <si>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</si>
  <si>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</si>
  <si>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</si>
  <si>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</si>
  <si>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</si>
  <si>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Years </t>
  </si>
  <si>
    <t xml:space="preserve">Goals </t>
  </si>
  <si>
    <t>Number successful</t>
  </si>
  <si>
    <t>Number Failed</t>
  </si>
  <si>
    <t>Number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</si>
  <si>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</si>
  <si>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</si>
  <si>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</si>
  <si>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</si>
  <si>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</si>
  <si>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</si>
  <si>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</si>
  <si>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</si>
  <si>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</si>
  <si>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</si>
  <si>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 50000</t>
  </si>
  <si>
    <t>Total Projects</t>
  </si>
  <si>
    <t>Percentage Successful</t>
  </si>
  <si>
    <t>Percentage Failed</t>
  </si>
  <si>
    <t>Percentage Canceled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</si>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</sst>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edited .xlsx]Theater Outcomes by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Threatre</a:t>
            </a:r>
            <a:r>
              <a:rPr lang="en-US" b="1" baseline="0"/>
              <a:t>  Outcomes based on Launch date </a:t>
            </a:r>
            <a:endParaRPr lang="en-US" b="1"/>
          </a:p>
        </c:rich>
      </c:tx>
      <c:layout>
        <c:manualLayout>
          <c:xMode val="edge"/>
          <c:yMode val="edge"/>
          <c:x val="0.24122899410300985"/>
          <c:y val="7.4059729020358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4-49E6-AE5D-04668E76A7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4-49E6-AE5D-04668E76A7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4-49E6-AE5D-04668E76A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821880"/>
        <c:axId val="649823192"/>
      </c:lineChart>
      <c:catAx>
        <c:axId val="6498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3192"/>
        <c:crosses val="autoZero"/>
        <c:auto val="1"/>
        <c:lblAlgn val="ctr"/>
        <c:lblOffset val="100"/>
        <c:noMultiLvlLbl val="0"/>
      </c:catAx>
      <c:valAx>
        <c:axId val="64982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1480737603248832"/>
          <c:y val="4.174573055028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E-41BA-AA5C-E9674D3C6EC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E-41BA-AA5C-E9674D3C6EC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5E-41BA-AA5C-E9674D3C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123920"/>
        <c:axId val="788124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C5E-41BA-AA5C-E9674D3C6E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5E-41BA-AA5C-E9674D3C6E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5E-41BA-AA5C-E9674D3C6E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5E-41BA-AA5C-E9674D3C6ECF}"/>
                  </c:ext>
                </c:extLst>
              </c15:ser>
            </c15:filteredLineSeries>
          </c:ext>
        </c:extLst>
      </c:lineChart>
      <c:catAx>
        <c:axId val="7881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4576"/>
        <c:crosses val="autoZero"/>
        <c:auto val="1"/>
        <c:lblAlgn val="ctr"/>
        <c:lblOffset val="100"/>
        <c:noMultiLvlLbl val="0"/>
      </c:catAx>
      <c:valAx>
        <c:axId val="7881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edited 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4-43D0-9487-DABDBEF0BCC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4-43D0-9487-DABDBEF0BCC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4-43D0-9487-DABDBEF0BCC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D4-43D0-9487-DABDBEF0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57208"/>
        <c:axId val="837362456"/>
      </c:lineChart>
      <c:catAx>
        <c:axId val="83735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62456"/>
        <c:crosses val="autoZero"/>
        <c:auto val="1"/>
        <c:lblAlgn val="ctr"/>
        <c:lblOffset val="100"/>
        <c:noMultiLvlLbl val="0"/>
      </c:catAx>
      <c:valAx>
        <c:axId val="8373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[Kickstarter_Challenge.xlsx edited 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134020618556699"/>
          <c:y val="6.60778889125345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9-42BB-B20F-ACCC44A288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3290304"/>
        <c:axId val="603291616"/>
      </c:barChart>
      <c:catAx>
        <c:axId val="6032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1616"/>
        <c:crosses val="autoZero"/>
        <c:auto val="1"/>
        <c:lblAlgn val="ctr"/>
        <c:lblOffset val="100"/>
        <c:noMultiLvlLbl val="0"/>
      </c:catAx>
      <c:valAx>
        <c:axId val="603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edited 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D-4AD8-A35D-1A37E794F6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D-4AD8-A35D-1A37E794F6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D-4AD8-A35D-1A37E794F6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44372976"/>
        <c:axId val="744371664"/>
      </c:barChart>
      <c:catAx>
        <c:axId val="7443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71664"/>
        <c:crosses val="autoZero"/>
        <c:auto val="1"/>
        <c:lblAlgn val="ctr"/>
        <c:lblOffset val="100"/>
        <c:noMultiLvlLbl val="0"/>
      </c:catAx>
      <c:valAx>
        <c:axId val="744371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43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10</xdr:row>
      <xdr:rowOff>44450</xdr:rowOff>
    </xdr:from>
    <xdr:to>
      <xdr:col>15</xdr:col>
      <xdr:colOff>533400</xdr:colOff>
      <xdr:row>29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B1ED5-A92D-411D-B359-849781318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15</xdr:row>
      <xdr:rowOff>158750</xdr:rowOff>
    </xdr:from>
    <xdr:to>
      <xdr:col>9</xdr:col>
      <xdr:colOff>571500</xdr:colOff>
      <xdr:row>34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854AFB-76CC-465D-8481-AE93971AE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3</xdr:row>
      <xdr:rowOff>142874</xdr:rowOff>
    </xdr:from>
    <xdr:to>
      <xdr:col>11</xdr:col>
      <xdr:colOff>876300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D1752-308F-4833-8A2A-7120FB5A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69850</xdr:rowOff>
    </xdr:from>
    <xdr:to>
      <xdr:col>11</xdr:col>
      <xdr:colOff>590550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042FC-82AD-4370-8F99-FC8AB57ED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174624</xdr:rowOff>
    </xdr:from>
    <xdr:to>
      <xdr:col>16</xdr:col>
      <xdr:colOff>133350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2B22-97CE-4B71-BE68-245F06326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38011689816" createdVersion="7" refreshedVersion="7" minRefreshableVersion="3" recordCount="4114" xr:uid="{11EBDB29-4F04-49CC-B339-308E86DD82A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77278819444" createdVersion="7" refreshedVersion="7" minRefreshableVersion="3" recordCount="4114" xr:uid="{94B2384A-08BE-4645-A128-90A5125AE1E0}">
  <cacheSource type="worksheet">
    <worksheetSource ref="A1:T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80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74595960648" createdVersion="7" refreshedVersion="7" minRefreshableVersion="3" recordCount="4114" xr:uid="{B726C6D3-2C10-4F6C-81C4-E7453B9AEDD8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5-07-23T03:00:0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d v="2017-03-02T14:24:4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02-15T16:51:23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d v="2014-08-07T12:21:47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d v="2015-12-19T20:01:19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d v="2016-07-29T05:35:00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d v="2014-06-14T01:44:1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d v="2016-07-05T01:07:4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d v="2016-04-15T21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d v="2016-04-17T02:29:0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d v="2014-06-25T01:37:59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d v="2016-08-22T03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A3F0A-8011-41A3-8954-44E7AB02430F}" name="PivotTable1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9AA65-038C-42A0-A57A-4C365C105DBA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22E37-53EC-41BC-A6C3-948205FC1589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D00B9-274A-498C-A252-9E8C944A17C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5E75-87B5-49BE-ACA5-EF93F0A35EC2}">
  <dimension ref="A1:E18"/>
  <sheetViews>
    <sheetView tabSelected="1" workbookViewId="0">
      <selection activeCell="P6" sqref="P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8395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6" t="s">
        <v>8372</v>
      </c>
      <c r="B6" s="14">
        <v>56</v>
      </c>
      <c r="C6" s="14">
        <v>32</v>
      </c>
      <c r="D6" s="14">
        <v>7</v>
      </c>
      <c r="E6" s="14">
        <v>95</v>
      </c>
    </row>
    <row r="7" spans="1:5" x14ac:dyDescent="0.35">
      <c r="A7" s="16" t="s">
        <v>8373</v>
      </c>
      <c r="B7" s="14">
        <v>71</v>
      </c>
      <c r="C7" s="14">
        <v>38</v>
      </c>
      <c r="D7" s="14">
        <v>3</v>
      </c>
      <c r="E7" s="14">
        <v>112</v>
      </c>
    </row>
    <row r="8" spans="1:5" x14ac:dyDescent="0.35">
      <c r="A8" s="16" t="s">
        <v>8374</v>
      </c>
      <c r="B8" s="14">
        <v>56</v>
      </c>
      <c r="C8" s="14">
        <v>34</v>
      </c>
      <c r="D8" s="14">
        <v>3</v>
      </c>
      <c r="E8" s="14">
        <v>93</v>
      </c>
    </row>
    <row r="9" spans="1:5" x14ac:dyDescent="0.3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8376</v>
      </c>
      <c r="B10" s="14">
        <v>111</v>
      </c>
      <c r="C10" s="14">
        <v>53</v>
      </c>
      <c r="D10" s="14">
        <v>3</v>
      </c>
      <c r="E10" s="14">
        <v>167</v>
      </c>
    </row>
    <row r="11" spans="1:5" x14ac:dyDescent="0.35">
      <c r="A11" s="16" t="s">
        <v>8377</v>
      </c>
      <c r="B11" s="14">
        <v>100</v>
      </c>
      <c r="C11" s="14">
        <v>51</v>
      </c>
      <c r="D11" s="14">
        <v>4</v>
      </c>
      <c r="E11" s="14">
        <v>155</v>
      </c>
    </row>
    <row r="12" spans="1:5" x14ac:dyDescent="0.35">
      <c r="A12" s="16" t="s">
        <v>8378</v>
      </c>
      <c r="B12" s="14">
        <v>87</v>
      </c>
      <c r="C12" s="14">
        <v>52</v>
      </c>
      <c r="D12" s="14">
        <v>1</v>
      </c>
      <c r="E12" s="14">
        <v>140</v>
      </c>
    </row>
    <row r="13" spans="1:5" x14ac:dyDescent="0.35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8368</v>
      </c>
      <c r="B14" s="14">
        <v>59</v>
      </c>
      <c r="C14" s="14">
        <v>32</v>
      </c>
      <c r="D14" s="14">
        <v>4</v>
      </c>
      <c r="E14" s="14">
        <v>95</v>
      </c>
    </row>
    <row r="15" spans="1:5" x14ac:dyDescent="0.35">
      <c r="A15" s="16" t="s">
        <v>8369</v>
      </c>
      <c r="B15" s="14">
        <v>65</v>
      </c>
      <c r="C15" s="14">
        <v>49</v>
      </c>
      <c r="D15" s="14"/>
      <c r="E15" s="14">
        <v>114</v>
      </c>
    </row>
    <row r="16" spans="1:5" x14ac:dyDescent="0.35">
      <c r="A16" s="16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8371</v>
      </c>
      <c r="B17" s="14">
        <v>37</v>
      </c>
      <c r="C17" s="14">
        <v>34</v>
      </c>
      <c r="D17" s="14">
        <v>3</v>
      </c>
      <c r="E17" s="14">
        <v>74</v>
      </c>
    </row>
    <row r="18" spans="1:5" x14ac:dyDescent="0.35">
      <c r="A18" s="16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F196-7ED9-4FA6-9419-58BBBCF46ABA}">
  <dimension ref="A1:H13"/>
  <sheetViews>
    <sheetView workbookViewId="0">
      <selection activeCell="L26" sqref="L26"/>
    </sheetView>
  </sheetViews>
  <sheetFormatPr defaultRowHeight="14.5" x14ac:dyDescent="0.35"/>
  <cols>
    <col min="1" max="1" width="17" style="3" customWidth="1"/>
    <col min="2" max="2" width="17.90625" customWidth="1"/>
    <col min="3" max="3" width="14.36328125" customWidth="1"/>
    <col min="4" max="4" width="18" customWidth="1"/>
    <col min="5" max="5" width="12.36328125" customWidth="1"/>
    <col min="6" max="6" width="19.90625" customWidth="1"/>
    <col min="7" max="7" width="15.6328125" bestFit="1" customWidth="1"/>
    <col min="8" max="8" width="18.26953125" customWidth="1"/>
  </cols>
  <sheetData>
    <row r="1" spans="1:8" x14ac:dyDescent="0.35">
      <c r="A1" s="17" t="s">
        <v>8396</v>
      </c>
      <c r="B1" s="9" t="s">
        <v>8397</v>
      </c>
      <c r="C1" s="9" t="s">
        <v>8398</v>
      </c>
      <c r="D1" s="9" t="s">
        <v>8399</v>
      </c>
      <c r="E1" s="9" t="s">
        <v>8411</v>
      </c>
      <c r="F1" s="9" t="s">
        <v>8412</v>
      </c>
      <c r="G1" s="9" t="s">
        <v>8413</v>
      </c>
      <c r="H1" s="9" t="s">
        <v>8414</v>
      </c>
    </row>
    <row r="2" spans="1:8" x14ac:dyDescent="0.35">
      <c r="A2" s="3" t="s">
        <v>8400</v>
      </c>
      <c r="B2">
        <f>COUNTIFS(kickstarters!D:D,"&lt;1000",kickstarters!F:F,"successful",kickstarters!R:R,"plays")</f>
        <v>141</v>
      </c>
      <c r="C2">
        <f>COUNTIFS(kickstarters!D:D,"&lt;1000",kickstarters!F:F,"Failed",kickstarters!R:R,"plays")</f>
        <v>45</v>
      </c>
      <c r="D2">
        <f>COUNTIFS(kickstarters!D:D,"&lt;1000",kickstarters!F:F,"canceled",kickstarters!R:R,"plays")</f>
        <v>0</v>
      </c>
      <c r="E2">
        <f>SUM(B2+C2+D2)</f>
        <v>186</v>
      </c>
      <c r="F2" s="20">
        <f>(B2/E2)</f>
        <v>0.75806451612903225</v>
      </c>
      <c r="G2" s="20">
        <f>(C2/E2)</f>
        <v>0.24193548387096775</v>
      </c>
      <c r="H2">
        <f>(D2/E2)</f>
        <v>0</v>
      </c>
    </row>
    <row r="3" spans="1:8" x14ac:dyDescent="0.35">
      <c r="A3" s="3" t="s">
        <v>8401</v>
      </c>
      <c r="B3">
        <f>COUNTIFS(kickstarters!D:D,"&gt;=1000",kickstarters!F:F,"successful",kickstarters!D:D,"&lt;=4999",kickstarters!F:F,"successful",kickstarters!R:R,"plays")</f>
        <v>388</v>
      </c>
      <c r="C3">
        <f>COUNTIFS(kickstarters!D:D,"&gt;=1000",kickstarters!F:F,"Failed",kickstarters!D:D,"&lt;=4999",kickstarters!F:F,"failed",kickstarters!R:R,"plays")</f>
        <v>146</v>
      </c>
      <c r="D3">
        <f>COUNTIFS(kickstarters!D:D,"&gt;=1000",kickstarters!F:F,"canceled",kickstarters!D:D,"&lt;=4999",kickstarters!F:F,"canceled",kickstarters!R:R,"plays")</f>
        <v>0</v>
      </c>
      <c r="E3">
        <f t="shared" ref="E3:E13" si="0">SUM(B3+C3+D3)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>
        <f t="shared" ref="H3:H13" si="3">(D3/E3)</f>
        <v>0</v>
      </c>
    </row>
    <row r="4" spans="1:8" x14ac:dyDescent="0.35">
      <c r="A4" s="3" t="s">
        <v>8402</v>
      </c>
      <c r="B4">
        <f>COUNTIFS(kickstarters!D:D,"&gt;=5000",kickstarters!F:F,"successful",kickstarters!D:D,"&lt;=9999",kickstarters!F:F,"successful",kickstarters!R:R,"plays")</f>
        <v>93</v>
      </c>
      <c r="C4">
        <f>COUNTIFS(kickstarters!D:D,"&gt;=5000",kickstarters!F:F,"Failed",kickstarters!D:D,"&lt;=9999",kickstarters!F:F,"Failed",kickstarters!R:R,"plays")</f>
        <v>76</v>
      </c>
      <c r="D4">
        <f>COUNTIFS(kickstarters!D:D,"&gt;=5000",kickstarters!F:F,"canceled",kickstarters!D:D,"&lt;=9999",kickstarters!F:F,"canceled",kickstarters!R:R,"plays")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35">
      <c r="A5" s="3" t="s">
        <v>8415</v>
      </c>
      <c r="B5" s="14">
        <f>COUNTIFS(kickstarters!D:D,"&gt;=10000",kickstarters!F:F,"successful",kickstarters!D:D,"&lt;=14999",kickstarters!F:F,"successful",kickstarters!R:R,"plays")</f>
        <v>39</v>
      </c>
      <c r="C5">
        <f>COUNTIFS(kickstarters!D:D,"&gt;=10000",kickstarters!F:F,"failed",kickstarters!D:D,"&lt;=14999",kickstarters!F:F,"failed",kickstarters!R:R,"plays")</f>
        <v>33</v>
      </c>
      <c r="D5">
        <f>COUNTIFS(kickstarters!D:D,"&gt;=10000",kickstarters!F:F,"canceled",kickstarters!D:D,"&lt;=14999",kickstarters!F:F,"canceled",kickstarters!R:R,"plays")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35">
      <c r="A6" s="3" t="s">
        <v>8403</v>
      </c>
      <c r="B6">
        <f>COUNTIFS(kickstarters!D:D,"&gt;=15000",kickstarters!F:F,"successful",kickstarters!D:D,"&lt;=19999",kickstarters!F:F,"successful",kickstarters!R:R,"plays")</f>
        <v>12</v>
      </c>
      <c r="C6">
        <f>COUNTIFS(kickstarters!D:D,"&gt;=15000",kickstarters!F:F,"Failed",kickstarters!D:D,"&lt;=19999",kickstarters!F:F,"Failed",kickstarters!R:R,"plays")</f>
        <v>12</v>
      </c>
      <c r="D6">
        <f>COUNTIFS(kickstarters!D:D,"&gt;=15000",kickstarters!F:F,"canceled",kickstarters!D:D,"&lt;=19999",kickstarters!F:F,"canceled",kickstarters!R:R,"plays")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35">
      <c r="A7" s="3" t="s">
        <v>8404</v>
      </c>
      <c r="B7">
        <f>COUNTIFS(kickstarters!D:D,"&gt;=20000",kickstarters!F:F,"successful",kickstarters!D:D,"&lt;=24999",kickstarters!F:F,"successful",kickstarters!R:R,"plays")</f>
        <v>9</v>
      </c>
      <c r="C7">
        <f>COUNTIFS(kickstarters!D:D,"&gt;=20000",kickstarters!F:F,"failed",kickstarters!D:D,"&lt;=24999",kickstarters!F:F,"failed",kickstarters!R:R,"plays")</f>
        <v>11</v>
      </c>
      <c r="D7">
        <f>COUNTIFS(kickstarters!D:D,"&gt;=20000",kickstarters!F:F,"cancleed",kickstarters!D:D,"&lt;=24999",kickstarters!F:F,"canceled",kickstarters!R:R,"plays")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35">
      <c r="A8" s="3" t="s">
        <v>8405</v>
      </c>
      <c r="B8">
        <f>COUNTIFS(kickstarters!D:D,"&gt;=25000",kickstarters!F:F,"successful",kickstarters!D:D,"&lt;=29999",kickstarters!F:F,"successful",kickstarters!R:R,"plays")</f>
        <v>1</v>
      </c>
      <c r="C8">
        <f>COUNTIFS(kickstarters!D:D,"&gt;=25000",kickstarters!F:F,"Failed",kickstarters!D:D,"&lt;=29999",kickstarters!F:F,"Failed",kickstarters!R:R,"plays")</f>
        <v>4</v>
      </c>
      <c r="D8">
        <f>COUNTIFS(kickstarters!D:D,"&gt;=25000",kickstarters!F:F,"Canceled",kickstarters!D:D,"&lt;=29999",kickstarters!F:F,"canceled",kickstarters!R:R,"plays")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35">
      <c r="A9" s="3" t="s">
        <v>8406</v>
      </c>
      <c r="B9">
        <f>COUNTIFS(kickstarters!D:D,"&gt;=30000",kickstarters!F:F,"successful",kickstarters!D:D,"&lt;=34999",kickstarters!F:F,"successful",kickstarters!R:R,"plays")</f>
        <v>3</v>
      </c>
      <c r="C9">
        <f>COUNTIFS(kickstarters!D:D,"&gt;=30000",kickstarters!F:F,"failed",kickstarters!D:D,"&lt;=34999",kickstarters!F:F,"failed",kickstarters!R:R,"plays")</f>
        <v>8</v>
      </c>
      <c r="D9">
        <f>COUNTIFS(kickstarters!D:D,"&gt;=30000",kickstarters!F:F,"canceled",kickstarters!D:D,"&lt;=34999",kickstarters!F:F,"canceled",kickstarters!R:R,"plays")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35">
      <c r="A10" s="3" t="s">
        <v>8407</v>
      </c>
      <c r="B10">
        <f>COUNTIFS(kickstarters!D:D,"&gt;=35000",kickstarters!F:F,"successful",kickstarters!D:D,"&lt;=39999",kickstarters!F:F,"successful",kickstarters!R:R,"plays")</f>
        <v>4</v>
      </c>
      <c r="C10">
        <f>COUNTIFS(kickstarters!D:D,"&gt;=35000",kickstarters!F:F,"failed",kickstarters!D:D,"&lt;=39999",kickstarters!F:F,"failed",kickstarters!R:R,"plays")</f>
        <v>2</v>
      </c>
      <c r="D10">
        <f>COUNTIFS(kickstarters!D:D,"&gt;=35000",kickstarters!F:F,"canceled",kickstarters!D:D,"&lt;=39999",kickstarters!F:F,"canceled",kickstarters!R:R,"plays")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35">
      <c r="A11" s="3" t="s">
        <v>8408</v>
      </c>
      <c r="B11">
        <f>COUNTIFS(kickstarters!D:D,"&gt;=40000",kickstarters!F:F,"successful",kickstarters!D:D,"&lt;=44999",kickstarters!F:F,"successful",kickstarters!R:R,"plays")</f>
        <v>2</v>
      </c>
      <c r="C11">
        <f>COUNTIFS(kickstarters!D:D,"&gt;=40000",kickstarters!F:F,"failed",kickstarters!D:D,"&lt;=44999",kickstarters!F:F,"failed",kickstarters!R:R,"plays")</f>
        <v>1</v>
      </c>
      <c r="D11">
        <f>COUNTIFS(kickstarters!D:D,"&gt;=40000",kickstarters!F:F,"canceled",kickstarters!D:D,"&lt;=44999",kickstarters!F:F,"canceled",kickstarters!R:R,"plays")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35">
      <c r="A12" s="3" t="s">
        <v>8409</v>
      </c>
      <c r="B12">
        <f>COUNTIFS(kickstarters!D:D,"&gt;=45000",kickstarters!F:F,"successful",kickstarters!D:D,"&lt;=49999",kickstarters!F:F,"successful",kickstarters!R:R,"plays")</f>
        <v>0</v>
      </c>
      <c r="C12">
        <f>COUNTIFS(kickstarters!D:D,"&gt;=45000",kickstarters!F:F,"failed",kickstarters!D:D,"&lt;=49999",kickstarters!F:F,"failed",kickstarters!R:R,"plays")</f>
        <v>1</v>
      </c>
      <c r="D12">
        <f>COUNTIFS(kickstarters!D:D,"&gt;=45000",kickstarters!F:F,"canceled",kickstarters!D:D,"&lt;=49999",kickstarters!F:F,"canceled",kickstarters!R:R,"plays")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35">
      <c r="A13" s="3" t="s">
        <v>8410</v>
      </c>
      <c r="B13">
        <f>COUNTIFS(kickstarters!D:D,"&gt;50000",kickstarters!F:F,"successful",kickstarters!R:R,"plays")</f>
        <v>2</v>
      </c>
      <c r="C13">
        <f>COUNTIFS(kickstarters!D:D,"&gt;50000",kickstarters!F:F,"failed",kickstarters!R:R,"plays")</f>
        <v>10</v>
      </c>
      <c r="D13">
        <f>COUNTIFS(kickstarters!D:D,"&gt;50000",kickstarters!F:F,"canceled",kickstarters!R:R,"plays")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F14" sqref="F1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1796875" style="6" customWidth="1"/>
    <col min="5" max="5" width="20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36328125" customWidth="1"/>
    <col min="16" max="16" width="17.453125" customWidth="1"/>
    <col min="17" max="17" width="28" customWidth="1"/>
    <col min="18" max="18" width="15.08984375" customWidth="1"/>
    <col min="19" max="19" width="23.54296875" customWidth="1"/>
    <col min="20" max="20" width="26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9" t="s">
        <v>8359</v>
      </c>
      <c r="S1" s="9" t="s">
        <v>8366</v>
      </c>
      <c r="T1" s="9" t="s">
        <v>8365</v>
      </c>
      <c r="U1" s="9" t="s">
        <v>8395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42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>YEAR(S3743)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>YEAR(S3749)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19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19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19">
        <f t="shared" ref="U3763:U3764" si="295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19">
        <f t="shared" si="29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19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 s="19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 s="19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 s="19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 s="19">
        <f t="shared" ref="U3796:U3797" si="300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 s="19">
        <f t="shared" si="30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 s="19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 s="19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 s="19">
        <f t="shared" ref="U3881:U3882" si="305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 s="19">
        <f t="shared" si="30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 s="19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4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5">
        <f t="shared" ref="S4035:S4098" si="316">(((J4035/60)/60)/24)+DATE(1970,1,1)</f>
        <v>42614.268796296295</v>
      </c>
      <c r="T4035" s="15">
        <f t="shared" ref="T4035:T4098" si="31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4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6"/>
        <v>42067.947337962964</v>
      </c>
      <c r="T4036" s="15">
        <f t="shared" si="31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4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6"/>
        <v>41903.882951388885</v>
      </c>
      <c r="T4037" s="15">
        <f t="shared" si="31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4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6"/>
        <v>41804.937083333331</v>
      </c>
      <c r="T4038" s="15">
        <f t="shared" si="31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4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6"/>
        <v>42497.070775462969</v>
      </c>
      <c r="T4039" s="15">
        <f t="shared" si="31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4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6"/>
        <v>41869.798726851855</v>
      </c>
      <c r="T4040" s="15">
        <f t="shared" si="31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4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6"/>
        <v>42305.670914351853</v>
      </c>
      <c r="T4041" s="15">
        <f t="shared" si="31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4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6"/>
        <v>42144.231527777782</v>
      </c>
      <c r="T4042" s="15">
        <f t="shared" si="31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4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6"/>
        <v>42559.474004629628</v>
      </c>
      <c r="T4043" s="15">
        <f t="shared" si="31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4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6"/>
        <v>41995.084074074075</v>
      </c>
      <c r="T4044" s="15">
        <f t="shared" si="31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4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6"/>
        <v>41948.957465277781</v>
      </c>
      <c r="T4045" s="15">
        <f t="shared" si="31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4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6"/>
        <v>42074.219699074078</v>
      </c>
      <c r="T4046" s="15">
        <f t="shared" si="31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4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6"/>
        <v>41842.201261574075</v>
      </c>
      <c r="T4047" s="15">
        <f t="shared" si="31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4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6"/>
        <v>41904.650578703702</v>
      </c>
      <c r="T4048" s="15">
        <f t="shared" si="31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4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6"/>
        <v>41991.022488425922</v>
      </c>
      <c r="T4049" s="15">
        <f t="shared" si="31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4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6"/>
        <v>42436.509108796294</v>
      </c>
      <c r="T4050" s="15">
        <f t="shared" si="31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4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6"/>
        <v>42169.958506944444</v>
      </c>
      <c r="T4051" s="15">
        <f t="shared" si="31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4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6"/>
        <v>41905.636469907404</v>
      </c>
      <c r="T4052" s="15">
        <f t="shared" si="31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4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6"/>
        <v>41761.810150462967</v>
      </c>
      <c r="T4053" s="15">
        <f t="shared" si="31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4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6"/>
        <v>41865.878657407404</v>
      </c>
      <c r="T4054" s="15">
        <f t="shared" si="31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4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6"/>
        <v>41928.690138888887</v>
      </c>
      <c r="T4055" s="15">
        <f t="shared" si="31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4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6"/>
        <v>42613.841261574074</v>
      </c>
      <c r="T4056" s="15">
        <f t="shared" si="31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4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6"/>
        <v>41779.648506944446</v>
      </c>
      <c r="T4057" s="15">
        <f t="shared" si="31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4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6"/>
        <v>42534.933321759265</v>
      </c>
      <c r="T4058" s="15">
        <f t="shared" si="31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4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6"/>
        <v>42310.968518518523</v>
      </c>
      <c r="T4059" s="15">
        <f t="shared" si="31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4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6"/>
        <v>42446.060694444444</v>
      </c>
      <c r="T4060" s="15">
        <f t="shared" si="31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4"/>
        <v>3</v>
      </c>
      <c r="P4061">
        <f t="shared" si="315"/>
        <v>35.71</v>
      </c>
      <c r="Q4061" s="11" t="s">
        <v>8315</v>
      </c>
      <c r="R4061" t="s">
        <v>8316</v>
      </c>
      <c r="S4061" s="15">
        <f t="shared" si="316"/>
        <v>41866.640648148146</v>
      </c>
      <c r="T4061" s="15">
        <f t="shared" si="31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4"/>
        <v>3</v>
      </c>
      <c r="P4062">
        <f t="shared" si="315"/>
        <v>57</v>
      </c>
      <c r="Q4062" s="11" t="s">
        <v>8315</v>
      </c>
      <c r="R4062" t="s">
        <v>8316</v>
      </c>
      <c r="S4062" s="15">
        <f t="shared" si="316"/>
        <v>41779.695092592592</v>
      </c>
      <c r="T4062" s="15">
        <f t="shared" si="31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4"/>
        <v>0</v>
      </c>
      <c r="P4063">
        <f t="shared" si="315"/>
        <v>0</v>
      </c>
      <c r="Q4063" s="11" t="s">
        <v>8315</v>
      </c>
      <c r="R4063" t="s">
        <v>8316</v>
      </c>
      <c r="S4063" s="15">
        <f t="shared" si="316"/>
        <v>42421.141469907408</v>
      </c>
      <c r="T4063" s="15">
        <f t="shared" si="31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4"/>
        <v>2</v>
      </c>
      <c r="P4064">
        <f t="shared" si="315"/>
        <v>163.33000000000001</v>
      </c>
      <c r="Q4064" s="11" t="s">
        <v>8315</v>
      </c>
      <c r="R4064" t="s">
        <v>8316</v>
      </c>
      <c r="S4064" s="15">
        <f t="shared" si="316"/>
        <v>42523.739212962959</v>
      </c>
      <c r="T4064" s="15">
        <f t="shared" si="31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4"/>
        <v>1</v>
      </c>
      <c r="P4065">
        <f t="shared" si="315"/>
        <v>15</v>
      </c>
      <c r="Q4065" s="11" t="s">
        <v>8315</v>
      </c>
      <c r="R4065" t="s">
        <v>8316</v>
      </c>
      <c r="S4065" s="15">
        <f t="shared" si="316"/>
        <v>41787.681527777779</v>
      </c>
      <c r="T4065" s="15">
        <f t="shared" si="31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4"/>
        <v>19</v>
      </c>
      <c r="P4066">
        <f t="shared" si="315"/>
        <v>64.17</v>
      </c>
      <c r="Q4066" s="11" t="s">
        <v>8315</v>
      </c>
      <c r="R4066" t="s">
        <v>8316</v>
      </c>
      <c r="S4066" s="15">
        <f t="shared" si="316"/>
        <v>42093.588263888887</v>
      </c>
      <c r="T4066" s="15">
        <f t="shared" si="31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4"/>
        <v>1</v>
      </c>
      <c r="P4067">
        <f t="shared" si="315"/>
        <v>6.75</v>
      </c>
      <c r="Q4067" s="11" t="s">
        <v>8315</v>
      </c>
      <c r="R4067" t="s">
        <v>8316</v>
      </c>
      <c r="S4067" s="15">
        <f t="shared" si="316"/>
        <v>41833.951516203706</v>
      </c>
      <c r="T4067" s="15">
        <f t="shared" si="31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4"/>
        <v>0</v>
      </c>
      <c r="P4068">
        <f t="shared" si="315"/>
        <v>25</v>
      </c>
      <c r="Q4068" s="11" t="s">
        <v>8315</v>
      </c>
      <c r="R4068" t="s">
        <v>8316</v>
      </c>
      <c r="S4068" s="15">
        <f t="shared" si="316"/>
        <v>42479.039212962962</v>
      </c>
      <c r="T4068" s="15">
        <f t="shared" si="31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4"/>
        <v>61</v>
      </c>
      <c r="P4069">
        <f t="shared" si="315"/>
        <v>179.12</v>
      </c>
      <c r="Q4069" s="11" t="s">
        <v>8315</v>
      </c>
      <c r="R4069" t="s">
        <v>8316</v>
      </c>
      <c r="S4069" s="15">
        <f t="shared" si="316"/>
        <v>42235.117476851854</v>
      </c>
      <c r="T4069" s="15">
        <f t="shared" si="31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4"/>
        <v>1</v>
      </c>
      <c r="P4070">
        <f t="shared" si="315"/>
        <v>34.950000000000003</v>
      </c>
      <c r="Q4070" s="11" t="s">
        <v>8315</v>
      </c>
      <c r="R4070" t="s">
        <v>8316</v>
      </c>
      <c r="S4070" s="15">
        <f t="shared" si="316"/>
        <v>42718.963599537034</v>
      </c>
      <c r="T4070" s="15">
        <f t="shared" si="31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4"/>
        <v>34</v>
      </c>
      <c r="P4071">
        <f t="shared" si="315"/>
        <v>33.08</v>
      </c>
      <c r="Q4071" s="11" t="s">
        <v>8315</v>
      </c>
      <c r="R4071" t="s">
        <v>8316</v>
      </c>
      <c r="S4071" s="15">
        <f t="shared" si="316"/>
        <v>42022.661527777775</v>
      </c>
      <c r="T4071" s="15">
        <f t="shared" si="31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4"/>
        <v>17</v>
      </c>
      <c r="P4072">
        <f t="shared" si="315"/>
        <v>27.5</v>
      </c>
      <c r="Q4072" s="11" t="s">
        <v>8315</v>
      </c>
      <c r="R4072" t="s">
        <v>8316</v>
      </c>
      <c r="S4072" s="15">
        <f t="shared" si="316"/>
        <v>42031.666898148149</v>
      </c>
      <c r="T4072" s="15">
        <f t="shared" si="31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4"/>
        <v>0</v>
      </c>
      <c r="P4073">
        <f t="shared" si="315"/>
        <v>0</v>
      </c>
      <c r="Q4073" s="11" t="s">
        <v>8315</v>
      </c>
      <c r="R4073" t="s">
        <v>8316</v>
      </c>
      <c r="S4073" s="15">
        <f t="shared" si="316"/>
        <v>42700.804756944446</v>
      </c>
      <c r="T4073" s="15">
        <f t="shared" si="31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4"/>
        <v>0</v>
      </c>
      <c r="P4074">
        <f t="shared" si="315"/>
        <v>2</v>
      </c>
      <c r="Q4074" s="11" t="s">
        <v>8315</v>
      </c>
      <c r="R4074" t="s">
        <v>8316</v>
      </c>
      <c r="S4074" s="15">
        <f t="shared" si="316"/>
        <v>41812.77443287037</v>
      </c>
      <c r="T4074" s="15">
        <f t="shared" si="31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4"/>
        <v>1</v>
      </c>
      <c r="P4075">
        <f t="shared" si="315"/>
        <v>18.5</v>
      </c>
      <c r="Q4075" s="11" t="s">
        <v>8315</v>
      </c>
      <c r="R4075" t="s">
        <v>8316</v>
      </c>
      <c r="S4075" s="15">
        <f t="shared" si="316"/>
        <v>42078.34520833334</v>
      </c>
      <c r="T4075" s="15">
        <f t="shared" si="31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4"/>
        <v>27</v>
      </c>
      <c r="P4076">
        <f t="shared" si="315"/>
        <v>35</v>
      </c>
      <c r="Q4076" s="11" t="s">
        <v>8315</v>
      </c>
      <c r="R4076" t="s">
        <v>8316</v>
      </c>
      <c r="S4076" s="15">
        <f t="shared" si="316"/>
        <v>42283.552951388891</v>
      </c>
      <c r="T4076" s="15">
        <f t="shared" si="31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4"/>
        <v>29</v>
      </c>
      <c r="P4077">
        <f t="shared" si="315"/>
        <v>44.31</v>
      </c>
      <c r="Q4077" s="11" t="s">
        <v>8315</v>
      </c>
      <c r="R4077" t="s">
        <v>8316</v>
      </c>
      <c r="S4077" s="15">
        <f t="shared" si="316"/>
        <v>41779.045937499999</v>
      </c>
      <c r="T4077" s="15">
        <f t="shared" si="31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4"/>
        <v>0</v>
      </c>
      <c r="P4078">
        <f t="shared" si="315"/>
        <v>0</v>
      </c>
      <c r="Q4078" s="11" t="s">
        <v>8315</v>
      </c>
      <c r="R4078" t="s">
        <v>8316</v>
      </c>
      <c r="S4078" s="15">
        <f t="shared" si="316"/>
        <v>41905.795706018522</v>
      </c>
      <c r="T4078" s="15">
        <f t="shared" si="31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4"/>
        <v>9</v>
      </c>
      <c r="P4079">
        <f t="shared" si="315"/>
        <v>222.5</v>
      </c>
      <c r="Q4079" s="11" t="s">
        <v>8315</v>
      </c>
      <c r="R4079" t="s">
        <v>8316</v>
      </c>
      <c r="S4079" s="15">
        <f t="shared" si="316"/>
        <v>42695.7105787037</v>
      </c>
      <c r="T4079" s="15">
        <f t="shared" si="31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4"/>
        <v>0</v>
      </c>
      <c r="P4080">
        <f t="shared" si="315"/>
        <v>0</v>
      </c>
      <c r="Q4080" s="11" t="s">
        <v>8315</v>
      </c>
      <c r="R4080" t="s">
        <v>8316</v>
      </c>
      <c r="S4080" s="15">
        <f t="shared" si="316"/>
        <v>42732.787523148145</v>
      </c>
      <c r="T4080" s="15">
        <f t="shared" si="31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4"/>
        <v>0</v>
      </c>
      <c r="P4081">
        <f t="shared" si="315"/>
        <v>5</v>
      </c>
      <c r="Q4081" s="11" t="s">
        <v>8315</v>
      </c>
      <c r="R4081" t="s">
        <v>8316</v>
      </c>
      <c r="S4081" s="15">
        <f t="shared" si="316"/>
        <v>42510.938900462963</v>
      </c>
      <c r="T4081" s="15">
        <f t="shared" si="31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4"/>
        <v>0</v>
      </c>
      <c r="P4082">
        <f t="shared" si="315"/>
        <v>0</v>
      </c>
      <c r="Q4082" s="11" t="s">
        <v>8315</v>
      </c>
      <c r="R4082" t="s">
        <v>8316</v>
      </c>
      <c r="S4082" s="15">
        <f t="shared" si="316"/>
        <v>42511.698101851856</v>
      </c>
      <c r="T4082" s="15">
        <f t="shared" si="31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4"/>
        <v>16</v>
      </c>
      <c r="P4083">
        <f t="shared" si="315"/>
        <v>29.17</v>
      </c>
      <c r="Q4083" s="11" t="s">
        <v>8315</v>
      </c>
      <c r="R4083" t="s">
        <v>8316</v>
      </c>
      <c r="S4083" s="15">
        <f t="shared" si="316"/>
        <v>42041.581307870365</v>
      </c>
      <c r="T4083" s="15">
        <f t="shared" si="31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4"/>
        <v>2</v>
      </c>
      <c r="P4084">
        <f t="shared" si="315"/>
        <v>1.5</v>
      </c>
      <c r="Q4084" s="11" t="s">
        <v>8315</v>
      </c>
      <c r="R4084" t="s">
        <v>8316</v>
      </c>
      <c r="S4084" s="15">
        <f t="shared" si="316"/>
        <v>42307.189270833333</v>
      </c>
      <c r="T4084" s="15">
        <f t="shared" si="31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4"/>
        <v>22</v>
      </c>
      <c r="P4085">
        <f t="shared" si="315"/>
        <v>126.5</v>
      </c>
      <c r="Q4085" s="11" t="s">
        <v>8315</v>
      </c>
      <c r="R4085" t="s">
        <v>8316</v>
      </c>
      <c r="S4085" s="15">
        <f t="shared" si="316"/>
        <v>42353.761759259258</v>
      </c>
      <c r="T4085" s="15">
        <f t="shared" si="31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4"/>
        <v>0</v>
      </c>
      <c r="P4086">
        <f t="shared" si="315"/>
        <v>10</v>
      </c>
      <c r="Q4086" s="11" t="s">
        <v>8315</v>
      </c>
      <c r="R4086" t="s">
        <v>8316</v>
      </c>
      <c r="S4086" s="15">
        <f t="shared" si="316"/>
        <v>42622.436412037037</v>
      </c>
      <c r="T4086" s="15">
        <f t="shared" si="31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4"/>
        <v>0</v>
      </c>
      <c r="P4087">
        <f t="shared" si="315"/>
        <v>10</v>
      </c>
      <c r="Q4087" s="11" t="s">
        <v>8315</v>
      </c>
      <c r="R4087" t="s">
        <v>8316</v>
      </c>
      <c r="S4087" s="15">
        <f t="shared" si="316"/>
        <v>42058.603877314818</v>
      </c>
      <c r="T4087" s="15">
        <f t="shared" si="31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4"/>
        <v>5</v>
      </c>
      <c r="P4088">
        <f t="shared" si="315"/>
        <v>9.4</v>
      </c>
      <c r="Q4088" s="11" t="s">
        <v>8315</v>
      </c>
      <c r="R4088" t="s">
        <v>8316</v>
      </c>
      <c r="S4088" s="15">
        <f t="shared" si="316"/>
        <v>42304.940960648149</v>
      </c>
      <c r="T4088" s="15">
        <f t="shared" si="31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4"/>
        <v>0</v>
      </c>
      <c r="P4089">
        <f t="shared" si="315"/>
        <v>0</v>
      </c>
      <c r="Q4089" s="11" t="s">
        <v>8315</v>
      </c>
      <c r="R4089" t="s">
        <v>8316</v>
      </c>
      <c r="S4089" s="15">
        <f t="shared" si="316"/>
        <v>42538.742893518516</v>
      </c>
      <c r="T4089" s="15">
        <f t="shared" si="31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4"/>
        <v>11</v>
      </c>
      <c r="P4090">
        <f t="shared" si="315"/>
        <v>72</v>
      </c>
      <c r="Q4090" s="11" t="s">
        <v>8315</v>
      </c>
      <c r="R4090" t="s">
        <v>8316</v>
      </c>
      <c r="S4090" s="15">
        <f t="shared" si="316"/>
        <v>41990.612546296295</v>
      </c>
      <c r="T4090" s="15">
        <f t="shared" si="31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4"/>
        <v>5</v>
      </c>
      <c r="P4091">
        <f t="shared" si="315"/>
        <v>30</v>
      </c>
      <c r="Q4091" s="11" t="s">
        <v>8315</v>
      </c>
      <c r="R4091" t="s">
        <v>8316</v>
      </c>
      <c r="S4091" s="15">
        <f t="shared" si="316"/>
        <v>42122.732499999998</v>
      </c>
      <c r="T4091" s="15">
        <f t="shared" si="31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4"/>
        <v>3</v>
      </c>
      <c r="P4092">
        <f t="shared" si="315"/>
        <v>10.67</v>
      </c>
      <c r="Q4092" s="11" t="s">
        <v>8315</v>
      </c>
      <c r="R4092" t="s">
        <v>8316</v>
      </c>
      <c r="S4092" s="15">
        <f t="shared" si="316"/>
        <v>42209.67288194444</v>
      </c>
      <c r="T4092" s="15">
        <f t="shared" si="31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4"/>
        <v>13</v>
      </c>
      <c r="P4093">
        <f t="shared" si="315"/>
        <v>25.5</v>
      </c>
      <c r="Q4093" s="11" t="s">
        <v>8315</v>
      </c>
      <c r="R4093" t="s">
        <v>8316</v>
      </c>
      <c r="S4093" s="15">
        <f t="shared" si="316"/>
        <v>41990.506377314814</v>
      </c>
      <c r="T4093" s="15">
        <f t="shared" si="31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4"/>
        <v>0</v>
      </c>
      <c r="P4094">
        <f t="shared" si="315"/>
        <v>20</v>
      </c>
      <c r="Q4094" s="11" t="s">
        <v>8315</v>
      </c>
      <c r="R4094" t="s">
        <v>8316</v>
      </c>
      <c r="S4094" s="15">
        <f t="shared" si="316"/>
        <v>42039.194988425923</v>
      </c>
      <c r="T4094" s="15">
        <f t="shared" si="31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4"/>
        <v>2</v>
      </c>
      <c r="P4095">
        <f t="shared" si="315"/>
        <v>15</v>
      </c>
      <c r="Q4095" s="11" t="s">
        <v>8315</v>
      </c>
      <c r="R4095" t="s">
        <v>8316</v>
      </c>
      <c r="S4095" s="15">
        <f t="shared" si="316"/>
        <v>42178.815891203703</v>
      </c>
      <c r="T4095" s="15">
        <f t="shared" si="31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4"/>
        <v>37</v>
      </c>
      <c r="P4096">
        <f t="shared" si="315"/>
        <v>91.25</v>
      </c>
      <c r="Q4096" s="11" t="s">
        <v>8315</v>
      </c>
      <c r="R4096" t="s">
        <v>8316</v>
      </c>
      <c r="S4096" s="15">
        <f t="shared" si="316"/>
        <v>41890.086805555555</v>
      </c>
      <c r="T4096" s="15">
        <f t="shared" si="31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4"/>
        <v>3</v>
      </c>
      <c r="P4097">
        <f t="shared" si="315"/>
        <v>800</v>
      </c>
      <c r="Q4097" s="11" t="s">
        <v>8315</v>
      </c>
      <c r="R4097" t="s">
        <v>8316</v>
      </c>
      <c r="S4097" s="15">
        <f t="shared" si="316"/>
        <v>42693.031828703708</v>
      </c>
      <c r="T4097" s="15">
        <f t="shared" si="31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18">ROUND(E4098/D4098*100,0)</f>
        <v>11</v>
      </c>
      <c r="P4098">
        <f t="shared" si="315"/>
        <v>80</v>
      </c>
      <c r="Q4098" s="11" t="s">
        <v>8315</v>
      </c>
      <c r="R4098" t="s">
        <v>8316</v>
      </c>
      <c r="S4098" s="15">
        <f t="shared" si="316"/>
        <v>42750.530312499999</v>
      </c>
      <c r="T4098" s="15">
        <f t="shared" si="31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8"/>
        <v>0</v>
      </c>
      <c r="P4099">
        <f t="shared" ref="P4099:P4115" si="319">IFERROR(ROUND(E4099/L4099,2),0)</f>
        <v>0</v>
      </c>
      <c r="Q4099" s="11" t="s">
        <v>8315</v>
      </c>
      <c r="R4099" t="s">
        <v>8316</v>
      </c>
      <c r="S4099" s="15">
        <f t="shared" ref="S4099:S4103" si="320">(((J4099/60)/60)/24)+DATE(1970,1,1)</f>
        <v>42344.824502314819</v>
      </c>
      <c r="T4099" s="15">
        <f t="shared" ref="T4099:T4103" si="321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8"/>
        <v>0</v>
      </c>
      <c r="P4100">
        <f t="shared" si="319"/>
        <v>0</v>
      </c>
      <c r="Q4100" s="11" t="s">
        <v>8315</v>
      </c>
      <c r="R4100" t="s">
        <v>8316</v>
      </c>
      <c r="S4100" s="15">
        <f t="shared" si="320"/>
        <v>42495.722187499996</v>
      </c>
      <c r="T4100" s="15">
        <f t="shared" si="32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8"/>
        <v>1</v>
      </c>
      <c r="P4101">
        <f t="shared" si="319"/>
        <v>50</v>
      </c>
      <c r="Q4101" s="11" t="s">
        <v>8315</v>
      </c>
      <c r="R4101" t="s">
        <v>8316</v>
      </c>
      <c r="S4101" s="15">
        <f t="shared" si="320"/>
        <v>42570.850381944445</v>
      </c>
      <c r="T4101" s="15">
        <f t="shared" si="32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8"/>
        <v>0</v>
      </c>
      <c r="P4102">
        <f t="shared" si="319"/>
        <v>0</v>
      </c>
      <c r="Q4102" s="11" t="s">
        <v>8315</v>
      </c>
      <c r="R4102" t="s">
        <v>8316</v>
      </c>
      <c r="S4102" s="15">
        <f t="shared" si="320"/>
        <v>41927.124884259261</v>
      </c>
      <c r="T4102" s="15">
        <f t="shared" si="32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8"/>
        <v>0</v>
      </c>
      <c r="P4103">
        <f t="shared" si="319"/>
        <v>0</v>
      </c>
      <c r="Q4103" s="11" t="s">
        <v>8315</v>
      </c>
      <c r="R4103" t="s">
        <v>8316</v>
      </c>
      <c r="S4103" s="15">
        <f t="shared" si="320"/>
        <v>42730.903726851851</v>
      </c>
      <c r="T4103" s="15">
        <f t="shared" si="32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8"/>
        <v>27</v>
      </c>
      <c r="P4104">
        <f t="shared" si="319"/>
        <v>22.83</v>
      </c>
      <c r="Q4104" s="11" t="s">
        <v>8315</v>
      </c>
      <c r="R4104" t="s">
        <v>8316</v>
      </c>
      <c r="S4104" s="15">
        <f>(((J2/60)/60)/24)+DATE(1970,1,1)</f>
        <v>42177.007071759261</v>
      </c>
      <c r="T4104" s="15">
        <f>(((I2/60)/60)/24)+DATE(1970,1,1)</f>
        <v>42208.125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8"/>
        <v>10</v>
      </c>
      <c r="P4105">
        <f t="shared" si="319"/>
        <v>16.670000000000002</v>
      </c>
      <c r="Q4105" s="11" t="s">
        <v>8315</v>
      </c>
      <c r="R4105" t="s">
        <v>8316</v>
      </c>
      <c r="S4105" s="15">
        <f t="shared" ref="S4105:S4115" si="322">(((J3/60)/60)/24)+DATE(1970,1,1)</f>
        <v>42766.600497685184</v>
      </c>
      <c r="T4105" s="15">
        <f t="shared" ref="T4105:T4115" si="323">(((I3/60)/60)/24)+DATE(1970,1,1)</f>
        <v>42796.600497685184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8"/>
        <v>21</v>
      </c>
      <c r="P4106">
        <f t="shared" si="319"/>
        <v>45.79</v>
      </c>
      <c r="Q4106" s="11" t="s">
        <v>8315</v>
      </c>
      <c r="R4106" t="s">
        <v>8316</v>
      </c>
      <c r="S4106" s="15">
        <f t="shared" si="322"/>
        <v>42405.702349537038</v>
      </c>
      <c r="T4106" s="15">
        <f t="shared" si="323"/>
        <v>42415.702349537038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8"/>
        <v>7</v>
      </c>
      <c r="P4107">
        <f t="shared" si="319"/>
        <v>383.33</v>
      </c>
      <c r="Q4107" s="11" t="s">
        <v>8315</v>
      </c>
      <c r="R4107" t="s">
        <v>8316</v>
      </c>
      <c r="S4107" s="15">
        <f t="shared" si="322"/>
        <v>41828.515127314815</v>
      </c>
      <c r="T4107" s="15">
        <f t="shared" si="323"/>
        <v>41858.515127314815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8"/>
        <v>71</v>
      </c>
      <c r="P4108">
        <f t="shared" si="319"/>
        <v>106.97</v>
      </c>
      <c r="Q4108" s="11" t="s">
        <v>8315</v>
      </c>
      <c r="R4108" t="s">
        <v>8316</v>
      </c>
      <c r="S4108" s="15">
        <f t="shared" si="322"/>
        <v>42327.834247685183</v>
      </c>
      <c r="T4108" s="15">
        <f t="shared" si="323"/>
        <v>42357.834247685183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8"/>
        <v>2</v>
      </c>
      <c r="P4109">
        <f t="shared" si="319"/>
        <v>10.25</v>
      </c>
      <c r="Q4109" s="11" t="s">
        <v>8315</v>
      </c>
      <c r="R4109" t="s">
        <v>8316</v>
      </c>
      <c r="S4109" s="15">
        <f t="shared" si="322"/>
        <v>42563.932951388888</v>
      </c>
      <c r="T4109" s="15">
        <f t="shared" si="323"/>
        <v>42580.232638888891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8"/>
        <v>2</v>
      </c>
      <c r="P4110">
        <f t="shared" si="319"/>
        <v>59</v>
      </c>
      <c r="Q4110" s="11" t="s">
        <v>8315</v>
      </c>
      <c r="R4110" t="s">
        <v>8316</v>
      </c>
      <c r="S4110" s="15">
        <f t="shared" si="322"/>
        <v>41794.072337962964</v>
      </c>
      <c r="T4110" s="15">
        <f t="shared" si="323"/>
        <v>41804.072337962964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8"/>
        <v>0</v>
      </c>
      <c r="P4111">
        <f t="shared" si="319"/>
        <v>0</v>
      </c>
      <c r="Q4111" s="11" t="s">
        <v>8315</v>
      </c>
      <c r="R4111" t="s">
        <v>8316</v>
      </c>
      <c r="S4111" s="15">
        <f t="shared" si="322"/>
        <v>42516.047071759262</v>
      </c>
      <c r="T4111" s="15">
        <f t="shared" si="323"/>
        <v>42556.047071759262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8"/>
        <v>29</v>
      </c>
      <c r="P4112">
        <f t="shared" si="319"/>
        <v>14.33</v>
      </c>
      <c r="Q4112" s="11" t="s">
        <v>8315</v>
      </c>
      <c r="R4112" t="s">
        <v>8316</v>
      </c>
      <c r="S4112" s="15">
        <f t="shared" si="322"/>
        <v>42468.94458333333</v>
      </c>
      <c r="T4112" s="15">
        <f t="shared" si="323"/>
        <v>42475.875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8"/>
        <v>3</v>
      </c>
      <c r="P4113">
        <f t="shared" si="319"/>
        <v>15.67</v>
      </c>
      <c r="Q4113" s="11" t="s">
        <v>8315</v>
      </c>
      <c r="R4113" t="s">
        <v>8316</v>
      </c>
      <c r="S4113" s="15">
        <f t="shared" si="322"/>
        <v>42447.103518518517</v>
      </c>
      <c r="T4113" s="15">
        <f t="shared" si="323"/>
        <v>42477.103518518517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8"/>
        <v>0</v>
      </c>
      <c r="P4114">
        <f t="shared" si="319"/>
        <v>1</v>
      </c>
      <c r="Q4114" s="11" t="s">
        <v>8315</v>
      </c>
      <c r="R4114" t="s">
        <v>8316</v>
      </c>
      <c r="S4114" s="15">
        <f t="shared" si="322"/>
        <v>41780.068043981482</v>
      </c>
      <c r="T4114" s="15">
        <f t="shared" si="323"/>
        <v>41815.068043981482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8"/>
        <v>0</v>
      </c>
      <c r="P4115">
        <f t="shared" si="319"/>
        <v>1</v>
      </c>
      <c r="Q4115" s="11" t="s">
        <v>8315</v>
      </c>
      <c r="R4115" t="s">
        <v>8316</v>
      </c>
      <c r="S4115" s="15">
        <f t="shared" si="322"/>
        <v>42572.778495370367</v>
      </c>
      <c r="T4115" s="15">
        <f t="shared" si="323"/>
        <v>42604.125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3E9F9-3CCE-412E-A1C4-C47514B99105}">
  <dimension ref="A1:C15"/>
  <sheetViews>
    <sheetView workbookViewId="0">
      <selection activeCell="C16" sqref="C16"/>
    </sheetView>
  </sheetViews>
  <sheetFormatPr defaultRowHeight="14.5" x14ac:dyDescent="0.35"/>
  <cols>
    <col min="1" max="1" width="25.08984375" customWidth="1"/>
    <col min="2" max="2" width="9.90625" customWidth="1"/>
    <col min="3" max="3" width="11.726562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8392</v>
      </c>
      <c r="B5" t="e">
        <f>_xlfn.QUARTILE.EXC(#REF!, 3)</f>
        <v>#REF!</v>
      </c>
      <c r="C5" s="18" t="e">
        <f>_xlfn.QUARTILE.EXC(#REF!, 3)</f>
        <v>#REF!</v>
      </c>
    </row>
    <row r="6" spans="1:3" x14ac:dyDescent="0.35">
      <c r="A6" t="s">
        <v>8393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5">
      <c r="A7" t="s">
        <v>8394</v>
      </c>
      <c r="B7" s="18" t="e">
        <f>(B5-B6)</f>
        <v>#REF!</v>
      </c>
      <c r="C7" s="18" t="e">
        <f>(C5-C6)</f>
        <v>#REF!</v>
      </c>
    </row>
    <row r="10" spans="1:3" x14ac:dyDescent="0.35">
      <c r="A10" t="s">
        <v>8387</v>
      </c>
      <c r="B10" s="18" t="e">
        <f>AVERAGE(#REF!)</f>
        <v>#REF!</v>
      </c>
      <c r="C10" s="18" t="e">
        <f>AVERAGE(#REF!)</f>
        <v>#REF!</v>
      </c>
    </row>
    <row r="11" spans="1:3" x14ac:dyDescent="0.35">
      <c r="A11" t="s">
        <v>8388</v>
      </c>
      <c r="B11" s="18" t="e">
        <f>MEDIAN(#REF!)</f>
        <v>#REF!</v>
      </c>
      <c r="C11" s="18" t="e">
        <f>MEDIAN(#REF!)</f>
        <v>#REF!</v>
      </c>
    </row>
    <row r="12" spans="1:3" x14ac:dyDescent="0.35">
      <c r="A12" t="s">
        <v>8391</v>
      </c>
      <c r="B12" s="18" t="e">
        <f>_xlfn.STDEV.P(#REF!)</f>
        <v>#REF!</v>
      </c>
      <c r="C12" s="18" t="e">
        <f>_xlfn.STDEV.P(#REF!)</f>
        <v>#REF!</v>
      </c>
    </row>
    <row r="13" spans="1:3" x14ac:dyDescent="0.35">
      <c r="A13" t="s">
        <v>8392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35">
      <c r="A14" t="s">
        <v>8393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35">
      <c r="A15" t="s">
        <v>8394</v>
      </c>
      <c r="B15" s="18" t="e">
        <f>(B13-B14)</f>
        <v>#REF!</v>
      </c>
      <c r="C15" s="18" t="e">
        <f>(C13-C14)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1DD9-D4B9-4F83-9B1C-AE58C3D4E5DE}">
  <dimension ref="A1:F6"/>
  <sheetViews>
    <sheetView workbookViewId="0">
      <selection activeCell="F7" sqref="F7"/>
    </sheetView>
  </sheetViews>
  <sheetFormatPr defaultRowHeight="14.5" x14ac:dyDescent="0.35"/>
  <cols>
    <col min="1" max="1" width="30.453125" customWidth="1"/>
    <col min="2" max="2" width="117.1796875" customWidth="1"/>
    <col min="5" max="5" width="15.6328125" customWidth="1"/>
    <col min="6" max="6" width="17.7265625" customWidth="1"/>
  </cols>
  <sheetData>
    <row r="1" spans="1:6" x14ac:dyDescent="0.35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8383</v>
      </c>
      <c r="F1" s="9" t="s">
        <v>8384</v>
      </c>
    </row>
    <row r="2" spans="1:6" ht="29" customHeight="1" x14ac:dyDescent="0.35">
      <c r="A2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kickstarters!B:L, 11, FALSE)</f>
        <v>39</v>
      </c>
    </row>
    <row r="3" spans="1:6" x14ac:dyDescent="0.35">
      <c r="A3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kickstarters!B:L, 11, FALSE)</f>
        <v>56</v>
      </c>
    </row>
    <row r="4" spans="1:6" x14ac:dyDescent="0.35">
      <c r="A4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kickstarters!B:L, 11, FALSE)</f>
        <v>78</v>
      </c>
    </row>
    <row r="5" spans="1:6" x14ac:dyDescent="0.35">
      <c r="A5" t="s">
        <v>3329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kickstarters!B:L, 11, FALSE)</f>
        <v>26</v>
      </c>
    </row>
    <row r="6" spans="1:6" x14ac:dyDescent="0.35">
      <c r="A6" t="s">
        <v>3221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02EA-5404-4B1A-92F8-E4FF3240664A}">
  <dimension ref="A2:F19"/>
  <sheetViews>
    <sheetView workbookViewId="0">
      <selection activeCell="C11" sqref="C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02" width="15.26953125" bestFit="1" customWidth="1"/>
    <col min="4103" max="4104" width="10.7265625" bestFit="1" customWidth="1"/>
  </cols>
  <sheetData>
    <row r="2" spans="1:6" x14ac:dyDescent="0.35">
      <c r="A2" s="13" t="s">
        <v>8358</v>
      </c>
      <c r="B2" t="s">
        <v>8315</v>
      </c>
    </row>
    <row r="3" spans="1:6" x14ac:dyDescent="0.35">
      <c r="A3" s="13" t="s">
        <v>8379</v>
      </c>
      <c r="B3" t="s">
        <v>8364</v>
      </c>
    </row>
    <row r="5" spans="1:6" x14ac:dyDescent="0.35">
      <c r="A5" s="13" t="s">
        <v>8363</v>
      </c>
      <c r="B5" s="13" t="s">
        <v>8360</v>
      </c>
    </row>
    <row r="6" spans="1:6" x14ac:dyDescent="0.3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35">
      <c r="A7" s="16" t="s">
        <v>8372</v>
      </c>
      <c r="B7" s="14">
        <v>7</v>
      </c>
      <c r="C7" s="14">
        <v>32</v>
      </c>
      <c r="D7" s="14">
        <v>2</v>
      </c>
      <c r="E7" s="14">
        <v>56</v>
      </c>
      <c r="F7" s="14">
        <v>97</v>
      </c>
    </row>
    <row r="8" spans="1:6" x14ac:dyDescent="0.35">
      <c r="A8" s="16" t="s">
        <v>8373</v>
      </c>
      <c r="B8" s="14">
        <v>3</v>
      </c>
      <c r="C8" s="14">
        <v>38</v>
      </c>
      <c r="D8" s="14">
        <v>8</v>
      </c>
      <c r="E8" s="14">
        <v>71</v>
      </c>
      <c r="F8" s="14">
        <v>120</v>
      </c>
    </row>
    <row r="9" spans="1:6" x14ac:dyDescent="0.35">
      <c r="A9" s="16" t="s">
        <v>8374</v>
      </c>
      <c r="B9" s="14">
        <v>3</v>
      </c>
      <c r="C9" s="14">
        <v>34</v>
      </c>
      <c r="D9" s="14">
        <v>14</v>
      </c>
      <c r="E9" s="14">
        <v>56</v>
      </c>
      <c r="F9" s="14">
        <v>107</v>
      </c>
    </row>
    <row r="10" spans="1:6" x14ac:dyDescent="0.35">
      <c r="A10" s="16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5">
      <c r="A11" s="16" t="s">
        <v>8376</v>
      </c>
      <c r="B11" s="14">
        <v>3</v>
      </c>
      <c r="C11" s="14">
        <v>53</v>
      </c>
      <c r="D11" s="14"/>
      <c r="E11" s="14">
        <v>111</v>
      </c>
      <c r="F11" s="14">
        <v>167</v>
      </c>
    </row>
    <row r="12" spans="1:6" x14ac:dyDescent="0.35">
      <c r="A12" s="16" t="s">
        <v>8377</v>
      </c>
      <c r="B12" s="14">
        <v>4</v>
      </c>
      <c r="C12" s="14">
        <v>51</v>
      </c>
      <c r="D12" s="14"/>
      <c r="E12" s="14">
        <v>100</v>
      </c>
      <c r="F12" s="14">
        <v>155</v>
      </c>
    </row>
    <row r="13" spans="1:6" x14ac:dyDescent="0.35">
      <c r="A13" s="16" t="s">
        <v>8378</v>
      </c>
      <c r="B13" s="14">
        <v>1</v>
      </c>
      <c r="C13" s="14">
        <v>52</v>
      </c>
      <c r="D13" s="14"/>
      <c r="E13" s="14">
        <v>87</v>
      </c>
      <c r="F13" s="14">
        <v>140</v>
      </c>
    </row>
    <row r="14" spans="1:6" x14ac:dyDescent="0.35">
      <c r="A14" s="16" t="s">
        <v>8367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5">
      <c r="A15" s="16" t="s">
        <v>8368</v>
      </c>
      <c r="B15" s="14">
        <v>4</v>
      </c>
      <c r="C15" s="14">
        <v>32</v>
      </c>
      <c r="D15" s="14"/>
      <c r="E15" s="14">
        <v>59</v>
      </c>
      <c r="F15" s="14">
        <v>95</v>
      </c>
    </row>
    <row r="16" spans="1:6" x14ac:dyDescent="0.35">
      <c r="A16" s="16" t="s">
        <v>8369</v>
      </c>
      <c r="B16" s="14"/>
      <c r="C16" s="14">
        <v>49</v>
      </c>
      <c r="D16" s="14"/>
      <c r="E16" s="14">
        <v>65</v>
      </c>
      <c r="F16" s="14">
        <v>114</v>
      </c>
    </row>
    <row r="17" spans="1:6" x14ac:dyDescent="0.35">
      <c r="A17" s="16" t="s">
        <v>8370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5">
      <c r="A18" s="16" t="s">
        <v>8371</v>
      </c>
      <c r="B18" s="14">
        <v>3</v>
      </c>
      <c r="C18" s="14">
        <v>34</v>
      </c>
      <c r="D18" s="14"/>
      <c r="E18" s="14">
        <v>37</v>
      </c>
      <c r="F18" s="14">
        <v>74</v>
      </c>
    </row>
    <row r="19" spans="1:6" x14ac:dyDescent="0.35">
      <c r="A19" s="16" t="s">
        <v>8362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047-EF21-4D88-8687-7088A73BD01E}">
  <dimension ref="A1:C9"/>
  <sheetViews>
    <sheetView workbookViewId="0">
      <selection activeCell="M37" sqref="M3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5.6328125" bestFit="1" customWidth="1"/>
    <col min="6" max="6" width="11.6328125" bestFit="1" customWidth="1"/>
    <col min="7" max="7" width="9.36328125" bestFit="1" customWidth="1"/>
    <col min="8" max="8" width="10" bestFit="1" customWidth="1"/>
    <col min="9" max="9" width="7.08984375" bestFit="1" customWidth="1"/>
    <col min="10" max="10" width="10.7265625" bestFit="1" customWidth="1"/>
    <col min="11" max="11" width="23.54296875" bestFit="1" customWidth="1"/>
    <col min="12" max="12" width="19.36328125" bestFit="1" customWidth="1"/>
    <col min="13" max="13" width="22.36328125" bestFit="1" customWidth="1"/>
    <col min="14" max="14" width="12.1796875" bestFit="1" customWidth="1"/>
    <col min="15" max="15" width="15.1796875" bestFit="1" customWidth="1"/>
    <col min="16" max="16" width="16.54296875" bestFit="1" customWidth="1"/>
    <col min="17" max="17" width="19.54296875" bestFit="1" customWidth="1"/>
    <col min="18" max="18" width="11.453125" bestFit="1" customWidth="1"/>
    <col min="19" max="19" width="14.453125" bestFit="1" customWidth="1"/>
    <col min="20" max="20" width="20.08984375" bestFit="1" customWidth="1"/>
    <col min="21" max="21" width="23.08984375" bestFit="1" customWidth="1"/>
    <col min="22" max="22" width="20.1796875" bestFit="1" customWidth="1"/>
    <col min="23" max="23" width="23.1796875" bestFit="1" customWidth="1"/>
    <col min="24" max="24" width="24.7265625" bestFit="1" customWidth="1"/>
    <col min="25" max="25" width="27.7265625" bestFit="1" customWidth="1"/>
    <col min="26" max="26" width="19.6328125" bestFit="1" customWidth="1"/>
    <col min="27" max="27" width="22.6328125" bestFit="1" customWidth="1"/>
    <col min="28" max="28" width="25.81640625" bestFit="1" customWidth="1"/>
    <col min="29" max="29" width="28.81640625" bestFit="1" customWidth="1"/>
    <col min="30" max="30" width="17.36328125" bestFit="1" customWidth="1"/>
    <col min="31" max="31" width="20.36328125" bestFit="1" customWidth="1"/>
    <col min="32" max="32" width="22.1796875" bestFit="1" customWidth="1"/>
    <col min="33" max="33" width="25.26953125" bestFit="1" customWidth="1"/>
    <col min="34" max="34" width="19.26953125" bestFit="1" customWidth="1"/>
    <col min="35" max="35" width="22.26953125" bestFit="1" customWidth="1"/>
    <col min="36" max="36" width="23.81640625" bestFit="1" customWidth="1"/>
    <col min="37" max="37" width="26.81640625" bestFit="1" customWidth="1"/>
    <col min="38" max="38" width="27.81640625" bestFit="1" customWidth="1"/>
    <col min="39" max="39" width="30.81640625" bestFit="1" customWidth="1"/>
    <col min="40" max="40" width="21.36328125" bestFit="1" customWidth="1"/>
    <col min="41" max="41" width="24.36328125" bestFit="1" customWidth="1"/>
    <col min="42" max="42" width="16.26953125" bestFit="1" customWidth="1"/>
    <col min="43" max="43" width="19.26953125" bestFit="1" customWidth="1"/>
    <col min="44" max="44" width="16.08984375" bestFit="1" customWidth="1"/>
    <col min="45" max="45" width="19.08984375" bestFit="1" customWidth="1"/>
    <col min="46" max="46" width="14" bestFit="1" customWidth="1"/>
    <col min="47" max="47" width="17.08984375" bestFit="1" customWidth="1"/>
    <col min="48" max="48" width="15.36328125" bestFit="1" customWidth="1"/>
    <col min="49" max="49" width="18.36328125" bestFit="1" customWidth="1"/>
    <col min="50" max="50" width="10.7265625" bestFit="1" customWidth="1"/>
    <col min="51" max="51" width="27.7265625" bestFit="1" customWidth="1"/>
    <col min="52" max="52" width="19.6328125" bestFit="1" customWidth="1"/>
    <col min="53" max="53" width="22.6328125" bestFit="1" customWidth="1"/>
    <col min="54" max="54" width="20.1796875" bestFit="1" customWidth="1"/>
    <col min="55" max="55" width="23.1796875" bestFit="1" customWidth="1"/>
    <col min="56" max="56" width="25.81640625" bestFit="1" customWidth="1"/>
    <col min="57" max="57" width="28.81640625" bestFit="1" customWidth="1"/>
    <col min="58" max="58" width="17.36328125" bestFit="1" customWidth="1"/>
    <col min="59" max="59" width="20.36328125" bestFit="1" customWidth="1"/>
    <col min="60" max="60" width="20.7265625" bestFit="1" customWidth="1"/>
    <col min="61" max="61" width="23.7265625" bestFit="1" customWidth="1"/>
    <col min="62" max="62" width="26.453125" bestFit="1" customWidth="1"/>
    <col min="63" max="63" width="29.54296875" bestFit="1" customWidth="1"/>
    <col min="64" max="64" width="22.1796875" bestFit="1" customWidth="1"/>
    <col min="65" max="65" width="25.26953125" bestFit="1" customWidth="1"/>
    <col min="66" max="66" width="19.26953125" bestFit="1" customWidth="1"/>
    <col min="67" max="67" width="22.26953125" bestFit="1" customWidth="1"/>
    <col min="68" max="68" width="20.90625" bestFit="1" customWidth="1"/>
    <col min="69" max="69" width="23.90625" bestFit="1" customWidth="1"/>
    <col min="70" max="70" width="23.81640625" bestFit="1" customWidth="1"/>
    <col min="71" max="71" width="26.81640625" bestFit="1" customWidth="1"/>
    <col min="72" max="72" width="27.81640625" bestFit="1" customWidth="1"/>
    <col min="73" max="73" width="30.81640625" bestFit="1" customWidth="1"/>
    <col min="74" max="74" width="21.36328125" bestFit="1" customWidth="1"/>
    <col min="75" max="75" width="24.36328125" bestFit="1" customWidth="1"/>
    <col min="76" max="76" width="16.26953125" bestFit="1" customWidth="1"/>
    <col min="77" max="77" width="19.26953125" bestFit="1" customWidth="1"/>
    <col min="78" max="78" width="16.08984375" bestFit="1" customWidth="1"/>
    <col min="79" max="79" width="19.08984375" bestFit="1" customWidth="1"/>
    <col min="80" max="80" width="14" bestFit="1" customWidth="1"/>
    <col min="81" max="81" width="17.08984375" bestFit="1" customWidth="1"/>
    <col min="82" max="82" width="15.36328125" bestFit="1" customWidth="1"/>
    <col min="83" max="83" width="18.36328125" bestFit="1" customWidth="1"/>
    <col min="84" max="84" width="10.7265625" bestFit="1" customWidth="1"/>
  </cols>
  <sheetData>
    <row r="1" spans="1:3" x14ac:dyDescent="0.35">
      <c r="A1" s="13" t="s">
        <v>8222</v>
      </c>
      <c r="B1" t="s">
        <v>8223</v>
      </c>
    </row>
    <row r="3" spans="1:3" x14ac:dyDescent="0.35">
      <c r="A3" s="13" t="s">
        <v>8363</v>
      </c>
      <c r="B3" s="13" t="s">
        <v>8360</v>
      </c>
    </row>
    <row r="4" spans="1:3" x14ac:dyDescent="0.35">
      <c r="A4" s="13" t="s">
        <v>8361</v>
      </c>
      <c r="B4" t="s">
        <v>8315</v>
      </c>
      <c r="C4" t="s">
        <v>8362</v>
      </c>
    </row>
    <row r="5" spans="1:3" x14ac:dyDescent="0.35">
      <c r="A5" s="12" t="s">
        <v>8219</v>
      </c>
      <c r="B5" s="14">
        <v>26</v>
      </c>
      <c r="C5" s="14">
        <v>26</v>
      </c>
    </row>
    <row r="6" spans="1:3" x14ac:dyDescent="0.35">
      <c r="A6" s="12" t="s">
        <v>8220</v>
      </c>
      <c r="B6" s="14">
        <v>349</v>
      </c>
      <c r="C6" s="14">
        <v>349</v>
      </c>
    </row>
    <row r="7" spans="1:3" x14ac:dyDescent="0.35">
      <c r="A7" s="12" t="s">
        <v>8221</v>
      </c>
      <c r="B7" s="14">
        <v>12</v>
      </c>
      <c r="C7" s="14">
        <v>12</v>
      </c>
    </row>
    <row r="8" spans="1:3" x14ac:dyDescent="0.35">
      <c r="A8" s="12" t="s">
        <v>8218</v>
      </c>
      <c r="B8" s="14">
        <v>525</v>
      </c>
      <c r="C8" s="14">
        <v>525</v>
      </c>
    </row>
    <row r="9" spans="1:3" x14ac:dyDescent="0.35">
      <c r="A9" s="12" t="s">
        <v>8362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21A1-BCFB-4F3F-9467-1C4FDED3A148}">
  <dimension ref="A1:E7"/>
  <sheetViews>
    <sheetView workbookViewId="0">
      <selection activeCell="L39" sqref="L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2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5">
      <c r="A7" s="12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008EE0AD7634E8E2C65E5578A335D" ma:contentTypeVersion="2" ma:contentTypeDescription="Create a new document." ma:contentTypeScope="" ma:versionID="6c1eadbf8d676107aaa8baf4ee4831a9">
  <xsd:schema xmlns:xsd="http://www.w3.org/2001/XMLSchema" xmlns:xs="http://www.w3.org/2001/XMLSchema" xmlns:p="http://schemas.microsoft.com/office/2006/metadata/properties" xmlns:ns3="77554aa0-d8d0-46c6-b8d5-01313d1c381b" targetNamespace="http://schemas.microsoft.com/office/2006/metadata/properties" ma:root="true" ma:fieldsID="a2ddba1895dec9b9bd26b8c08d8fe1be" ns3:_="">
    <xsd:import namespace="77554aa0-d8d0-46c6-b8d5-01313d1c38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54aa0-d8d0-46c6-b8d5-01313d1c38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6AC2DF-93CB-4FC9-B059-09D7EC118D3D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77554aa0-d8d0-46c6-b8d5-01313d1c381b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AA13193-D352-45F1-A8C9-D70666C1EB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54aa0-d8d0-46c6-b8d5-01313d1c38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C9DE8A-AE5F-40C2-932E-41E821FB5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kickstarters</vt:lpstr>
      <vt:lpstr>Descriptive Statistics</vt:lpstr>
      <vt:lpstr>Edinburgh Research.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Masooma Kazmi</cp:lastModifiedBy>
  <dcterms:created xsi:type="dcterms:W3CDTF">2017-04-20T15:17:24Z</dcterms:created>
  <dcterms:modified xsi:type="dcterms:W3CDTF">2021-11-07T20:19:58Z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0x010100756008EE0AD7634E8E2C65E5578A335D</vt:lpwstr>
  </property>
</Properties>
</file>