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Jedermann\TMCTechAccessPack\Chips\TMC2208\"/>
    </mc:Choice>
  </mc:AlternateContent>
  <xr:revisionPtr revIDLastSave="0" documentId="13_ncr:1_{8F1BE2B6-C553-4357-97F5-57708C757BD7}" xr6:coauthVersionLast="47" xr6:coauthVersionMax="47" xr10:uidLastSave="{00000000-0000-0000-0000-000000000000}"/>
  <bookViews>
    <workbookView xWindow="4584" yWindow="2124" windowWidth="23040" windowHeight="12660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Datagram CRC calculation" sheetId="8" r:id="rId6"/>
    <sheet name="Revision Histor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C8" i="6" s="1"/>
  <c r="B9" i="6"/>
  <c r="C9" i="6" s="1"/>
  <c r="B10" i="6"/>
  <c r="C10" i="6" s="1"/>
  <c r="B11" i="6"/>
  <c r="B12" i="6"/>
  <c r="C12" i="6" s="1"/>
  <c r="B13" i="6"/>
  <c r="C13" i="6" s="1"/>
  <c r="B14" i="6"/>
  <c r="B15" i="6"/>
  <c r="B16" i="6"/>
  <c r="C16" i="6" s="1"/>
  <c r="B17" i="6"/>
  <c r="B5" i="6"/>
  <c r="C5" i="6" s="1"/>
  <c r="B4" i="6"/>
  <c r="C6" i="6"/>
  <c r="C7" i="6"/>
  <c r="C11" i="6"/>
  <c r="C14" i="6"/>
  <c r="C15" i="6"/>
  <c r="C17" i="6"/>
  <c r="C4" i="6"/>
  <c r="C42" i="5" l="1"/>
  <c r="D21" i="8"/>
  <c r="F24" i="8" s="1"/>
  <c r="F25" i="8" s="1"/>
  <c r="F26" i="8" s="1"/>
  <c r="F27" i="8" s="1"/>
  <c r="F28" i="8" s="1"/>
  <c r="F29" i="8" s="1"/>
  <c r="F30" i="8" s="1"/>
  <c r="F31" i="8" s="1"/>
  <c r="F32" i="8" s="1"/>
  <c r="C21" i="8"/>
  <c r="D24" i="8" s="1"/>
  <c r="D25" i="8" s="1"/>
  <c r="D26" i="8" s="1"/>
  <c r="D27" i="8" s="1"/>
  <c r="D28" i="8" s="1"/>
  <c r="D29" i="8" s="1"/>
  <c r="D30" i="8" s="1"/>
  <c r="D31" i="8" s="1"/>
  <c r="D32" i="8" s="1"/>
  <c r="B21" i="8"/>
  <c r="B24" i="8" s="1"/>
  <c r="B25" i="8" s="1"/>
  <c r="H5" i="8"/>
  <c r="N8" i="8" s="1"/>
  <c r="N9" i="8" s="1"/>
  <c r="N10" i="8" s="1"/>
  <c r="N11" i="8" s="1"/>
  <c r="N12" i="8" s="1"/>
  <c r="N13" i="8" s="1"/>
  <c r="N14" i="8" s="1"/>
  <c r="N15" i="8" s="1"/>
  <c r="N16" i="8" s="1"/>
  <c r="G5" i="8"/>
  <c r="L8" i="8" s="1"/>
  <c r="L9" i="8" s="1"/>
  <c r="L10" i="8" s="1"/>
  <c r="L11" i="8" s="1"/>
  <c r="L12" i="8" s="1"/>
  <c r="L13" i="8" s="1"/>
  <c r="L14" i="8" s="1"/>
  <c r="L15" i="8" s="1"/>
  <c r="L16" i="8" s="1"/>
  <c r="F5" i="8"/>
  <c r="J8" i="8" s="1"/>
  <c r="J9" i="8" s="1"/>
  <c r="J10" i="8" s="1"/>
  <c r="J11" i="8" s="1"/>
  <c r="J12" i="8" s="1"/>
  <c r="J13" i="8" s="1"/>
  <c r="J14" i="8" s="1"/>
  <c r="J15" i="8" s="1"/>
  <c r="J16" i="8" s="1"/>
  <c r="E5" i="8"/>
  <c r="H8" i="8" s="1"/>
  <c r="H9" i="8" s="1"/>
  <c r="H10" i="8" s="1"/>
  <c r="H11" i="8" s="1"/>
  <c r="H12" i="8" s="1"/>
  <c r="H13" i="8" s="1"/>
  <c r="H14" i="8" s="1"/>
  <c r="H15" i="8" s="1"/>
  <c r="H16" i="8" s="1"/>
  <c r="D5" i="8"/>
  <c r="F8" i="8" s="1"/>
  <c r="F9" i="8" s="1"/>
  <c r="F10" i="8" s="1"/>
  <c r="F11" i="8" s="1"/>
  <c r="F12" i="8" s="1"/>
  <c r="F13" i="8" s="1"/>
  <c r="F14" i="8" s="1"/>
  <c r="F15" i="8" s="1"/>
  <c r="F16" i="8" s="1"/>
  <c r="C5" i="8"/>
  <c r="D8" i="8" s="1"/>
  <c r="D9" i="8" s="1"/>
  <c r="D10" i="8" s="1"/>
  <c r="D11" i="8" s="1"/>
  <c r="D12" i="8" s="1"/>
  <c r="D13" i="8" s="1"/>
  <c r="D14" i="8" s="1"/>
  <c r="D15" i="8" s="1"/>
  <c r="D16" i="8" s="1"/>
  <c r="B5" i="8"/>
  <c r="B8" i="8" s="1"/>
  <c r="B9" i="8" s="1"/>
  <c r="C9" i="8" l="1"/>
  <c r="B10" i="8"/>
  <c r="B11" i="8" s="1"/>
  <c r="B12" i="8" s="1"/>
  <c r="B13" i="8" s="1"/>
  <c r="B14" i="8" s="1"/>
  <c r="B15" i="8" s="1"/>
  <c r="B16" i="8" s="1"/>
  <c r="C25" i="8"/>
  <c r="B26" i="8"/>
  <c r="B27" i="8" s="1"/>
  <c r="B28" i="8" s="1"/>
  <c r="B29" i="8" s="1"/>
  <c r="B30" i="8" s="1"/>
  <c r="B31" i="8" s="1"/>
  <c r="B32" i="8" s="1"/>
  <c r="B36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22" i="7"/>
  <c r="B7" i="7"/>
  <c r="B8" i="7"/>
  <c r="B9" i="7"/>
  <c r="B10" i="7"/>
  <c r="B11" i="7"/>
  <c r="B12" i="7"/>
  <c r="B13" i="7"/>
  <c r="B14" i="7"/>
  <c r="B15" i="7"/>
  <c r="B16" i="7"/>
  <c r="B17" i="7"/>
  <c r="B6" i="7"/>
  <c r="C26" i="8" l="1"/>
  <c r="C27" i="8" s="1"/>
  <c r="C28" i="8" s="1"/>
  <c r="C29" i="8" s="1"/>
  <c r="C30" i="8" s="1"/>
  <c r="C31" i="8" s="1"/>
  <c r="C32" i="8" s="1"/>
  <c r="E24" i="8" s="1"/>
  <c r="E25" i="8" s="1"/>
  <c r="E26" i="8" s="1"/>
  <c r="E27" i="8" s="1"/>
  <c r="E28" i="8" s="1"/>
  <c r="E29" i="8" s="1"/>
  <c r="E30" i="8" s="1"/>
  <c r="E31" i="8" s="1"/>
  <c r="E32" i="8" s="1"/>
  <c r="G24" i="8" s="1"/>
  <c r="G25" i="8" s="1"/>
  <c r="G26" i="8" s="1"/>
  <c r="G27" i="8" s="1"/>
  <c r="G28" i="8" s="1"/>
  <c r="G29" i="8" s="1"/>
  <c r="G30" i="8" s="1"/>
  <c r="G31" i="8" s="1"/>
  <c r="G32" i="8" s="1"/>
  <c r="E20" i="8" s="1"/>
  <c r="C10" i="8"/>
  <c r="C11" i="8" s="1"/>
  <c r="C12" i="8" s="1"/>
  <c r="C13" i="8" s="1"/>
  <c r="C14" i="8" s="1"/>
  <c r="C15" i="8" s="1"/>
  <c r="C16" i="8" s="1"/>
  <c r="E8" i="8" s="1"/>
  <c r="E9" i="8" s="1"/>
  <c r="E10" i="8" s="1"/>
  <c r="E11" i="8" s="1"/>
  <c r="E12" i="8" s="1"/>
  <c r="E13" i="8" s="1"/>
  <c r="E14" i="8" s="1"/>
  <c r="E15" i="8" s="1"/>
  <c r="E16" i="8" s="1"/>
  <c r="G8" i="8" s="1"/>
  <c r="G9" i="8" s="1"/>
  <c r="G10" i="8" s="1"/>
  <c r="G11" i="8" s="1"/>
  <c r="G12" i="8" s="1"/>
  <c r="G13" i="8" s="1"/>
  <c r="G14" i="8" s="1"/>
  <c r="G15" i="8" s="1"/>
  <c r="G16" i="8" s="1"/>
  <c r="I8" i="8" s="1"/>
  <c r="I9" i="8" s="1"/>
  <c r="I10" i="8" s="1"/>
  <c r="I11" i="8" s="1"/>
  <c r="I12" i="8" s="1"/>
  <c r="I13" i="8" s="1"/>
  <c r="I14" i="8" s="1"/>
  <c r="I15" i="8" s="1"/>
  <c r="I16" i="8" s="1"/>
  <c r="K8" i="8" s="1"/>
  <c r="K9" i="8" s="1"/>
  <c r="K10" i="8" s="1"/>
  <c r="K11" i="8" s="1"/>
  <c r="K12" i="8" s="1"/>
  <c r="K13" i="8" s="1"/>
  <c r="K14" i="8" s="1"/>
  <c r="K15" i="8" s="1"/>
  <c r="K16" i="8" s="1"/>
  <c r="M8" i="8" s="1"/>
  <c r="M9" i="8" s="1"/>
  <c r="M10" i="8" s="1"/>
  <c r="M11" i="8" s="1"/>
  <c r="M12" i="8" s="1"/>
  <c r="M13" i="8" s="1"/>
  <c r="M14" i="8" s="1"/>
  <c r="M15" i="8" s="1"/>
  <c r="M16" i="8" s="1"/>
  <c r="O8" i="8" s="1"/>
  <c r="O9" i="8" s="1"/>
  <c r="O10" i="8" s="1"/>
  <c r="O11" i="8" s="1"/>
  <c r="O12" i="8" s="1"/>
  <c r="O13" i="8" s="1"/>
  <c r="O14" i="8" s="1"/>
  <c r="O15" i="8" s="1"/>
  <c r="O16" i="8" s="1"/>
  <c r="I4" i="8" s="1"/>
  <c r="C23" i="2"/>
  <c r="C48" i="5" l="1"/>
  <c r="C31" i="5"/>
  <c r="C32" i="5"/>
  <c r="B23" i="1" l="1"/>
  <c r="C55" i="5" l="1"/>
  <c r="C14" i="5"/>
  <c r="C36" i="7" l="1"/>
  <c r="D36" i="7" s="1"/>
  <c r="C35" i="7"/>
  <c r="D35" i="7" s="1"/>
  <c r="C34" i="7"/>
  <c r="D34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22" i="7"/>
  <c r="D22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6" i="7"/>
  <c r="D6" i="7" s="1"/>
  <c r="E6" i="6" l="1"/>
  <c r="F6" i="6" s="1"/>
  <c r="D6" i="6"/>
  <c r="E8" i="6"/>
  <c r="F8" i="6" s="1"/>
  <c r="D8" i="6"/>
  <c r="E5" i="6"/>
  <c r="F5" i="6" s="1"/>
  <c r="D5" i="6"/>
  <c r="E13" i="6"/>
  <c r="F13" i="6" s="1"/>
  <c r="D13" i="6"/>
  <c r="E7" i="6"/>
  <c r="F7" i="6" s="1"/>
  <c r="D7" i="6"/>
  <c r="E10" i="6"/>
  <c r="F10" i="6" s="1"/>
  <c r="D10" i="6"/>
  <c r="E15" i="6"/>
  <c r="F15" i="6" s="1"/>
  <c r="D15" i="6"/>
  <c r="E11" i="6"/>
  <c r="F11" i="6" s="1"/>
  <c r="D11" i="6"/>
  <c r="E16" i="6"/>
  <c r="F16" i="6" s="1"/>
  <c r="D16" i="6"/>
  <c r="E9" i="6"/>
  <c r="F9" i="6" s="1"/>
  <c r="D9" i="6"/>
  <c r="E12" i="6"/>
  <c r="F12" i="6" s="1"/>
  <c r="D12" i="6"/>
  <c r="E14" i="6"/>
  <c r="F14" i="6" s="1"/>
  <c r="D14" i="6"/>
  <c r="E17" i="6"/>
  <c r="F17" i="6" s="1"/>
  <c r="D17" i="6"/>
  <c r="E4" i="6"/>
  <c r="F4" i="6" s="1"/>
  <c r="D4" i="6"/>
  <c r="C48" i="2"/>
  <c r="C47" i="2"/>
  <c r="C9" i="5" l="1"/>
  <c r="C21" i="5" s="1"/>
  <c r="C41" i="2"/>
  <c r="C44" i="2" s="1"/>
  <c r="C28" i="2"/>
  <c r="C18" i="2"/>
  <c r="C10" i="2"/>
  <c r="C19" i="5" l="1"/>
  <c r="C13" i="2"/>
  <c r="C24" i="2" s="1"/>
  <c r="C43" i="2"/>
  <c r="C21" i="2"/>
  <c r="B28" i="1"/>
  <c r="C23" i="5" l="1"/>
  <c r="C25" i="2"/>
  <c r="C38" i="2"/>
  <c r="C39" i="2" s="1"/>
  <c r="B30" i="1"/>
  <c r="J7" i="1"/>
  <c r="B29" i="1"/>
  <c r="B24" i="1"/>
  <c r="B10" i="1"/>
  <c r="B11" i="1" s="1"/>
  <c r="C54" i="5" l="1"/>
  <c r="C39" i="5"/>
  <c r="C22" i="5"/>
  <c r="C30" i="2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40" i="5" l="1"/>
  <c r="C41" i="5" s="1"/>
  <c r="C43" i="5"/>
  <c r="C44" i="5" s="1"/>
  <c r="C46" i="5" l="1"/>
  <c r="C47" i="5" s="1"/>
  <c r="C50" i="5" s="1"/>
</calcChain>
</file>

<file path=xl/sharedStrings.xml><?xml version="1.0" encoding="utf-8"?>
<sst xmlns="http://schemas.openxmlformats.org/spreadsheetml/2006/main" count="309" uniqueCount="241">
  <si>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</si>
  <si>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</si>
  <si>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</si>
  <si>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</si>
  <si>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</si>
  <si>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</si>
  <si>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</si>
  <si>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</si>
  <si>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</si>
  <si>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</si>
  <si>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</si>
  <si>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</si>
  <si>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</si>
  <si>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</si>
  <si>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</si>
  <si>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</si>
  <si>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</si>
  <si>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</si>
  <si>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</si>
  <si>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</si>
  <si>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</si>
  <si>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</si>
  <si>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</si>
  <si>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</si>
  <si>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</si>
  <si>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</si>
  <si>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</si>
  <si>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</si>
  <si>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</si>
  <si>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</si>
  <si>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</si>
  <si>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</si>
  <si>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</si>
  <si>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</si>
  <si>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</si>
  <si>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</si>
  <si>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</si>
  <si>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</si>
  <si>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</si>
  <si>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</si>
  <si>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</si>
  <si>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</si>
  <si>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</si>
  <si>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</si>
  <si>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</si>
  <si>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</si>
  <si>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</si>
  <si>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</si>
  <si>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</si>
  <si>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</si>
  <si>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</si>
  <si>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</si>
  <si>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</si>
  <si>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</si>
  <si>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</si>
  <si>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</si>
  <si>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</si>
  <si>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</si>
  <si>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</si>
  <si>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</si>
  <si>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</si>
  <si>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</si>
  <si>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</si>
  <si>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</si>
  <si>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</si>
  <si>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</si>
  <si>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</si>
  <si>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</si>
  <si>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</si>
  <si>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</si>
  <si>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</si>
  <si>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</si>
  <si>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</si>
  <si>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</si>
  <si>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</si>
  <si>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</si>
  <si>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</si>
  <si>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</si>
  <si>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</si>
  <si>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</si>
  <si>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</si>
  <si>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</si>
  <si>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</si>
  <si>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</si>
  <si>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</si>
  <si>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</si>
  <si>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</si>
  <si>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</si>
  <si>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</si>
  <si>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</si>
  <si>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</si>
  <si>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</si>
  <si>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</si>
  <si>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</si>
  <si>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</si>
  <si>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</si>
  <si>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</si>
  <si>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</si>
  <si>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</si>
  <si>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</si>
  <si>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</si>
  <si>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</si>
  <si>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</si>
  <si>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</si>
  <si>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</si>
  <si>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</si>
  <si>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</si>
  <si>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</si>
  <si>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</si>
  <si>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</si>
  <si>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</si>
  <si>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</si>
  <si>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</si>
  <si>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</si>
  <si>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</si>
  <si>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</si>
  <si>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</si>
  <si>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</si>
  <si>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</si>
  <si>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</si>
  <si>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</si>
  <si>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</si>
  <si>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</si>
  <si>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</si>
  <si>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</si>
  <si>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</si>
  <si>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</si>
  <si>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</si>
  <si>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</si>
  <si>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</si>
  <si>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</si>
  <si>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</si>
  <si>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</si>
  <si>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</si>
  <si>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</si>
  <si>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</si>
  <si>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</si>
  <si>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</si>
  <si>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</si>
  <si>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</si>
  <si>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</si>
  <si>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</si>
  <si>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</si>
  <si>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</si>
  <si>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</si>
  <si>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</si>
  <si>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</si>
  <si>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</si>
  <si>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</si>
  <si>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</si>
  <si>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</si>
  <si>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</si>
  <si>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</si>
  <si>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</si>
  <si>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</si>
  <si>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</si>
  <si>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</si>
  <si>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</si>
  <si>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</si>
  <si>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</si>
  <si>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</si>
  <si>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</si>
  <si>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</si>
  <si>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</si>
  <si>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</si>
  <si>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</si>
  <si>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</si>
  <si>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</si>
  <si>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</si>
  <si>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</si>
  <si>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Dutycycle Highside=</t>
  </si>
  <si>
    <t>Slow decay time</t>
  </si>
  <si>
    <t>The calculation sheet assumes operation with spread cycle chopper at medium motor velocity, which is a typical worst case scenario.</t>
  </si>
  <si>
    <t>2. real world units to VMAX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</si>
  <si>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</si>
  <si>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</si>
  <si>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</si>
  <si>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</si>
  <si>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</si>
  <si>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</si>
  <si>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</si>
  <si>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</si>
  <si>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</si>
  <si>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4. VMAX to TSTEP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</si>
  <si>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</si>
  <si>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</si>
  <si>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</si>
  <si>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</si>
  <si>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</si>
  <si>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</si>
  <si>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t>TMC220x_TMC222x_Calculations.xlsx</t>
  </si>
  <si>
    <t>2016-SEP-30</t>
  </si>
  <si>
    <t>Initial version based on TMC5130_2130_2100_Calculations.xls, Adapted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</si>
  <si>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</si>
  <si>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2019-FEB-05</t>
  </si>
  <si>
    <t>Corrected calculation of sense resistor with 30mOhm internal resistance rather than 20mOhm</t>
  </si>
  <si>
    <t>2019-SEP-23</t>
  </si>
  <si>
    <t>Added CRC calculation</t>
  </si>
  <si>
    <t>Calculation of the CRC Byte</t>
  </si>
  <si>
    <t>Write Access</t>
  </si>
  <si>
    <t>Sync byte (fix)</t>
  </si>
  <si>
    <t>Register for Write</t>
  </si>
  <si>
    <t>data 3</t>
  </si>
  <si>
    <t>data 2</t>
  </si>
  <si>
    <t>data 1</t>
  </si>
  <si>
    <t>data 0</t>
  </si>
  <si>
    <t>CRC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</si>
  <si>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</si>
  <si>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</si>
  <si>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</si>
  <si>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</si>
  <si>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</si>
  <si>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</si>
  <si>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</si>
  <si>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</si>
  <si>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</si>
  <si>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</si>
  <si>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</si>
  <si>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</si>
  <si>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</si>
  <si>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</si>
  <si>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</si>
  <si>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</si>
  <si>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</si>
  <si>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</si>
  <si>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</si>
  <si>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</si>
  <si>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</si>
  <si>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</si>
  <si>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Address (0)</t>
  </si>
  <si>
    <t>Enter the motor coil resistance here for a calculation of the high side duty cycle</t>
  </si>
  <si>
    <t>tBLANK =</t>
  </si>
  <si>
    <t>as set by TBL (=0, 1, 2, 3) &lt;=&gt; 16, 24, 32, 40 tCLK</t>
  </si>
  <si>
    <t>(Typ. 12MHz for internal clock)</t>
  </si>
  <si>
    <t>2021-OCT-21</t>
  </si>
  <si>
    <t>Corrected Power dissipation calculation (old calculation gave too high results)</t>
  </si>
  <si>
    <t>The actual die temperature will depend on the layout, environment temperature and motor current. Assume maximum die temperature in your application within the device limits</t>
  </si>
  <si>
    <t>2022-AUG-31</t>
  </si>
  <si>
    <t>Optimized calculation for RDSon Sense to give a better fit to realistic values</t>
  </si>
  <si>
    <t>I-Amplification</t>
  </si>
  <si>
    <t>(might vary depending on PCB routing of RSA/RSB to GND)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</si>
</sst>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4" fillId="0" borderId="0" xfId="0" applyFont="1" applyFill="1"/>
    <xf numFmtId="1" fontId="0" fillId="0" borderId="0" xfId="0" applyNumberFormat="1" applyFill="1"/>
    <xf numFmtId="0" fontId="10" fillId="0" borderId="0" xfId="0" applyFont="1"/>
    <xf numFmtId="2" fontId="7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3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4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8" fillId="0" borderId="0" xfId="0" applyFont="1" applyBorder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Fill="1" applyBorder="1"/>
    <xf numFmtId="166" fontId="14" fillId="0" borderId="14" xfId="0" applyNumberFormat="1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  <xf numFmtId="0" fontId="18" fillId="0" borderId="0" xfId="0" applyFont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  <xf numFmtId="2" fontId="10" fillId="0" borderId="4" xfId="0" applyNumberFormat="1" applyFont="1" applyBorder="1"/>
  </cellXfs>
  <cellStyles count="1">
    <cellStyle name="Standard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A41" sqref="A41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6.44140625" bestFit="1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5" t="s">
        <v>182</v>
      </c>
      <c r="B1" s="6"/>
      <c r="C1" s="6"/>
      <c r="D1" s="6"/>
      <c r="E1" s="6"/>
      <c r="F1" s="6"/>
      <c r="G1" s="6"/>
      <c r="H1" s="6"/>
    </row>
    <row r="2" spans="1:11" ht="18" x14ac:dyDescent="0.35">
      <c r="A2" s="5"/>
      <c r="B2" s="6"/>
      <c r="C2" s="6"/>
      <c r="D2" s="6"/>
      <c r="E2" s="6"/>
      <c r="F2" s="6"/>
      <c r="G2" s="6"/>
      <c r="H2" s="6"/>
    </row>
    <row r="3" spans="1:11" ht="18" x14ac:dyDescent="0.35">
      <c r="A3" s="10" t="s">
        <v>26</v>
      </c>
      <c r="B3" s="59" t="s">
        <v>112</v>
      </c>
      <c r="C3" s="60"/>
      <c r="D3" s="60"/>
      <c r="E3" s="60"/>
      <c r="F3" s="60"/>
      <c r="G3" s="60"/>
      <c r="H3" s="60"/>
      <c r="I3" s="20"/>
      <c r="J3" s="20"/>
      <c r="K3" s="20"/>
    </row>
    <row r="4" spans="1:11" ht="18" x14ac:dyDescent="0.35">
      <c r="A4" s="10"/>
      <c r="B4" s="61" t="s">
        <v>96</v>
      </c>
      <c r="C4" s="62"/>
      <c r="D4" s="62"/>
      <c r="E4" s="62"/>
      <c r="F4" s="62"/>
      <c r="G4" s="62"/>
      <c r="H4" s="62"/>
      <c r="I4" s="63"/>
      <c r="J4" s="63"/>
      <c r="K4" s="63"/>
    </row>
    <row r="6" spans="1:11" x14ac:dyDescent="0.3">
      <c r="A6" s="4" t="s">
        <v>23</v>
      </c>
    </row>
    <row r="7" spans="1:11" x14ac:dyDescent="0.3">
      <c r="B7" s="65">
        <v>60</v>
      </c>
      <c r="C7" t="s">
        <v>178</v>
      </c>
      <c r="D7" t="s">
        <v>177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1.3981013333333334</v>
      </c>
      <c r="K7" t="s">
        <v>19</v>
      </c>
    </row>
    <row r="8" spans="1:11" x14ac:dyDescent="0.3">
      <c r="B8" s="9">
        <v>256</v>
      </c>
      <c r="C8" t="s">
        <v>2</v>
      </c>
      <c r="D8" t="s">
        <v>25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3">
      <c r="B9" s="88">
        <v>1.8</v>
      </c>
      <c r="C9" s="34" t="s">
        <v>1</v>
      </c>
      <c r="D9" s="34" t="s">
        <v>4</v>
      </c>
      <c r="F9" s="34" t="s">
        <v>22</v>
      </c>
      <c r="G9" s="35" t="s">
        <v>9</v>
      </c>
      <c r="H9" s="88">
        <v>12000000</v>
      </c>
      <c r="I9" s="34"/>
      <c r="J9" s="34" t="s">
        <v>21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88">
        <v>1</v>
      </c>
      <c r="C12" s="35" t="s">
        <v>13</v>
      </c>
      <c r="D12" s="34" t="s">
        <v>14</v>
      </c>
    </row>
    <row r="14" spans="1:11" x14ac:dyDescent="0.3">
      <c r="A14" s="4" t="s">
        <v>17</v>
      </c>
      <c r="C14" s="4"/>
      <c r="D14" s="4"/>
    </row>
    <row r="15" spans="1:11" x14ac:dyDescent="0.3">
      <c r="B15" s="87">
        <f>B25</f>
        <v>71582.78826666667</v>
      </c>
      <c r="C15" t="s">
        <v>10</v>
      </c>
      <c r="D15" t="s">
        <v>11</v>
      </c>
      <c r="F15" t="s">
        <v>179</v>
      </c>
    </row>
    <row r="16" spans="1:11" x14ac:dyDescent="0.3">
      <c r="B16" s="3">
        <f>B15/$J$7/$B$11</f>
        <v>1</v>
      </c>
      <c r="C16" t="s">
        <v>0</v>
      </c>
      <c r="D16" t="s">
        <v>16</v>
      </c>
    </row>
    <row r="17" spans="1:6" x14ac:dyDescent="0.3">
      <c r="B17" s="3">
        <f>B16*360</f>
        <v>360</v>
      </c>
      <c r="C17" t="s">
        <v>12</v>
      </c>
      <c r="D17" t="s">
        <v>16</v>
      </c>
    </row>
    <row r="18" spans="1:6" x14ac:dyDescent="0.3">
      <c r="B18" s="3">
        <f>B17/$B$12</f>
        <v>360</v>
      </c>
      <c r="C18" t="s">
        <v>12</v>
      </c>
      <c r="D18" t="s">
        <v>15</v>
      </c>
    </row>
    <row r="19" spans="1:6" x14ac:dyDescent="0.3">
      <c r="B19" s="3">
        <f>B15*H9/2^24</f>
        <v>51200</v>
      </c>
      <c r="C19" t="s">
        <v>21</v>
      </c>
      <c r="D19" t="s">
        <v>180</v>
      </c>
    </row>
    <row r="20" spans="1:6" x14ac:dyDescent="0.3">
      <c r="B20" s="8">
        <f>B18/360</f>
        <v>1</v>
      </c>
      <c r="C20" s="4" t="s">
        <v>0</v>
      </c>
      <c r="D20" s="4" t="s">
        <v>15</v>
      </c>
    </row>
    <row r="21" spans="1:6" x14ac:dyDescent="0.3">
      <c r="B21" s="8"/>
      <c r="C21" s="4"/>
      <c r="D21" s="4"/>
    </row>
    <row r="22" spans="1:6" x14ac:dyDescent="0.3">
      <c r="A22" s="4" t="s">
        <v>173</v>
      </c>
      <c r="C22" s="4"/>
      <c r="D22" s="4"/>
    </row>
    <row r="23" spans="1:6" x14ac:dyDescent="0.3">
      <c r="B23" s="86">
        <f>B7/60</f>
        <v>1</v>
      </c>
      <c r="C23" t="s">
        <v>0</v>
      </c>
      <c r="D23" t="s">
        <v>16</v>
      </c>
      <c r="F23" t="s">
        <v>176</v>
      </c>
    </row>
    <row r="24" spans="1:6" x14ac:dyDescent="0.3">
      <c r="B24" s="3">
        <f>B23*360</f>
        <v>360</v>
      </c>
      <c r="C24" t="s">
        <v>12</v>
      </c>
      <c r="D24" t="s">
        <v>16</v>
      </c>
    </row>
    <row r="25" spans="1:6" x14ac:dyDescent="0.3">
      <c r="B25" s="7">
        <f>B23*$B$11*$J$7</f>
        <v>71582.78826666667</v>
      </c>
      <c r="C25" s="4" t="s">
        <v>10</v>
      </c>
      <c r="D25" t="s">
        <v>11</v>
      </c>
    </row>
    <row r="26" spans="1:6" x14ac:dyDescent="0.3">
      <c r="B26" s="7"/>
      <c r="C26" s="4"/>
    </row>
    <row r="27" spans="1:6" x14ac:dyDescent="0.3">
      <c r="A27" s="4" t="s">
        <v>18</v>
      </c>
      <c r="C27" s="4"/>
      <c r="D27" s="4"/>
    </row>
    <row r="28" spans="1:6" x14ac:dyDescent="0.3">
      <c r="A28" s="4"/>
      <c r="B28" s="86">
        <f>B23</f>
        <v>1</v>
      </c>
      <c r="C28" t="s">
        <v>0</v>
      </c>
      <c r="D28" t="s">
        <v>15</v>
      </c>
    </row>
    <row r="29" spans="1:6" x14ac:dyDescent="0.3">
      <c r="B29" s="3">
        <f>B28*360</f>
        <v>360</v>
      </c>
      <c r="C29" t="s">
        <v>12</v>
      </c>
      <c r="D29" t="s">
        <v>15</v>
      </c>
    </row>
    <row r="30" spans="1:6" x14ac:dyDescent="0.3">
      <c r="B30" s="3">
        <f>B28*B12</f>
        <v>1</v>
      </c>
      <c r="C30" t="s">
        <v>0</v>
      </c>
      <c r="D30" t="s">
        <v>16</v>
      </c>
    </row>
    <row r="31" spans="1:6" x14ac:dyDescent="0.3">
      <c r="B31" s="3">
        <f>B30*360</f>
        <v>360</v>
      </c>
      <c r="C31" t="s">
        <v>12</v>
      </c>
      <c r="D31" t="s">
        <v>16</v>
      </c>
    </row>
    <row r="32" spans="1:6" x14ac:dyDescent="0.3">
      <c r="B32" s="7">
        <f>B30*$B$11*$J$7</f>
        <v>71582.78826666667</v>
      </c>
      <c r="C32" s="4" t="s">
        <v>10</v>
      </c>
      <c r="D32" s="4" t="s">
        <v>11</v>
      </c>
    </row>
    <row r="34" spans="1:4" x14ac:dyDescent="0.3">
      <c r="A34" s="4" t="s">
        <v>183</v>
      </c>
      <c r="C34" s="4"/>
      <c r="D34" s="4"/>
    </row>
    <row r="35" spans="1:4" x14ac:dyDescent="0.3">
      <c r="B35" s="87">
        <f>B15</f>
        <v>71582.78826666667</v>
      </c>
      <c r="C35" t="s">
        <v>10</v>
      </c>
      <c r="D35" t="s">
        <v>11</v>
      </c>
    </row>
    <row r="36" spans="1:4" x14ac:dyDescent="0.3">
      <c r="B36" s="7">
        <f>MIN((2^20-1),2^24/B35*B8/256)</f>
        <v>234.375</v>
      </c>
      <c r="C36" s="4" t="s">
        <v>174</v>
      </c>
      <c r="D36" t="s">
        <v>175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workbookViewId="0">
      <selection activeCell="E50" sqref="E50"/>
    </sheetView>
  </sheetViews>
  <sheetFormatPr baseColWidth="10" defaultRowHeight="14.4" x14ac:dyDescent="0.3"/>
  <cols>
    <col min="1" max="1" width="17" customWidth="1"/>
    <col min="2" max="2" width="22.88671875" style="18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5" t="s">
        <v>107</v>
      </c>
    </row>
    <row r="3" spans="1:11" x14ac:dyDescent="0.3">
      <c r="A3" s="4" t="s">
        <v>26</v>
      </c>
      <c r="B3" s="20" t="s">
        <v>116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3">
      <c r="A4" s="4"/>
      <c r="B4" s="63" t="s">
        <v>153</v>
      </c>
      <c r="C4" s="63"/>
      <c r="D4" s="63"/>
      <c r="E4" s="63"/>
      <c r="F4" s="63"/>
      <c r="G4" s="63"/>
      <c r="H4" s="63"/>
      <c r="I4" s="63"/>
      <c r="J4" s="63"/>
      <c r="K4" s="63"/>
    </row>
    <row r="5" spans="1:11" x14ac:dyDescent="0.3">
      <c r="A5" s="4"/>
      <c r="B5" s="63" t="s">
        <v>156</v>
      </c>
      <c r="C5" s="63"/>
      <c r="D5" s="63"/>
      <c r="E5" s="63"/>
      <c r="F5" s="63"/>
      <c r="G5" s="63"/>
      <c r="H5" s="63"/>
      <c r="I5" s="63"/>
      <c r="J5" s="63"/>
      <c r="K5" s="63"/>
    </row>
    <row r="6" spans="1:11" x14ac:dyDescent="0.3">
      <c r="A6" s="4"/>
      <c r="B6" s="64" t="s">
        <v>154</v>
      </c>
      <c r="C6" s="64"/>
      <c r="D6" s="64"/>
      <c r="E6" s="64"/>
      <c r="F6" s="64"/>
      <c r="G6" s="64"/>
      <c r="H6" s="64"/>
      <c r="I6" s="64"/>
      <c r="J6" s="64"/>
      <c r="K6" s="64"/>
    </row>
    <row r="8" spans="1:11" x14ac:dyDescent="0.3">
      <c r="A8" s="4" t="s">
        <v>23</v>
      </c>
    </row>
    <row r="9" spans="1:11" x14ac:dyDescent="0.3">
      <c r="A9" s="4"/>
      <c r="B9" s="18" t="s">
        <v>31</v>
      </c>
      <c r="C9" s="65">
        <v>12</v>
      </c>
      <c r="E9" s="34" t="s">
        <v>98</v>
      </c>
    </row>
    <row r="10" spans="1:11" x14ac:dyDescent="0.3">
      <c r="B10" s="18" t="s">
        <v>32</v>
      </c>
      <c r="C10">
        <f>1/(1000000*C9)</f>
        <v>8.3333333333333338E-8</v>
      </c>
    </row>
    <row r="11" spans="1:11" x14ac:dyDescent="0.3">
      <c r="B11" s="18" t="s">
        <v>33</v>
      </c>
      <c r="C11" s="66">
        <v>24</v>
      </c>
      <c r="E11" t="s">
        <v>97</v>
      </c>
    </row>
    <row r="12" spans="1:11" x14ac:dyDescent="0.3">
      <c r="B12" s="18" t="s">
        <v>34</v>
      </c>
      <c r="C12" s="67">
        <v>2</v>
      </c>
      <c r="E12" t="s">
        <v>106</v>
      </c>
    </row>
    <row r="13" spans="1:11" x14ac:dyDescent="0.3">
      <c r="B13" s="18" t="s">
        <v>117</v>
      </c>
      <c r="C13" s="78">
        <f>C10*(16+8*C12)</f>
        <v>2.6666666666666668E-6</v>
      </c>
      <c r="E13" t="s">
        <v>184</v>
      </c>
    </row>
    <row r="14" spans="1:11" x14ac:dyDescent="0.3">
      <c r="A14" s="4" t="s">
        <v>115</v>
      </c>
      <c r="C14" s="21"/>
    </row>
    <row r="15" spans="1:11" x14ac:dyDescent="0.3">
      <c r="B15" s="18" t="s">
        <v>35</v>
      </c>
      <c r="C15" s="68">
        <v>7.4999999999999997E-3</v>
      </c>
      <c r="D15" s="21"/>
      <c r="E15" t="s">
        <v>186</v>
      </c>
    </row>
    <row r="16" spans="1:11" x14ac:dyDescent="0.3">
      <c r="B16" s="18" t="s">
        <v>36</v>
      </c>
      <c r="C16" s="69">
        <v>4.5</v>
      </c>
    </row>
    <row r="17" spans="1:10" x14ac:dyDescent="0.3">
      <c r="B17" s="18" t="s">
        <v>37</v>
      </c>
      <c r="C17" s="67">
        <v>1.4139999999999999</v>
      </c>
      <c r="E17" t="s">
        <v>38</v>
      </c>
    </row>
    <row r="18" spans="1:10" x14ac:dyDescent="0.3">
      <c r="B18" s="18" t="s">
        <v>39</v>
      </c>
      <c r="C18" s="46">
        <f>C17/SQRT(2)</f>
        <v>0.99984898859777804</v>
      </c>
    </row>
    <row r="19" spans="1:10" x14ac:dyDescent="0.3">
      <c r="A19" s="4" t="s">
        <v>118</v>
      </c>
      <c r="C19" s="46"/>
    </row>
    <row r="20" spans="1:10" x14ac:dyDescent="0.3">
      <c r="B20" s="18" t="s">
        <v>40</v>
      </c>
      <c r="C20" s="85">
        <v>3</v>
      </c>
      <c r="E20" t="s">
        <v>155</v>
      </c>
    </row>
    <row r="21" spans="1:10" x14ac:dyDescent="0.3">
      <c r="B21" s="18" t="s">
        <v>41</v>
      </c>
      <c r="C21" s="78">
        <f>(12+32*C20)*C10</f>
        <v>9.0000000000000002E-6</v>
      </c>
      <c r="E21" t="s">
        <v>124</v>
      </c>
    </row>
    <row r="23" spans="1:10" x14ac:dyDescent="0.3">
      <c r="B23" s="18" t="s">
        <v>185</v>
      </c>
      <c r="C23" s="22">
        <f>C11*0.0000002/C15</f>
        <v>6.3999999999999994E-4</v>
      </c>
      <c r="E23" t="s">
        <v>187</v>
      </c>
    </row>
    <row r="24" spans="1:10" x14ac:dyDescent="0.3">
      <c r="B24" s="18" t="s">
        <v>42</v>
      </c>
      <c r="C24" s="22">
        <f>C11*C13/C15</f>
        <v>8.5333333333333355E-3</v>
      </c>
      <c r="E24" t="s">
        <v>99</v>
      </c>
    </row>
    <row r="25" spans="1:10" x14ac:dyDescent="0.3">
      <c r="B25" s="18" t="s">
        <v>43</v>
      </c>
      <c r="C25" s="22">
        <f>C16*C17*2*C21/C15</f>
        <v>1.52712E-2</v>
      </c>
      <c r="E25" t="s">
        <v>100</v>
      </c>
    </row>
    <row r="27" spans="1:10" x14ac:dyDescent="0.3">
      <c r="B27" s="18" t="s">
        <v>44</v>
      </c>
      <c r="C27" s="85">
        <v>31</v>
      </c>
      <c r="E27" t="s">
        <v>123</v>
      </c>
    </row>
    <row r="28" spans="1:10" x14ac:dyDescent="0.3">
      <c r="B28" s="18" t="s">
        <v>52</v>
      </c>
      <c r="C28" s="23" t="str">
        <f>IF(C27&lt;16,"Current scaler is quite small - values above 16 are best for good microstepping","OK")</f>
        <v>OK</v>
      </c>
    </row>
    <row r="29" spans="1:10" x14ac:dyDescent="0.3">
      <c r="A29" s="42" t="s">
        <v>119</v>
      </c>
      <c r="B29" s="43"/>
      <c r="C29" s="44"/>
      <c r="D29" s="45"/>
      <c r="E29" s="45"/>
      <c r="F29" s="45"/>
      <c r="G29" s="45"/>
      <c r="H29" s="45"/>
    </row>
    <row r="30" spans="1:10" x14ac:dyDescent="0.3">
      <c r="B30" s="14" t="s">
        <v>45</v>
      </c>
      <c r="C30" s="41">
        <f>MAX(0.5+(C23+C24+C25)*2*248*(C27+1)/C17/32-8,-2)</f>
        <v>1.0746029231494596</v>
      </c>
      <c r="E30" t="s">
        <v>133</v>
      </c>
      <c r="J30" t="s">
        <v>46</v>
      </c>
    </row>
    <row r="31" spans="1:10" ht="15" thickBot="1" x14ac:dyDescent="0.35">
      <c r="J31" t="s">
        <v>47</v>
      </c>
    </row>
    <row r="32" spans="1:10" x14ac:dyDescent="0.3">
      <c r="A32" s="19" t="s">
        <v>101</v>
      </c>
      <c r="C32" s="24" t="s">
        <v>48</v>
      </c>
      <c r="F32" s="70" t="s">
        <v>49</v>
      </c>
      <c r="G32" s="71"/>
      <c r="H32" s="72"/>
    </row>
    <row r="33" spans="1:9" x14ac:dyDescent="0.3">
      <c r="B33" s="37" t="s">
        <v>104</v>
      </c>
      <c r="C33" s="25">
        <f>MAX(MIN(C30,8),1)</f>
        <v>1.0746029231494596</v>
      </c>
      <c r="E33" t="s">
        <v>50</v>
      </c>
      <c r="F33" s="73">
        <f>C33-1</f>
        <v>7.4602923149459599E-2</v>
      </c>
      <c r="G33" s="58" t="s">
        <v>102</v>
      </c>
      <c r="H33" s="74"/>
      <c r="I33" t="s">
        <v>134</v>
      </c>
    </row>
    <row r="34" spans="1:9" ht="15" thickBot="1" x14ac:dyDescent="0.35">
      <c r="B34" s="37" t="s">
        <v>105</v>
      </c>
      <c r="C34" s="25">
        <f>MIN(C30-C33,12)</f>
        <v>0</v>
      </c>
      <c r="E34" t="s">
        <v>51</v>
      </c>
      <c r="F34" s="75">
        <f>C34+3</f>
        <v>3</v>
      </c>
      <c r="G34" s="76" t="s">
        <v>103</v>
      </c>
      <c r="H34" s="77"/>
      <c r="I34" t="s">
        <v>135</v>
      </c>
    </row>
    <row r="36" spans="1:9" x14ac:dyDescent="0.3">
      <c r="B36" s="18" t="s">
        <v>52</v>
      </c>
      <c r="C36" s="23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3">
      <c r="C37" s="23"/>
    </row>
    <row r="38" spans="1:9" x14ac:dyDescent="0.3">
      <c r="B38" s="18" t="s">
        <v>128</v>
      </c>
      <c r="C38" s="36">
        <f>1/(2*C21+2*C13)/1000</f>
        <v>42.857142857142854</v>
      </c>
      <c r="E38" t="s">
        <v>129</v>
      </c>
    </row>
    <row r="39" spans="1:9" x14ac:dyDescent="0.3">
      <c r="B39" s="18" t="s">
        <v>52</v>
      </c>
      <c r="C39" s="23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6"/>
    </row>
    <row r="41" spans="1:9" x14ac:dyDescent="0.3">
      <c r="B41" s="18" t="s">
        <v>53</v>
      </c>
      <c r="C41" s="3">
        <f>C16*C17/SQRT(2)</f>
        <v>4.4993204486900016</v>
      </c>
      <c r="E41" t="s">
        <v>54</v>
      </c>
    </row>
    <row r="42" spans="1:9" x14ac:dyDescent="0.3">
      <c r="A42" s="4" t="s">
        <v>120</v>
      </c>
      <c r="C42" s="3"/>
    </row>
    <row r="43" spans="1:9" x14ac:dyDescent="0.3">
      <c r="B43" s="18" t="s">
        <v>55</v>
      </c>
      <c r="C43" s="7">
        <f>20*C41</f>
        <v>89.986408973800025</v>
      </c>
      <c r="E43" s="26" t="s">
        <v>56</v>
      </c>
    </row>
    <row r="44" spans="1:9" x14ac:dyDescent="0.3">
      <c r="B44" s="18" t="s">
        <v>57</v>
      </c>
      <c r="C44" s="7">
        <f>C41*2</f>
        <v>8.9986408973800032</v>
      </c>
      <c r="E44" t="s">
        <v>58</v>
      </c>
    </row>
    <row r="45" spans="1:9" x14ac:dyDescent="0.3">
      <c r="B45"/>
    </row>
    <row r="46" spans="1:9" ht="15" thickBot="1" x14ac:dyDescent="0.35">
      <c r="A46" s="4" t="s">
        <v>121</v>
      </c>
    </row>
    <row r="47" spans="1:9" x14ac:dyDescent="0.3">
      <c r="B47" s="81" t="s">
        <v>157</v>
      </c>
      <c r="C47" s="79">
        <f>(C27+1)/32/C17*0.32-0.02</f>
        <v>0.20630834512022633</v>
      </c>
      <c r="D47" s="82" t="s">
        <v>59</v>
      </c>
      <c r="E47" t="s">
        <v>122</v>
      </c>
    </row>
    <row r="48" spans="1:9" ht="15" thickBot="1" x14ac:dyDescent="0.35">
      <c r="B48" s="83" t="s">
        <v>158</v>
      </c>
      <c r="C48" s="80">
        <f>(C27+1)/32/C17*0.18-0.02</f>
        <v>0.10729844413012728</v>
      </c>
      <c r="D48" s="84" t="s">
        <v>59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"/>
  <sheetViews>
    <sheetView workbookViewId="0">
      <selection activeCell="I39" sqref="I39"/>
    </sheetView>
  </sheetViews>
  <sheetFormatPr baseColWidth="10" defaultRowHeight="14.4" x14ac:dyDescent="0.3"/>
  <cols>
    <col min="1" max="1" width="39.88671875" customWidth="1"/>
    <col min="2" max="2" width="23.1093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6" customFormat="1" ht="18" x14ac:dyDescent="0.35">
      <c r="A1" s="5" t="s">
        <v>169</v>
      </c>
    </row>
    <row r="2" spans="1:8" x14ac:dyDescent="0.3">
      <c r="A2" s="26" t="s">
        <v>172</v>
      </c>
      <c r="B2" s="19"/>
    </row>
    <row r="3" spans="1:8" x14ac:dyDescent="0.3">
      <c r="A3" s="26"/>
      <c r="B3" s="19"/>
    </row>
    <row r="4" spans="1:8" x14ac:dyDescent="0.3">
      <c r="A4" s="4" t="s">
        <v>26</v>
      </c>
      <c r="B4" s="20" t="s">
        <v>125</v>
      </c>
      <c r="C4" s="20"/>
      <c r="D4" s="20"/>
      <c r="E4" s="20"/>
      <c r="F4" s="20"/>
      <c r="G4" s="20"/>
      <c r="H4" s="20"/>
    </row>
    <row r="5" spans="1:8" x14ac:dyDescent="0.3">
      <c r="A5" s="4"/>
      <c r="B5" t="s">
        <v>113</v>
      </c>
    </row>
    <row r="6" spans="1:8" x14ac:dyDescent="0.3">
      <c r="A6" s="4"/>
    </row>
    <row r="7" spans="1:8" x14ac:dyDescent="0.3">
      <c r="B7" s="18"/>
      <c r="E7" s="27" t="s">
        <v>62</v>
      </c>
      <c r="F7" s="20"/>
      <c r="G7" s="20"/>
      <c r="H7" s="20"/>
    </row>
    <row r="8" spans="1:8" x14ac:dyDescent="0.3">
      <c r="A8" s="4" t="s">
        <v>98</v>
      </c>
      <c r="B8" s="18" t="s">
        <v>31</v>
      </c>
      <c r="C8" s="65">
        <v>12</v>
      </c>
      <c r="E8" t="s">
        <v>233</v>
      </c>
      <c r="F8" s="34"/>
      <c r="G8" s="34"/>
      <c r="H8" s="34"/>
    </row>
    <row r="9" spans="1:8" x14ac:dyDescent="0.3">
      <c r="B9" s="18" t="s">
        <v>32</v>
      </c>
      <c r="C9">
        <f>1/(1000000*C8)</f>
        <v>8.3333333333333338E-8</v>
      </c>
    </row>
    <row r="10" spans="1:8" x14ac:dyDescent="0.3">
      <c r="B10" s="18"/>
    </row>
    <row r="11" spans="1:8" x14ac:dyDescent="0.3">
      <c r="A11" s="4" t="s">
        <v>63</v>
      </c>
      <c r="B11" s="18" t="s">
        <v>33</v>
      </c>
      <c r="C11" s="65">
        <v>24</v>
      </c>
    </row>
    <row r="12" spans="1:8" x14ac:dyDescent="0.3">
      <c r="A12" s="4"/>
      <c r="B12" s="18"/>
      <c r="C12" s="96"/>
    </row>
    <row r="13" spans="1:8" x14ac:dyDescent="0.3">
      <c r="B13" s="18"/>
      <c r="C13" s="4" t="s">
        <v>131</v>
      </c>
      <c r="D13" s="38"/>
    </row>
    <row r="14" spans="1:8" x14ac:dyDescent="0.3">
      <c r="A14" s="4" t="s">
        <v>64</v>
      </c>
      <c r="B14" s="18" t="s">
        <v>37</v>
      </c>
      <c r="C14" s="96">
        <f>1.41*C15</f>
        <v>1.41</v>
      </c>
      <c r="D14" s="34"/>
      <c r="E14" t="s">
        <v>65</v>
      </c>
    </row>
    <row r="15" spans="1:8" x14ac:dyDescent="0.3">
      <c r="B15" s="18" t="s">
        <v>66</v>
      </c>
      <c r="C15" s="89">
        <v>1</v>
      </c>
      <c r="D15" s="28"/>
      <c r="E15" t="s">
        <v>160</v>
      </c>
    </row>
    <row r="16" spans="1:8" x14ac:dyDescent="0.3">
      <c r="A16" s="4" t="s">
        <v>166</v>
      </c>
      <c r="B16" s="18" t="s">
        <v>167</v>
      </c>
      <c r="C16" s="65">
        <v>4.5</v>
      </c>
      <c r="D16" s="28"/>
      <c r="E16" t="s">
        <v>230</v>
      </c>
    </row>
    <row r="17" spans="1:5" x14ac:dyDescent="0.3">
      <c r="B17" s="18"/>
      <c r="C17" s="28"/>
      <c r="D17" s="28"/>
    </row>
    <row r="18" spans="1:5" x14ac:dyDescent="0.3">
      <c r="A18" s="4" t="s">
        <v>67</v>
      </c>
      <c r="B18" s="18" t="s">
        <v>40</v>
      </c>
      <c r="C18" s="65">
        <v>3</v>
      </c>
      <c r="D18" s="34"/>
    </row>
    <row r="19" spans="1:5" x14ac:dyDescent="0.3">
      <c r="B19" s="18" t="s">
        <v>41</v>
      </c>
      <c r="C19" s="78">
        <f>(24+32*C18)*C9</f>
        <v>1.0000000000000001E-5</v>
      </c>
      <c r="E19" s="34" t="s">
        <v>171</v>
      </c>
    </row>
    <row r="20" spans="1:5" x14ac:dyDescent="0.3">
      <c r="B20" s="18" t="s">
        <v>34</v>
      </c>
      <c r="C20" s="20">
        <v>2</v>
      </c>
    </row>
    <row r="21" spans="1:5" x14ac:dyDescent="0.3">
      <c r="B21" s="18" t="s">
        <v>231</v>
      </c>
      <c r="C21" s="21">
        <f>C9*(16+8*C20)</f>
        <v>2.6666666666666668E-6</v>
      </c>
      <c r="E21" t="s">
        <v>232</v>
      </c>
    </row>
    <row r="22" spans="1:5" ht="28.8" x14ac:dyDescent="0.3">
      <c r="A22" s="29" t="s">
        <v>193</v>
      </c>
      <c r="B22" s="92" t="s">
        <v>68</v>
      </c>
      <c r="C22" s="93">
        <f>1/((2+4*C23)*C19)/1000</f>
        <v>27.838827838827839</v>
      </c>
      <c r="D22" s="28"/>
      <c r="E22" t="s">
        <v>69</v>
      </c>
    </row>
    <row r="23" spans="1:5" ht="28.8" x14ac:dyDescent="0.3">
      <c r="A23" s="29" t="s">
        <v>168</v>
      </c>
      <c r="B23" s="37" t="s">
        <v>170</v>
      </c>
      <c r="C23" s="97">
        <f>C15*C16/C11+C21/(C19+C21)</f>
        <v>0.39802631578947367</v>
      </c>
      <c r="D23" s="28"/>
      <c r="E23" t="s">
        <v>70</v>
      </c>
    </row>
    <row r="24" spans="1:5" x14ac:dyDescent="0.3">
      <c r="B24" s="18"/>
      <c r="C24" s="28"/>
    </row>
    <row r="25" spans="1:5" x14ac:dyDescent="0.3">
      <c r="B25" s="18"/>
      <c r="C25" s="40" t="s">
        <v>130</v>
      </c>
      <c r="D25" s="38"/>
      <c r="E25" s="38"/>
    </row>
    <row r="26" spans="1:5" x14ac:dyDescent="0.3">
      <c r="A26" s="4" t="s">
        <v>126</v>
      </c>
      <c r="B26" s="18"/>
      <c r="C26" s="4"/>
      <c r="D26" s="4"/>
      <c r="E26" s="4"/>
    </row>
    <row r="27" spans="1:5" x14ac:dyDescent="0.3">
      <c r="A27" t="s">
        <v>71</v>
      </c>
      <c r="B27" s="18" t="s">
        <v>72</v>
      </c>
      <c r="C27">
        <v>0.28999999999999998</v>
      </c>
      <c r="E27" s="30"/>
    </row>
    <row r="28" spans="1:5" x14ac:dyDescent="0.3">
      <c r="A28" s="24" t="s">
        <v>73</v>
      </c>
      <c r="B28" s="18" t="s">
        <v>74</v>
      </c>
      <c r="C28">
        <v>0.28000000000000003</v>
      </c>
      <c r="E28" s="30"/>
    </row>
    <row r="29" spans="1:5" x14ac:dyDescent="0.3">
      <c r="B29" s="18"/>
      <c r="E29" s="30"/>
    </row>
    <row r="30" spans="1:5" x14ac:dyDescent="0.3">
      <c r="A30" t="s">
        <v>159</v>
      </c>
      <c r="B30" s="18" t="s">
        <v>127</v>
      </c>
      <c r="C30" s="90">
        <v>120</v>
      </c>
      <c r="D30" s="31"/>
      <c r="E30" t="s">
        <v>236</v>
      </c>
    </row>
    <row r="31" spans="1:5" x14ac:dyDescent="0.3">
      <c r="B31" s="18" t="s">
        <v>75</v>
      </c>
      <c r="C31" s="3">
        <f>0.26*(1+(0.55*(C30-25)/100))+0.03</f>
        <v>0.42584999999999995</v>
      </c>
      <c r="D31" s="3"/>
      <c r="E31" s="22"/>
    </row>
    <row r="32" spans="1:5" x14ac:dyDescent="0.3">
      <c r="B32" s="18" t="s">
        <v>76</v>
      </c>
      <c r="C32" s="3">
        <f>0.25*(1+(0.55*(C30-25)/100))+0.03</f>
        <v>0.41062500000000002</v>
      </c>
      <c r="D32" s="3"/>
      <c r="E32" s="22"/>
    </row>
    <row r="33" spans="1:7" x14ac:dyDescent="0.3">
      <c r="B33" s="15"/>
      <c r="C33" s="3"/>
      <c r="D33" s="3"/>
      <c r="E33" s="22"/>
    </row>
    <row r="34" spans="1:7" x14ac:dyDescent="0.3">
      <c r="A34" t="s">
        <v>77</v>
      </c>
      <c r="B34" s="18" t="s">
        <v>78</v>
      </c>
      <c r="C34" s="25">
        <v>30</v>
      </c>
      <c r="D34" s="25"/>
      <c r="E34" t="s">
        <v>79</v>
      </c>
    </row>
    <row r="35" spans="1:7" x14ac:dyDescent="0.3">
      <c r="B35" s="18" t="s">
        <v>80</v>
      </c>
      <c r="C35" s="25">
        <v>40</v>
      </c>
      <c r="D35" s="25"/>
      <c r="E35" s="31"/>
    </row>
    <row r="36" spans="1:7" x14ac:dyDescent="0.3">
      <c r="B36" s="18" t="s">
        <v>81</v>
      </c>
      <c r="C36" s="25">
        <v>80</v>
      </c>
      <c r="D36" s="25"/>
      <c r="E36" s="25"/>
    </row>
    <row r="37" spans="1:7" x14ac:dyDescent="0.3">
      <c r="B37" s="18" t="s">
        <v>82</v>
      </c>
      <c r="C37" s="25">
        <v>80</v>
      </c>
      <c r="D37" s="25"/>
      <c r="E37" s="25"/>
    </row>
    <row r="38" spans="1:7" x14ac:dyDescent="0.3">
      <c r="B38" s="18"/>
      <c r="C38" s="25"/>
      <c r="D38" s="25"/>
      <c r="E38" s="25"/>
    </row>
    <row r="39" spans="1:7" x14ac:dyDescent="0.3">
      <c r="A39" s="47" t="s">
        <v>83</v>
      </c>
      <c r="B39" s="18" t="s">
        <v>84</v>
      </c>
      <c r="C39" s="3">
        <f>C31*($C$15^2)*$C$23</f>
        <v>0.16949950657894736</v>
      </c>
      <c r="D39" s="3"/>
      <c r="E39" s="3"/>
    </row>
    <row r="40" spans="1:7" x14ac:dyDescent="0.3">
      <c r="A40" s="13" t="s">
        <v>85</v>
      </c>
      <c r="B40" s="18" t="s">
        <v>86</v>
      </c>
      <c r="C40" s="22">
        <f>$C$22*1000*((C36+C35)/1000000000)*$C$11*$C$15*2/2</f>
        <v>8.0175824175824167E-2</v>
      </c>
      <c r="D40" s="22"/>
      <c r="E40" s="22"/>
    </row>
    <row r="41" spans="1:7" x14ac:dyDescent="0.3">
      <c r="A41" s="34" t="s">
        <v>87</v>
      </c>
      <c r="B41" s="15" t="s">
        <v>88</v>
      </c>
      <c r="C41" s="8">
        <f>C39+C40</f>
        <v>0.24967533075477152</v>
      </c>
      <c r="D41" s="39"/>
      <c r="E41" s="39"/>
      <c r="G41" s="32"/>
    </row>
    <row r="42" spans="1:7" x14ac:dyDescent="0.3">
      <c r="B42" s="18" t="s">
        <v>89</v>
      </c>
      <c r="C42" s="3">
        <f>(1-$C$23)*($C$15^2)*C32</f>
        <v>0.24718544407894738</v>
      </c>
      <c r="D42" s="3"/>
      <c r="E42" s="3"/>
    </row>
    <row r="43" spans="1:7" x14ac:dyDescent="0.3">
      <c r="B43" s="18" t="s">
        <v>90</v>
      </c>
      <c r="C43" s="22">
        <f>C22*1000*((C37+C34)/1000000000)*$C$11*C15*2/2</f>
        <v>7.3494505494505494E-2</v>
      </c>
      <c r="D43" s="22"/>
      <c r="E43" s="22"/>
    </row>
    <row r="44" spans="1:7" x14ac:dyDescent="0.3">
      <c r="A44" s="34" t="s">
        <v>87</v>
      </c>
      <c r="B44" s="15" t="s">
        <v>91</v>
      </c>
      <c r="C44" s="8">
        <f>C42+C43</f>
        <v>0.32067994957345286</v>
      </c>
      <c r="D44" s="39"/>
      <c r="E44" s="39"/>
      <c r="G44" s="32"/>
    </row>
    <row r="45" spans="1:7" x14ac:dyDescent="0.3">
      <c r="A45" s="13"/>
      <c r="B45" s="15"/>
      <c r="C45" s="39"/>
      <c r="D45" s="39"/>
      <c r="E45" s="39"/>
    </row>
    <row r="46" spans="1:7" x14ac:dyDescent="0.3">
      <c r="A46" t="s">
        <v>92</v>
      </c>
      <c r="B46" s="15" t="s">
        <v>93</v>
      </c>
      <c r="C46" s="39">
        <f>2*C42+C43+2*C39+C40</f>
        <v>0.98704023098611915</v>
      </c>
      <c r="D46" s="39"/>
      <c r="E46" s="39"/>
    </row>
    <row r="47" spans="1:7" x14ac:dyDescent="0.3">
      <c r="A47" s="38" t="s">
        <v>108</v>
      </c>
      <c r="B47" s="15" t="s">
        <v>94</v>
      </c>
      <c r="C47" s="39">
        <f>2*C46</f>
        <v>1.9740804619722383</v>
      </c>
      <c r="D47" s="39"/>
      <c r="E47" s="39"/>
      <c r="G47" s="32"/>
    </row>
    <row r="48" spans="1:7" x14ac:dyDescent="0.3">
      <c r="A48" s="38" t="s">
        <v>109</v>
      </c>
      <c r="B48" s="18" t="s">
        <v>181</v>
      </c>
      <c r="C48" s="39">
        <f>C11*(0.0025+0.0005+C8*0.0003)</f>
        <v>0.15839999999999999</v>
      </c>
      <c r="D48" s="39"/>
      <c r="E48" s="39"/>
      <c r="G48" s="32"/>
    </row>
    <row r="49" spans="1:7" x14ac:dyDescent="0.3">
      <c r="A49" s="38"/>
      <c r="B49" s="14"/>
      <c r="C49" s="8"/>
      <c r="D49" s="8"/>
      <c r="E49" s="8"/>
      <c r="G49" s="32"/>
    </row>
    <row r="50" spans="1:7" x14ac:dyDescent="0.3">
      <c r="A50" s="38" t="s">
        <v>111</v>
      </c>
      <c r="B50" s="14" t="s">
        <v>110</v>
      </c>
      <c r="C50" s="40">
        <f>C47+C48</f>
        <v>2.1324804619722384</v>
      </c>
      <c r="E50" s="48"/>
    </row>
    <row r="51" spans="1:7" x14ac:dyDescent="0.3">
      <c r="A51" s="38"/>
      <c r="B51" s="14"/>
      <c r="C51" s="8"/>
      <c r="E51" s="8"/>
    </row>
    <row r="53" spans="1:7" x14ac:dyDescent="0.3">
      <c r="A53" s="38" t="s">
        <v>114</v>
      </c>
      <c r="B53" s="18" t="s">
        <v>95</v>
      </c>
      <c r="C53" s="91">
        <v>0.15</v>
      </c>
      <c r="D53" s="49"/>
      <c r="E53" t="s">
        <v>161</v>
      </c>
    </row>
    <row r="54" spans="1:7" x14ac:dyDescent="0.3">
      <c r="B54" s="94" t="s">
        <v>163</v>
      </c>
      <c r="C54" s="95">
        <f>C$53*C$15^2*C$23</f>
        <v>5.9703947368421051E-2</v>
      </c>
      <c r="D54" s="48"/>
      <c r="E54" s="9" t="s">
        <v>162</v>
      </c>
      <c r="G54" s="32"/>
    </row>
    <row r="55" spans="1:7" x14ac:dyDescent="0.3">
      <c r="B55" s="94" t="s">
        <v>164</v>
      </c>
      <c r="C55" s="95">
        <f>C$53*C$15^2*0.7</f>
        <v>0.105</v>
      </c>
      <c r="E55" s="9" t="s">
        <v>165</v>
      </c>
    </row>
    <row r="58" spans="1:7" x14ac:dyDescent="0.3">
      <c r="A58" s="12"/>
    </row>
    <row r="59" spans="1:7" x14ac:dyDescent="0.3">
      <c r="A59" s="12"/>
    </row>
    <row r="60" spans="1:7" x14ac:dyDescent="0.3">
      <c r="A60" s="12"/>
    </row>
    <row r="61" spans="1:7" x14ac:dyDescent="0.3">
      <c r="A61" s="12"/>
    </row>
    <row r="63" spans="1:7" x14ac:dyDescent="0.3">
      <c r="A63" s="12"/>
      <c r="B63" s="3"/>
    </row>
    <row r="64" spans="1:7" x14ac:dyDescent="0.3">
      <c r="A64" s="12"/>
      <c r="B64" s="3"/>
    </row>
    <row r="65" spans="1:2" x14ac:dyDescent="0.3">
      <c r="A65" s="12"/>
      <c r="B65" s="33"/>
    </row>
    <row r="66" spans="1:2" x14ac:dyDescent="0.3">
      <c r="A66" s="12"/>
      <c r="B66" s="3"/>
    </row>
    <row r="67" spans="1:2" x14ac:dyDescent="0.3">
      <c r="A67" s="12"/>
      <c r="B67" s="3"/>
    </row>
    <row r="68" spans="1:2" x14ac:dyDescent="0.3">
      <c r="A68" s="12"/>
      <c r="B68" s="3"/>
    </row>
    <row r="69" spans="1:2" x14ac:dyDescent="0.3">
      <c r="A69" s="12"/>
      <c r="B69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C39" sqref="C39"/>
    </sheetView>
  </sheetViews>
  <sheetFormatPr baseColWidth="10" defaultRowHeight="14.4" x14ac:dyDescent="0.3"/>
  <cols>
    <col min="1" max="1" width="21.6640625" customWidth="1"/>
    <col min="2" max="2" width="17.44140625" customWidth="1"/>
    <col min="3" max="3" width="16.109375" customWidth="1"/>
    <col min="4" max="4" width="39.88671875" customWidth="1"/>
  </cols>
  <sheetData>
    <row r="1" spans="1:6" x14ac:dyDescent="0.3">
      <c r="A1" t="s">
        <v>140</v>
      </c>
      <c r="B1">
        <v>325</v>
      </c>
      <c r="C1" t="s">
        <v>142</v>
      </c>
    </row>
    <row r="2" spans="1:6" x14ac:dyDescent="0.3">
      <c r="A2" t="s">
        <v>141</v>
      </c>
      <c r="B2">
        <v>180</v>
      </c>
      <c r="C2" t="s">
        <v>142</v>
      </c>
    </row>
    <row r="4" spans="1:6" x14ac:dyDescent="0.3">
      <c r="A4" t="s">
        <v>144</v>
      </c>
    </row>
    <row r="5" spans="1:6" s="4" customFormat="1" x14ac:dyDescent="0.3">
      <c r="A5" s="4" t="s">
        <v>145</v>
      </c>
      <c r="B5" s="4" t="s">
        <v>146</v>
      </c>
      <c r="C5" s="4" t="s">
        <v>147</v>
      </c>
      <c r="D5" s="4" t="s">
        <v>152</v>
      </c>
      <c r="E5" t="s">
        <v>143</v>
      </c>
      <c r="F5"/>
    </row>
    <row r="6" spans="1:6" x14ac:dyDescent="0.3">
      <c r="A6">
        <v>1</v>
      </c>
      <c r="B6" s="3">
        <f>$B$1/(A6+0.03)/1000</f>
        <v>0.31553398058252424</v>
      </c>
      <c r="C6" s="3">
        <f>B6/SQRT(2)</f>
        <v>0.22311621736468729</v>
      </c>
      <c r="D6" s="3">
        <f>A6*C6*C6</f>
        <v>4.9780846451126383E-2</v>
      </c>
    </row>
    <row r="7" spans="1:6" x14ac:dyDescent="0.3">
      <c r="A7">
        <v>0.82</v>
      </c>
      <c r="B7" s="3">
        <f t="shared" ref="B7:B17" si="0">$B$1/(A7+0.03)/1000</f>
        <v>0.38235294117647062</v>
      </c>
      <c r="C7" s="3">
        <f t="shared" ref="C7:C17" si="1">B7/SQRT(2)</f>
        <v>0.27036435751250348</v>
      </c>
      <c r="D7" s="3">
        <f t="shared" ref="D7:D17" si="2">A7*C7*C7</f>
        <v>5.9939446366782015E-2</v>
      </c>
    </row>
    <row r="8" spans="1:6" x14ac:dyDescent="0.3">
      <c r="A8">
        <v>0.75</v>
      </c>
      <c r="B8" s="3">
        <f t="shared" si="0"/>
        <v>0.41666666666666663</v>
      </c>
      <c r="C8" s="3">
        <f t="shared" si="1"/>
        <v>0.29462782549439476</v>
      </c>
      <c r="D8" s="3">
        <f t="shared" si="2"/>
        <v>6.5104166666666644E-2</v>
      </c>
    </row>
    <row r="9" spans="1:6" x14ac:dyDescent="0.3">
      <c r="A9">
        <v>0.68</v>
      </c>
      <c r="B9" s="3">
        <f t="shared" si="0"/>
        <v>0.45774647887323938</v>
      </c>
      <c r="C9" s="3">
        <f t="shared" si="1"/>
        <v>0.32367563927553228</v>
      </c>
      <c r="D9" s="3">
        <f t="shared" si="2"/>
        <v>7.1240825233088653E-2</v>
      </c>
      <c r="F9" t="s">
        <v>149</v>
      </c>
    </row>
    <row r="10" spans="1:6" x14ac:dyDescent="0.3">
      <c r="A10">
        <v>0.5</v>
      </c>
      <c r="B10" s="3">
        <f t="shared" si="0"/>
        <v>0.6132075471698113</v>
      </c>
      <c r="C10" s="3">
        <f t="shared" si="1"/>
        <v>0.43360321487854325</v>
      </c>
      <c r="D10" s="3">
        <f t="shared" si="2"/>
        <v>9.4005873976504076E-2</v>
      </c>
    </row>
    <row r="11" spans="1:6" x14ac:dyDescent="0.3">
      <c r="A11">
        <v>0.47</v>
      </c>
      <c r="B11" s="3">
        <f t="shared" si="0"/>
        <v>0.65</v>
      </c>
      <c r="C11" s="3">
        <f t="shared" si="1"/>
        <v>0.45961940777125587</v>
      </c>
      <c r="D11" s="3">
        <f t="shared" si="2"/>
        <v>9.9287499999999987E-2</v>
      </c>
    </row>
    <row r="12" spans="1:6" x14ac:dyDescent="0.3">
      <c r="A12">
        <v>0.33</v>
      </c>
      <c r="B12" s="3">
        <f t="shared" si="0"/>
        <v>0.90277777777777779</v>
      </c>
      <c r="C12" s="3">
        <f t="shared" si="1"/>
        <v>0.63836028857118865</v>
      </c>
      <c r="D12" s="3">
        <f t="shared" si="2"/>
        <v>0.13447627314814811</v>
      </c>
    </row>
    <row r="13" spans="1:6" x14ac:dyDescent="0.3">
      <c r="A13">
        <v>0.27</v>
      </c>
      <c r="B13" s="3">
        <f t="shared" si="0"/>
        <v>1.0833333333333333</v>
      </c>
      <c r="C13" s="3">
        <f t="shared" si="1"/>
        <v>0.76603234628542638</v>
      </c>
      <c r="D13" s="3">
        <f t="shared" si="2"/>
        <v>0.15843749999999995</v>
      </c>
    </row>
    <row r="14" spans="1:6" x14ac:dyDescent="0.3">
      <c r="A14">
        <v>0.22</v>
      </c>
      <c r="B14" s="3">
        <f t="shared" si="0"/>
        <v>1.3</v>
      </c>
      <c r="C14" s="3">
        <f t="shared" si="1"/>
        <v>0.91923881554251174</v>
      </c>
      <c r="D14" s="3">
        <f t="shared" si="2"/>
        <v>0.18590000000000001</v>
      </c>
      <c r="F14" t="s">
        <v>150</v>
      </c>
    </row>
    <row r="15" spans="1:6" x14ac:dyDescent="0.3">
      <c r="A15">
        <v>0.15</v>
      </c>
      <c r="B15" s="3">
        <f t="shared" si="0"/>
        <v>1.8055555555555556</v>
      </c>
      <c r="C15" s="3">
        <f t="shared" si="1"/>
        <v>1.2767205771423773</v>
      </c>
      <c r="D15" s="3">
        <f t="shared" si="2"/>
        <v>0.24450231481481474</v>
      </c>
    </row>
    <row r="16" spans="1:6" x14ac:dyDescent="0.3">
      <c r="A16">
        <v>0.12</v>
      </c>
      <c r="B16" s="3">
        <f t="shared" si="0"/>
        <v>2.166666666666667</v>
      </c>
      <c r="C16" s="56">
        <f t="shared" si="1"/>
        <v>1.532064692570853</v>
      </c>
      <c r="D16" s="3">
        <f t="shared" si="2"/>
        <v>0.28166666666666668</v>
      </c>
    </row>
    <row r="17" spans="1:6" x14ac:dyDescent="0.3">
      <c r="A17">
        <v>0.1</v>
      </c>
      <c r="B17" s="3">
        <f t="shared" si="0"/>
        <v>2.5</v>
      </c>
      <c r="C17" s="56">
        <f t="shared" si="1"/>
        <v>1.7677669529663687</v>
      </c>
      <c r="D17" s="3">
        <f t="shared" si="2"/>
        <v>0.31249999999999994</v>
      </c>
      <c r="F17" t="s">
        <v>151</v>
      </c>
    </row>
    <row r="18" spans="1:6" x14ac:dyDescent="0.3">
      <c r="D18" s="3"/>
    </row>
    <row r="19" spans="1:6" x14ac:dyDescent="0.3">
      <c r="D19" s="3"/>
    </row>
    <row r="20" spans="1:6" x14ac:dyDescent="0.3">
      <c r="A20" t="s">
        <v>148</v>
      </c>
      <c r="D20" s="3"/>
    </row>
    <row r="21" spans="1:6" x14ac:dyDescent="0.3">
      <c r="A21" s="4" t="s">
        <v>145</v>
      </c>
      <c r="B21" s="4" t="s">
        <v>146</v>
      </c>
      <c r="C21" s="4" t="s">
        <v>147</v>
      </c>
      <c r="D21" s="8"/>
      <c r="E21" t="s">
        <v>143</v>
      </c>
    </row>
    <row r="22" spans="1:6" x14ac:dyDescent="0.3">
      <c r="A22">
        <v>1</v>
      </c>
      <c r="B22" s="3">
        <f>$B$2/(A22+0.03)/1000</f>
        <v>0.17475728155339806</v>
      </c>
      <c r="C22" s="3">
        <f>B22/SQRT(2)</f>
        <v>0.12357205884813452</v>
      </c>
      <c r="D22" s="3">
        <f>A22*C22*C22</f>
        <v>1.5270053727966821E-2</v>
      </c>
    </row>
    <row r="23" spans="1:6" x14ac:dyDescent="0.3">
      <c r="A23">
        <v>0.82</v>
      </c>
      <c r="B23" s="3">
        <f t="shared" ref="B23:B35" si="3">$B$2/(A23+0.03)/1000</f>
        <v>0.21176470588235297</v>
      </c>
      <c r="C23" s="3">
        <f t="shared" ref="C23:C36" si="4">B23/SQRT(2)</f>
        <v>0.14974025954538653</v>
      </c>
      <c r="D23" s="3">
        <f t="shared" ref="D23:D36" si="5">A23*C23*C23</f>
        <v>1.8386159169550172E-2</v>
      </c>
    </row>
    <row r="24" spans="1:6" x14ac:dyDescent="0.3">
      <c r="A24">
        <v>0.75</v>
      </c>
      <c r="B24" s="3">
        <f t="shared" si="3"/>
        <v>0.23076923076923078</v>
      </c>
      <c r="C24" s="3">
        <f t="shared" si="4"/>
        <v>0.16317848796612636</v>
      </c>
      <c r="D24" s="3">
        <f t="shared" si="5"/>
        <v>1.9970414201183433E-2</v>
      </c>
    </row>
    <row r="25" spans="1:6" x14ac:dyDescent="0.3">
      <c r="A25">
        <v>0.68</v>
      </c>
      <c r="B25" s="3">
        <f t="shared" si="3"/>
        <v>0.25352112676056338</v>
      </c>
      <c r="C25" s="3">
        <f t="shared" si="4"/>
        <v>0.17926650790644866</v>
      </c>
      <c r="D25" s="3">
        <f t="shared" si="5"/>
        <v>2.1852806982741519E-2</v>
      </c>
    </row>
    <row r="26" spans="1:6" x14ac:dyDescent="0.3">
      <c r="A26">
        <v>0.5</v>
      </c>
      <c r="B26" s="3">
        <f t="shared" si="3"/>
        <v>0.33962264150943394</v>
      </c>
      <c r="C26" s="3">
        <f t="shared" si="4"/>
        <v>0.24014947285580857</v>
      </c>
      <c r="D26" s="3">
        <f t="shared" si="5"/>
        <v>2.8835884656461367E-2</v>
      </c>
    </row>
    <row r="27" spans="1:6" x14ac:dyDescent="0.3">
      <c r="A27">
        <v>0.47</v>
      </c>
      <c r="B27" s="3">
        <f t="shared" si="3"/>
        <v>0.36</v>
      </c>
      <c r="C27" s="3">
        <f t="shared" si="4"/>
        <v>0.2545584412271571</v>
      </c>
      <c r="D27" s="3">
        <f t="shared" si="5"/>
        <v>3.0455999999999997E-2</v>
      </c>
    </row>
    <row r="28" spans="1:6" x14ac:dyDescent="0.3">
      <c r="A28">
        <v>0.33</v>
      </c>
      <c r="B28" s="3">
        <f t="shared" si="3"/>
        <v>0.5</v>
      </c>
      <c r="C28" s="3">
        <f t="shared" si="4"/>
        <v>0.35355339059327373</v>
      </c>
      <c r="D28" s="3">
        <f t="shared" si="5"/>
        <v>4.1249999999999995E-2</v>
      </c>
    </row>
    <row r="29" spans="1:6" x14ac:dyDescent="0.3">
      <c r="A29">
        <v>0.27</v>
      </c>
      <c r="B29" s="3">
        <f t="shared" si="3"/>
        <v>0.59999999999999987</v>
      </c>
      <c r="C29" s="3">
        <f t="shared" si="4"/>
        <v>0.4242640687119284</v>
      </c>
      <c r="D29" s="3">
        <f t="shared" si="5"/>
        <v>4.8599999999999977E-2</v>
      </c>
    </row>
    <row r="30" spans="1:6" x14ac:dyDescent="0.3">
      <c r="A30">
        <v>0.22</v>
      </c>
      <c r="B30" s="3">
        <f t="shared" si="3"/>
        <v>0.72</v>
      </c>
      <c r="C30" s="3">
        <f t="shared" si="4"/>
        <v>0.50911688245431419</v>
      </c>
      <c r="D30" s="3">
        <f t="shared" si="5"/>
        <v>5.7023999999999998E-2</v>
      </c>
    </row>
    <row r="31" spans="1:6" x14ac:dyDescent="0.3">
      <c r="A31">
        <v>0.15</v>
      </c>
      <c r="B31" s="3">
        <f t="shared" si="3"/>
        <v>1</v>
      </c>
      <c r="C31" s="3">
        <f t="shared" si="4"/>
        <v>0.70710678118654746</v>
      </c>
      <c r="D31" s="3">
        <f t="shared" si="5"/>
        <v>7.4999999999999983E-2</v>
      </c>
      <c r="F31" t="s">
        <v>149</v>
      </c>
    </row>
    <row r="32" spans="1:6" x14ac:dyDescent="0.3">
      <c r="A32">
        <v>0.12</v>
      </c>
      <c r="B32" s="3">
        <f t="shared" si="3"/>
        <v>1.2</v>
      </c>
      <c r="C32" s="3">
        <f t="shared" si="4"/>
        <v>0.84852813742385691</v>
      </c>
      <c r="D32" s="3">
        <f t="shared" si="5"/>
        <v>8.6399999999999977E-2</v>
      </c>
    </row>
    <row r="33" spans="1:6" x14ac:dyDescent="0.3">
      <c r="A33">
        <v>0.1</v>
      </c>
      <c r="B33" s="3">
        <f t="shared" si="3"/>
        <v>1.3846153846153846</v>
      </c>
      <c r="C33" s="57">
        <f t="shared" si="4"/>
        <v>0.97907092779675797</v>
      </c>
      <c r="D33" s="3">
        <f t="shared" si="5"/>
        <v>9.5857988165680447E-2</v>
      </c>
    </row>
    <row r="34" spans="1:6" x14ac:dyDescent="0.3">
      <c r="A34">
        <v>8.2000000000000003E-2</v>
      </c>
      <c r="B34" s="3">
        <f t="shared" si="3"/>
        <v>1.6071428571428572</v>
      </c>
      <c r="C34" s="3">
        <f t="shared" si="4"/>
        <v>1.136421612621237</v>
      </c>
      <c r="D34" s="3">
        <f t="shared" si="5"/>
        <v>0.10589923469387753</v>
      </c>
    </row>
    <row r="35" spans="1:6" x14ac:dyDescent="0.3">
      <c r="A35">
        <v>7.4999999999999997E-2</v>
      </c>
      <c r="B35" s="3">
        <f t="shared" si="3"/>
        <v>1.7142857142857144</v>
      </c>
      <c r="C35" s="3">
        <f t="shared" si="4"/>
        <v>1.212183053462653</v>
      </c>
      <c r="D35" s="3">
        <f t="shared" si="5"/>
        <v>0.11020408163265308</v>
      </c>
    </row>
    <row r="36" spans="1:6" x14ac:dyDescent="0.3">
      <c r="A36">
        <v>6.8000000000000005E-2</v>
      </c>
      <c r="B36" s="3">
        <f>$B$2/(A36+0.03)/1000</f>
        <v>1.8367346938775508</v>
      </c>
      <c r="C36" s="56">
        <f t="shared" si="4"/>
        <v>1.2987675572814137</v>
      </c>
      <c r="D36" s="3">
        <f t="shared" si="5"/>
        <v>0.11470220741357766</v>
      </c>
      <c r="F36" t="s">
        <v>150</v>
      </c>
    </row>
    <row r="37" spans="1:6" x14ac:dyDescent="0.3">
      <c r="D37" s="3"/>
    </row>
    <row r="38" spans="1:6" x14ac:dyDescent="0.3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22" sqref="D22"/>
    </sheetView>
  </sheetViews>
  <sheetFormatPr baseColWidth="10" defaultRowHeight="14.4" x14ac:dyDescent="0.3"/>
  <cols>
    <col min="2" max="2" width="8.44140625" bestFit="1" customWidth="1"/>
    <col min="3" max="3" width="18.44140625" bestFit="1" customWidth="1"/>
    <col min="4" max="4" width="18.44140625" customWidth="1"/>
    <col min="5" max="5" width="18.44140625" bestFit="1" customWidth="1"/>
    <col min="6" max="6" width="20.109375" customWidth="1"/>
  </cols>
  <sheetData>
    <row r="1" spans="1:6" s="6" customFormat="1" ht="18" x14ac:dyDescent="0.35">
      <c r="A1" s="5" t="s">
        <v>139</v>
      </c>
    </row>
    <row r="3" spans="1:6" x14ac:dyDescent="0.3">
      <c r="A3" s="51" t="s">
        <v>136</v>
      </c>
      <c r="B3" s="53" t="s">
        <v>132</v>
      </c>
      <c r="C3" s="50" t="s">
        <v>137</v>
      </c>
      <c r="D3" s="50" t="s">
        <v>188</v>
      </c>
      <c r="E3" s="50" t="s">
        <v>138</v>
      </c>
      <c r="F3" s="50" t="s">
        <v>189</v>
      </c>
    </row>
    <row r="4" spans="1:6" x14ac:dyDescent="0.3">
      <c r="A4" s="52">
        <v>6.2</v>
      </c>
      <c r="B4" s="54">
        <f>5/(0.7+A4)/1000+2.5/67000</f>
        <v>7.6195111399524117E-4</v>
      </c>
      <c r="C4" s="100">
        <f>B4*$B$19</f>
        <v>2.2858533419857237</v>
      </c>
      <c r="D4" s="101">
        <f>C4/SQRT(2)</f>
        <v>1.6163423989160375</v>
      </c>
      <c r="E4" s="98">
        <f>0.55*C4</f>
        <v>1.2572193380921481</v>
      </c>
      <c r="F4" s="3">
        <f>E4/SQRT(2)</f>
        <v>0.88898831940382061</v>
      </c>
    </row>
    <row r="5" spans="1:6" x14ac:dyDescent="0.3">
      <c r="A5" s="52">
        <v>6.8</v>
      </c>
      <c r="B5" s="54">
        <f>5/(0.7+A5)/1000+2.5/67000</f>
        <v>7.0398009950248751E-4</v>
      </c>
      <c r="C5" s="109">
        <f>B5*$B$19</f>
        <v>2.1119402985074625</v>
      </c>
      <c r="D5" s="99">
        <f t="shared" ref="D5:D17" si="0">C5/SQRT(2)</f>
        <v>1.493367306535768</v>
      </c>
      <c r="E5" s="99">
        <f>0.55*C5</f>
        <v>1.1615671641791045</v>
      </c>
      <c r="F5" s="3">
        <f t="shared" ref="F5:F17" si="1">E5/SQRT(2)</f>
        <v>0.82135201859467255</v>
      </c>
    </row>
    <row r="6" spans="1:6" x14ac:dyDescent="0.3">
      <c r="A6" s="52">
        <v>7.5</v>
      </c>
      <c r="B6" s="54">
        <f t="shared" ref="B6:B17" si="2">5/(0.7+A6)/1000+2.5/67000</f>
        <v>6.4706953039679659E-4</v>
      </c>
      <c r="C6" s="55">
        <f t="shared" ref="C6:C17" si="3">B6*$B$19</f>
        <v>1.9412085911903898</v>
      </c>
      <c r="D6" s="99">
        <f t="shared" si="0"/>
        <v>1.3726417585283091</v>
      </c>
      <c r="E6" s="99">
        <f t="shared" ref="E6:E17" si="4">0.55*C6</f>
        <v>1.0676647251547144</v>
      </c>
      <c r="F6" s="3">
        <f t="shared" si="1"/>
        <v>0.75495296719057003</v>
      </c>
    </row>
    <row r="7" spans="1:6" x14ac:dyDescent="0.3">
      <c r="A7" s="52">
        <v>8.1999999999999993</v>
      </c>
      <c r="B7" s="54">
        <f t="shared" si="2"/>
        <v>5.9911118564480968E-4</v>
      </c>
      <c r="C7" s="55">
        <f t="shared" si="3"/>
        <v>1.7973335569344291</v>
      </c>
      <c r="D7" s="99">
        <f t="shared" si="0"/>
        <v>1.2709067461624723</v>
      </c>
      <c r="E7" s="99">
        <f t="shared" si="4"/>
        <v>0.98853345631393608</v>
      </c>
      <c r="F7" s="3">
        <f t="shared" si="1"/>
        <v>0.6989987103893599</v>
      </c>
    </row>
    <row r="8" spans="1:6" x14ac:dyDescent="0.3">
      <c r="A8" s="52">
        <v>9.1</v>
      </c>
      <c r="B8" s="54">
        <f t="shared" si="2"/>
        <v>5.4751751446847398E-4</v>
      </c>
      <c r="C8" s="55">
        <f t="shared" si="3"/>
        <v>1.642552543405422</v>
      </c>
      <c r="D8" s="99">
        <f t="shared" si="0"/>
        <v>1.1614600418971848</v>
      </c>
      <c r="E8" s="99">
        <f t="shared" si="4"/>
        <v>0.90340389887298223</v>
      </c>
      <c r="F8" s="3">
        <f t="shared" si="1"/>
        <v>0.63880302304345171</v>
      </c>
    </row>
    <row r="9" spans="1:6" x14ac:dyDescent="0.3">
      <c r="A9" s="52">
        <v>10</v>
      </c>
      <c r="B9" s="54">
        <f t="shared" si="2"/>
        <v>5.0460315246198917E-4</v>
      </c>
      <c r="C9" s="55">
        <f t="shared" si="3"/>
        <v>1.5138094573859675</v>
      </c>
      <c r="D9" s="99">
        <f t="shared" si="0"/>
        <v>1.0704249327419455</v>
      </c>
      <c r="E9" s="99">
        <f t="shared" si="4"/>
        <v>0.83259520156228217</v>
      </c>
      <c r="F9" s="3">
        <f t="shared" si="1"/>
        <v>0.58873371300807009</v>
      </c>
    </row>
    <row r="10" spans="1:6" x14ac:dyDescent="0.3">
      <c r="A10" s="52">
        <v>12</v>
      </c>
      <c r="B10" s="54">
        <f t="shared" si="2"/>
        <v>4.3101422023739577E-4</v>
      </c>
      <c r="C10" s="55">
        <f t="shared" si="3"/>
        <v>1.2930426607121874</v>
      </c>
      <c r="D10" s="99">
        <f t="shared" si="0"/>
        <v>0.91431923375308388</v>
      </c>
      <c r="E10" s="99">
        <f t="shared" si="4"/>
        <v>0.71117346339170318</v>
      </c>
      <c r="F10" s="3">
        <f t="shared" si="1"/>
        <v>0.50287557856419618</v>
      </c>
    </row>
    <row r="11" spans="1:6" x14ac:dyDescent="0.3">
      <c r="A11" s="52">
        <v>15</v>
      </c>
      <c r="B11" s="54">
        <f t="shared" si="2"/>
        <v>3.5578477041543874E-4</v>
      </c>
      <c r="C11" s="55">
        <f t="shared" si="3"/>
        <v>1.0673543112463162</v>
      </c>
      <c r="D11" s="99">
        <f t="shared" si="0"/>
        <v>0.75473347141096703</v>
      </c>
      <c r="E11" s="99">
        <f t="shared" si="4"/>
        <v>0.58704487118547399</v>
      </c>
      <c r="F11" s="3">
        <f t="shared" si="1"/>
        <v>0.4151034092760319</v>
      </c>
    </row>
    <row r="12" spans="1:6" x14ac:dyDescent="0.3">
      <c r="A12" s="52">
        <v>18</v>
      </c>
      <c r="B12" s="54">
        <f t="shared" si="2"/>
        <v>3.046931119802059E-4</v>
      </c>
      <c r="C12" s="55">
        <f t="shared" si="3"/>
        <v>0.91407933594061774</v>
      </c>
      <c r="D12" s="99">
        <f t="shared" si="0"/>
        <v>0.64635169698610706</v>
      </c>
      <c r="E12" s="99">
        <f t="shared" si="4"/>
        <v>0.50274363476733985</v>
      </c>
      <c r="F12" s="3">
        <f t="shared" si="1"/>
        <v>0.35549343334235894</v>
      </c>
    </row>
    <row r="13" spans="1:6" x14ac:dyDescent="0.3">
      <c r="A13" s="52">
        <v>22</v>
      </c>
      <c r="B13" s="54">
        <f t="shared" si="2"/>
        <v>2.5757775001643767E-4</v>
      </c>
      <c r="C13" s="55">
        <f t="shared" si="3"/>
        <v>0.77273325004931304</v>
      </c>
      <c r="D13" s="99">
        <f t="shared" si="0"/>
        <v>0.54640492115818928</v>
      </c>
      <c r="E13" s="99">
        <f t="shared" si="4"/>
        <v>0.42500328752712219</v>
      </c>
      <c r="F13" s="3">
        <f t="shared" si="1"/>
        <v>0.30052270663700409</v>
      </c>
    </row>
    <row r="14" spans="1:6" x14ac:dyDescent="0.3">
      <c r="A14" s="52">
        <v>24</v>
      </c>
      <c r="B14" s="54">
        <f t="shared" si="2"/>
        <v>2.3974258263339174E-4</v>
      </c>
      <c r="C14" s="55">
        <f t="shared" si="3"/>
        <v>0.71922774790017518</v>
      </c>
      <c r="D14" s="99">
        <f t="shared" si="0"/>
        <v>0.50857081775774249</v>
      </c>
      <c r="E14" s="99">
        <f t="shared" si="4"/>
        <v>0.39557526134509641</v>
      </c>
      <c r="F14" s="3">
        <f t="shared" si="1"/>
        <v>0.2797139497667584</v>
      </c>
    </row>
    <row r="15" spans="1:6" x14ac:dyDescent="0.3">
      <c r="A15" s="52">
        <v>27</v>
      </c>
      <c r="B15" s="54">
        <f t="shared" si="2"/>
        <v>2.1781884799827579E-4</v>
      </c>
      <c r="C15" s="55">
        <f t="shared" si="3"/>
        <v>0.65345654399482733</v>
      </c>
      <c r="D15" s="99">
        <f t="shared" si="0"/>
        <v>0.46206355346946792</v>
      </c>
      <c r="E15" s="99">
        <f t="shared" si="4"/>
        <v>0.35940109919715507</v>
      </c>
      <c r="F15" s="3">
        <f t="shared" si="1"/>
        <v>0.25413495440820738</v>
      </c>
    </row>
    <row r="16" spans="1:6" x14ac:dyDescent="0.3">
      <c r="A16" s="52">
        <v>33</v>
      </c>
      <c r="B16" s="54">
        <f t="shared" si="2"/>
        <v>1.8568138535807608E-4</v>
      </c>
      <c r="C16" s="55">
        <f t="shared" si="3"/>
        <v>0.5570441560742283</v>
      </c>
      <c r="D16" s="99">
        <f t="shared" si="0"/>
        <v>0.39388970018042435</v>
      </c>
      <c r="E16" s="99">
        <f t="shared" si="4"/>
        <v>0.3063742858408256</v>
      </c>
      <c r="F16" s="3">
        <f t="shared" si="1"/>
        <v>0.21663933509923342</v>
      </c>
    </row>
    <row r="17" spans="1:6" x14ac:dyDescent="0.3">
      <c r="A17" s="52">
        <v>39</v>
      </c>
      <c r="B17" s="54">
        <f t="shared" si="2"/>
        <v>1.6325801721869243E-4</v>
      </c>
      <c r="C17" s="55">
        <f t="shared" si="3"/>
        <v>0.48977405165607729</v>
      </c>
      <c r="D17" s="99">
        <f t="shared" si="0"/>
        <v>0.34632255317522265</v>
      </c>
      <c r="E17" s="99">
        <f t="shared" si="4"/>
        <v>0.26937572841084251</v>
      </c>
      <c r="F17" s="3">
        <f t="shared" si="1"/>
        <v>0.19047740424637247</v>
      </c>
    </row>
    <row r="19" spans="1:6" x14ac:dyDescent="0.3">
      <c r="A19" t="s">
        <v>239</v>
      </c>
      <c r="B19">
        <v>3000</v>
      </c>
      <c r="C19" t="s">
        <v>240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30D0-7D37-494A-8A6C-FC913DD2F449}">
  <dimension ref="A1:O32"/>
  <sheetViews>
    <sheetView workbookViewId="0">
      <selection activeCell="C20" sqref="C20"/>
    </sheetView>
  </sheetViews>
  <sheetFormatPr baseColWidth="10" defaultRowHeight="14.4" x14ac:dyDescent="0.3"/>
  <cols>
    <col min="1" max="1" width="37.109375" customWidth="1"/>
    <col min="4" max="4" width="15.5546875" customWidth="1"/>
  </cols>
  <sheetData>
    <row r="1" spans="1:15" ht="21" x14ac:dyDescent="0.4">
      <c r="A1" s="102" t="s">
        <v>198</v>
      </c>
    </row>
    <row r="2" spans="1:15" ht="21" x14ac:dyDescent="0.4">
      <c r="A2" s="102"/>
    </row>
    <row r="3" spans="1:15" ht="18" x14ac:dyDescent="0.35">
      <c r="A3" s="6" t="s">
        <v>199</v>
      </c>
      <c r="B3" t="s">
        <v>200</v>
      </c>
      <c r="C3" t="s">
        <v>229</v>
      </c>
      <c r="D3" t="s">
        <v>201</v>
      </c>
      <c r="E3" t="s">
        <v>202</v>
      </c>
      <c r="F3" t="s">
        <v>203</v>
      </c>
      <c r="G3" t="s">
        <v>204</v>
      </c>
      <c r="H3" t="s">
        <v>205</v>
      </c>
      <c r="I3" t="s">
        <v>206</v>
      </c>
    </row>
    <row r="4" spans="1:15" x14ac:dyDescent="0.3">
      <c r="A4" t="s">
        <v>207</v>
      </c>
      <c r="B4" s="103">
        <v>5</v>
      </c>
      <c r="C4" s="103">
        <v>0</v>
      </c>
      <c r="D4" s="104">
        <v>10</v>
      </c>
      <c r="E4" s="103" t="s">
        <v>208</v>
      </c>
      <c r="F4" s="103" t="s">
        <v>209</v>
      </c>
      <c r="G4" s="103" t="s">
        <v>210</v>
      </c>
      <c r="H4" s="103" t="s">
        <v>211</v>
      </c>
      <c r="I4" s="105" t="str">
        <f>DEC2HEX(O16,2)</f>
        <v>34</v>
      </c>
    </row>
    <row r="5" spans="1:15" x14ac:dyDescent="0.3">
      <c r="A5" t="s">
        <v>212</v>
      </c>
      <c r="B5" s="106">
        <f>B4</f>
        <v>5</v>
      </c>
      <c r="C5" s="106">
        <f>C4</f>
        <v>0</v>
      </c>
      <c r="D5" s="106">
        <f>_xlfn.BITOR(HEX2DEC(D4), HEX2DEC(80))</f>
        <v>144</v>
      </c>
      <c r="E5" s="106">
        <f>HEX2DEC(E4)</f>
        <v>0</v>
      </c>
      <c r="F5" s="106">
        <f t="shared" ref="F5:H5" si="0">HEX2DEC(F4)</f>
        <v>1</v>
      </c>
      <c r="G5" s="106">
        <f t="shared" si="0"/>
        <v>20</v>
      </c>
      <c r="H5" s="106">
        <f t="shared" si="0"/>
        <v>5</v>
      </c>
    </row>
    <row r="7" spans="1:15" x14ac:dyDescent="0.3">
      <c r="B7" t="s">
        <v>213</v>
      </c>
      <c r="C7" t="s">
        <v>214</v>
      </c>
    </row>
    <row r="8" spans="1:15" x14ac:dyDescent="0.3">
      <c r="B8" s="107">
        <f>B5</f>
        <v>5</v>
      </c>
      <c r="C8">
        <v>0</v>
      </c>
      <c r="D8" s="107">
        <f>C5</f>
        <v>0</v>
      </c>
      <c r="E8">
        <f>C16</f>
        <v>105</v>
      </c>
      <c r="F8" s="107">
        <f>D5</f>
        <v>144</v>
      </c>
      <c r="G8">
        <f>E16</f>
        <v>24</v>
      </c>
      <c r="H8" s="108">
        <f>E5</f>
        <v>0</v>
      </c>
      <c r="I8">
        <f>G16</f>
        <v>119</v>
      </c>
      <c r="J8" s="108">
        <f>F5</f>
        <v>1</v>
      </c>
      <c r="K8">
        <f>I16</f>
        <v>66</v>
      </c>
      <c r="L8" s="108">
        <f>G5</f>
        <v>20</v>
      </c>
      <c r="M8">
        <f>K16</f>
        <v>64</v>
      </c>
      <c r="N8" s="108">
        <f>H5</f>
        <v>5</v>
      </c>
      <c r="O8">
        <f>M16</f>
        <v>31</v>
      </c>
    </row>
    <row r="9" spans="1:15" x14ac:dyDescent="0.3">
      <c r="A9" t="s">
        <v>215</v>
      </c>
      <c r="B9">
        <f>B8</f>
        <v>5</v>
      </c>
      <c r="C9">
        <f>IF(_xlfn.BITXOR(_xlfn.BITRSHIFT(C8,7),_xlfn.BITAND(B9,1))=1,_xlfn.BITXOR(_xlfn.BITAND(_xlfn.BITLSHIFT(C8,1),255),7),_xlfn.BITAND(_xlfn.BITLSHIFT(C8,1),255))</f>
        <v>7</v>
      </c>
      <c r="D9">
        <f>D8</f>
        <v>0</v>
      </c>
      <c r="E9">
        <f>IF(_xlfn.BITXOR(_xlfn.BITRSHIFT(E8,7),_xlfn.BITAND(D9,1))=1,_xlfn.BITXOR(_xlfn.BITAND(_xlfn.BITLSHIFT(E8,1),255),7),_xlfn.BITAND(_xlfn.BITLSHIFT(E8,1),255))</f>
        <v>210</v>
      </c>
      <c r="F9">
        <f>F8</f>
        <v>144</v>
      </c>
      <c r="G9">
        <f>IF(_xlfn.BITXOR(_xlfn.BITRSHIFT(G8,7),_xlfn.BITAND(F9,1))=1,_xlfn.BITXOR(_xlfn.BITAND(_xlfn.BITLSHIFT(G8,1),255),7),_xlfn.BITAND(_xlfn.BITLSHIFT(G8,1),255))</f>
        <v>48</v>
      </c>
      <c r="H9">
        <f>H8</f>
        <v>0</v>
      </c>
      <c r="I9">
        <f>IF(_xlfn.BITXOR(_xlfn.BITRSHIFT(I8,7),_xlfn.BITAND(H9,1))=1,_xlfn.BITXOR(_xlfn.BITAND(_xlfn.BITLSHIFT(I8,1),255),7),_xlfn.BITAND(_xlfn.BITLSHIFT(I8,1),255))</f>
        <v>238</v>
      </c>
      <c r="J9">
        <f>J8</f>
        <v>1</v>
      </c>
      <c r="K9">
        <f>IF(_xlfn.BITXOR(_xlfn.BITRSHIFT(K8,7),_xlfn.BITAND(J9,1))=1,_xlfn.BITXOR(_xlfn.BITAND(_xlfn.BITLSHIFT(K8,1),255),7),_xlfn.BITAND(_xlfn.BITLSHIFT(K8,1),255))</f>
        <v>131</v>
      </c>
      <c r="L9">
        <f>L8</f>
        <v>20</v>
      </c>
      <c r="M9">
        <f>IF(_xlfn.BITXOR(_xlfn.BITRSHIFT(M8,7),_xlfn.BITAND(L9,1))=1,_xlfn.BITXOR(_xlfn.BITAND(_xlfn.BITLSHIFT(M8,1),255),7),_xlfn.BITAND(_xlfn.BITLSHIFT(M8,1),255))</f>
        <v>128</v>
      </c>
      <c r="N9">
        <f>N8</f>
        <v>5</v>
      </c>
      <c r="O9">
        <f>IF(_xlfn.BITXOR(_xlfn.BITRSHIFT(O8,7),_xlfn.BITAND(N9,1))=1,_xlfn.BITXOR(_xlfn.BITAND(_xlfn.BITLSHIFT(O8,1),255),7),_xlfn.BITAND(_xlfn.BITLSHIFT(O8,1),255))</f>
        <v>57</v>
      </c>
    </row>
    <row r="10" spans="1:15" x14ac:dyDescent="0.3">
      <c r="A10" t="s">
        <v>216</v>
      </c>
      <c r="B10">
        <f>_xlfn.BITRSHIFT(B9,1)</f>
        <v>2</v>
      </c>
      <c r="C10">
        <f t="shared" ref="C10:C16" si="1">IF(_xlfn.BITXOR(_xlfn.BITRSHIFT(C9,7),_xlfn.BITAND(B10,1))=1,_xlfn.BITXOR(_xlfn.BITAND(_xlfn.BITLSHIFT(C9,1),255),7),_xlfn.BITAND(_xlfn.BITLSHIFT(C9,1),255))</f>
        <v>14</v>
      </c>
      <c r="D10">
        <f>_xlfn.BITRSHIFT(D9,1)</f>
        <v>0</v>
      </c>
      <c r="E10">
        <f t="shared" ref="E10:O16" si="2">IF(_xlfn.BITXOR(_xlfn.BITRSHIFT(E9,7),_xlfn.BITAND(D10,1))=1,_xlfn.BITXOR(_xlfn.BITAND(_xlfn.BITLSHIFT(E9,1),255),7),_xlfn.BITAND(_xlfn.BITLSHIFT(E9,1),255))</f>
        <v>163</v>
      </c>
      <c r="F10">
        <f>_xlfn.BITRSHIFT(F9,1)</f>
        <v>72</v>
      </c>
      <c r="G10">
        <f t="shared" si="2"/>
        <v>96</v>
      </c>
      <c r="H10">
        <f>_xlfn.BITRSHIFT(H9,1)</f>
        <v>0</v>
      </c>
      <c r="I10">
        <f t="shared" si="2"/>
        <v>219</v>
      </c>
      <c r="J10">
        <f>_xlfn.BITRSHIFT(J9,1)</f>
        <v>0</v>
      </c>
      <c r="K10">
        <f t="shared" si="2"/>
        <v>1</v>
      </c>
      <c r="L10">
        <f>_xlfn.BITRSHIFT(L9,1)</f>
        <v>10</v>
      </c>
      <c r="M10">
        <f t="shared" si="2"/>
        <v>7</v>
      </c>
      <c r="N10">
        <f>_xlfn.BITRSHIFT(N9,1)</f>
        <v>2</v>
      </c>
      <c r="O10">
        <f t="shared" si="2"/>
        <v>114</v>
      </c>
    </row>
    <row r="11" spans="1:15" x14ac:dyDescent="0.3">
      <c r="A11" t="s">
        <v>217</v>
      </c>
      <c r="B11">
        <f t="shared" ref="B11:N16" si="3">_xlfn.BITRSHIFT(B10,1)</f>
        <v>1</v>
      </c>
      <c r="C11">
        <f t="shared" si="1"/>
        <v>27</v>
      </c>
      <c r="D11">
        <f t="shared" si="3"/>
        <v>0</v>
      </c>
      <c r="E11">
        <f t="shared" si="2"/>
        <v>65</v>
      </c>
      <c r="F11">
        <f t="shared" si="3"/>
        <v>36</v>
      </c>
      <c r="G11">
        <f t="shared" si="2"/>
        <v>192</v>
      </c>
      <c r="H11">
        <f t="shared" si="3"/>
        <v>0</v>
      </c>
      <c r="I11">
        <f t="shared" si="2"/>
        <v>177</v>
      </c>
      <c r="J11">
        <f t="shared" si="3"/>
        <v>0</v>
      </c>
      <c r="K11">
        <f t="shared" si="2"/>
        <v>2</v>
      </c>
      <c r="L11">
        <f t="shared" si="3"/>
        <v>5</v>
      </c>
      <c r="M11">
        <f t="shared" si="2"/>
        <v>9</v>
      </c>
      <c r="N11">
        <f t="shared" si="3"/>
        <v>1</v>
      </c>
      <c r="O11">
        <f t="shared" si="2"/>
        <v>227</v>
      </c>
    </row>
    <row r="12" spans="1:15" x14ac:dyDescent="0.3">
      <c r="A12" t="s">
        <v>218</v>
      </c>
      <c r="B12">
        <f t="shared" si="3"/>
        <v>0</v>
      </c>
      <c r="C12">
        <f t="shared" si="1"/>
        <v>54</v>
      </c>
      <c r="D12">
        <f t="shared" si="3"/>
        <v>0</v>
      </c>
      <c r="E12">
        <f t="shared" si="2"/>
        <v>130</v>
      </c>
      <c r="F12">
        <f t="shared" si="3"/>
        <v>18</v>
      </c>
      <c r="G12">
        <f t="shared" si="2"/>
        <v>135</v>
      </c>
      <c r="H12">
        <f t="shared" si="3"/>
        <v>0</v>
      </c>
      <c r="I12">
        <f t="shared" si="2"/>
        <v>101</v>
      </c>
      <c r="J12">
        <f t="shared" si="3"/>
        <v>0</v>
      </c>
      <c r="K12">
        <f t="shared" si="2"/>
        <v>4</v>
      </c>
      <c r="L12">
        <f t="shared" si="3"/>
        <v>2</v>
      </c>
      <c r="M12">
        <f t="shared" si="2"/>
        <v>18</v>
      </c>
      <c r="N12">
        <f t="shared" si="3"/>
        <v>0</v>
      </c>
      <c r="O12">
        <f t="shared" si="2"/>
        <v>193</v>
      </c>
    </row>
    <row r="13" spans="1:15" x14ac:dyDescent="0.3">
      <c r="A13" t="s">
        <v>219</v>
      </c>
      <c r="B13">
        <f t="shared" si="3"/>
        <v>0</v>
      </c>
      <c r="C13">
        <f t="shared" si="1"/>
        <v>108</v>
      </c>
      <c r="D13">
        <f t="shared" si="3"/>
        <v>0</v>
      </c>
      <c r="E13">
        <f t="shared" si="2"/>
        <v>3</v>
      </c>
      <c r="F13">
        <f t="shared" si="3"/>
        <v>9</v>
      </c>
      <c r="G13">
        <f t="shared" si="2"/>
        <v>14</v>
      </c>
      <c r="H13">
        <f t="shared" si="3"/>
        <v>0</v>
      </c>
      <c r="I13">
        <f t="shared" si="2"/>
        <v>202</v>
      </c>
      <c r="J13">
        <f t="shared" si="3"/>
        <v>0</v>
      </c>
      <c r="K13">
        <f t="shared" si="2"/>
        <v>8</v>
      </c>
      <c r="L13">
        <f t="shared" si="3"/>
        <v>1</v>
      </c>
      <c r="M13">
        <f t="shared" si="2"/>
        <v>35</v>
      </c>
      <c r="N13">
        <f t="shared" si="3"/>
        <v>0</v>
      </c>
      <c r="O13">
        <f t="shared" si="2"/>
        <v>133</v>
      </c>
    </row>
    <row r="14" spans="1:15" x14ac:dyDescent="0.3">
      <c r="A14" t="s">
        <v>220</v>
      </c>
      <c r="B14">
        <f t="shared" si="3"/>
        <v>0</v>
      </c>
      <c r="C14">
        <f t="shared" si="1"/>
        <v>216</v>
      </c>
      <c r="D14">
        <f t="shared" si="3"/>
        <v>0</v>
      </c>
      <c r="E14">
        <f t="shared" si="2"/>
        <v>6</v>
      </c>
      <c r="F14">
        <f t="shared" si="3"/>
        <v>4</v>
      </c>
      <c r="G14">
        <f t="shared" si="2"/>
        <v>28</v>
      </c>
      <c r="H14">
        <f t="shared" si="3"/>
        <v>0</v>
      </c>
      <c r="I14">
        <f t="shared" si="2"/>
        <v>147</v>
      </c>
      <c r="J14">
        <f t="shared" si="3"/>
        <v>0</v>
      </c>
      <c r="K14">
        <f t="shared" si="2"/>
        <v>16</v>
      </c>
      <c r="L14">
        <f t="shared" si="3"/>
        <v>0</v>
      </c>
      <c r="M14">
        <f t="shared" si="2"/>
        <v>70</v>
      </c>
      <c r="N14">
        <f t="shared" si="3"/>
        <v>0</v>
      </c>
      <c r="O14">
        <f t="shared" si="2"/>
        <v>13</v>
      </c>
    </row>
    <row r="15" spans="1:15" x14ac:dyDescent="0.3">
      <c r="A15" t="s">
        <v>221</v>
      </c>
      <c r="B15">
        <f t="shared" si="3"/>
        <v>0</v>
      </c>
      <c r="C15">
        <f t="shared" si="1"/>
        <v>183</v>
      </c>
      <c r="D15">
        <f t="shared" si="3"/>
        <v>0</v>
      </c>
      <c r="E15">
        <f t="shared" si="2"/>
        <v>12</v>
      </c>
      <c r="F15">
        <f t="shared" si="3"/>
        <v>2</v>
      </c>
      <c r="G15">
        <f t="shared" si="2"/>
        <v>56</v>
      </c>
      <c r="H15">
        <f t="shared" si="3"/>
        <v>0</v>
      </c>
      <c r="I15">
        <f t="shared" si="2"/>
        <v>33</v>
      </c>
      <c r="J15">
        <f t="shared" si="3"/>
        <v>0</v>
      </c>
      <c r="K15">
        <f t="shared" si="2"/>
        <v>32</v>
      </c>
      <c r="L15">
        <f t="shared" si="3"/>
        <v>0</v>
      </c>
      <c r="M15">
        <f t="shared" si="2"/>
        <v>140</v>
      </c>
      <c r="N15">
        <f t="shared" si="3"/>
        <v>0</v>
      </c>
      <c r="O15">
        <f t="shared" si="2"/>
        <v>26</v>
      </c>
    </row>
    <row r="16" spans="1:15" x14ac:dyDescent="0.3">
      <c r="A16" t="s">
        <v>222</v>
      </c>
      <c r="B16">
        <f t="shared" si="3"/>
        <v>0</v>
      </c>
      <c r="C16">
        <f t="shared" si="1"/>
        <v>105</v>
      </c>
      <c r="D16">
        <f t="shared" si="3"/>
        <v>0</v>
      </c>
      <c r="E16">
        <f t="shared" si="2"/>
        <v>24</v>
      </c>
      <c r="F16">
        <f t="shared" si="3"/>
        <v>1</v>
      </c>
      <c r="G16">
        <f t="shared" si="2"/>
        <v>119</v>
      </c>
      <c r="H16">
        <f t="shared" si="3"/>
        <v>0</v>
      </c>
      <c r="I16">
        <f t="shared" si="2"/>
        <v>66</v>
      </c>
      <c r="J16">
        <f t="shared" si="3"/>
        <v>0</v>
      </c>
      <c r="K16">
        <f t="shared" si="2"/>
        <v>64</v>
      </c>
      <c r="L16">
        <f t="shared" si="3"/>
        <v>0</v>
      </c>
      <c r="M16">
        <f t="shared" si="2"/>
        <v>31</v>
      </c>
      <c r="N16">
        <f t="shared" si="3"/>
        <v>0</v>
      </c>
      <c r="O16">
        <f t="shared" si="2"/>
        <v>52</v>
      </c>
    </row>
    <row r="19" spans="1:14" ht="18" x14ac:dyDescent="0.35">
      <c r="A19" s="6" t="s">
        <v>223</v>
      </c>
      <c r="B19" t="s">
        <v>200</v>
      </c>
      <c r="C19" t="s">
        <v>229</v>
      </c>
      <c r="D19" t="s">
        <v>224</v>
      </c>
      <c r="E19" t="s">
        <v>206</v>
      </c>
    </row>
    <row r="20" spans="1:14" x14ac:dyDescent="0.3">
      <c r="A20" t="s">
        <v>225</v>
      </c>
      <c r="B20" s="103" t="s">
        <v>211</v>
      </c>
      <c r="C20" s="103" t="s">
        <v>226</v>
      </c>
      <c r="D20" s="103" t="s">
        <v>227</v>
      </c>
      <c r="E20" s="105" t="str">
        <f>DEC2HEX(G32,2)</f>
        <v>6F</v>
      </c>
    </row>
    <row r="21" spans="1:14" x14ac:dyDescent="0.3">
      <c r="A21" t="s">
        <v>228</v>
      </c>
      <c r="B21" s="106" t="str">
        <f>B20</f>
        <v>05</v>
      </c>
      <c r="C21" s="106" t="str">
        <f>C20</f>
        <v>0</v>
      </c>
      <c r="D21" s="106">
        <f>HEX2DEC(D20)</f>
        <v>6</v>
      </c>
    </row>
    <row r="23" spans="1:14" x14ac:dyDescent="0.3">
      <c r="B23" t="s">
        <v>213</v>
      </c>
      <c r="C23" t="s">
        <v>214</v>
      </c>
    </row>
    <row r="24" spans="1:14" x14ac:dyDescent="0.3">
      <c r="B24" s="107" t="str">
        <f>B21</f>
        <v>05</v>
      </c>
      <c r="C24">
        <v>0</v>
      </c>
      <c r="D24" s="107" t="str">
        <f>C21</f>
        <v>0</v>
      </c>
      <c r="E24">
        <f>C32</f>
        <v>105</v>
      </c>
      <c r="F24" s="107">
        <f>D21</f>
        <v>6</v>
      </c>
      <c r="G24">
        <f>E32</f>
        <v>24</v>
      </c>
      <c r="H24" s="25"/>
      <c r="J24" s="25"/>
      <c r="L24" s="25"/>
      <c r="N24" s="25"/>
    </row>
    <row r="25" spans="1:14" x14ac:dyDescent="0.3">
      <c r="A25" t="s">
        <v>215</v>
      </c>
      <c r="B25" t="str">
        <f>B24</f>
        <v>05</v>
      </c>
      <c r="C25">
        <f>IF(_xlfn.BITXOR(_xlfn.BITRSHIFT(C24,7),_xlfn.BITAND(B25,1))=1,_xlfn.BITXOR(_xlfn.BITAND(_xlfn.BITLSHIFT(C24,1),255),7),_xlfn.BITAND(_xlfn.BITLSHIFT(C24,1),255))</f>
        <v>7</v>
      </c>
      <c r="D25" t="str">
        <f>D24</f>
        <v>0</v>
      </c>
      <c r="E25">
        <f>IF(_xlfn.BITXOR(_xlfn.BITRSHIFT(E24,7),_xlfn.BITAND(D25,1))=1,_xlfn.BITXOR(_xlfn.BITAND(_xlfn.BITLSHIFT(E24,1),255),7),_xlfn.BITAND(_xlfn.BITLSHIFT(E24,1),255))</f>
        <v>210</v>
      </c>
      <c r="F25">
        <f>F24</f>
        <v>6</v>
      </c>
      <c r="G25">
        <f>IF(_xlfn.BITXOR(_xlfn.BITRSHIFT(G24,7),_xlfn.BITAND(F25,1))=1,_xlfn.BITXOR(_xlfn.BITAND(_xlfn.BITLSHIFT(G24,1),255),7),_xlfn.BITAND(_xlfn.BITLSHIFT(G24,1),255))</f>
        <v>48</v>
      </c>
    </row>
    <row r="26" spans="1:14" x14ac:dyDescent="0.3">
      <c r="A26" t="s">
        <v>216</v>
      </c>
      <c r="B26">
        <f>_xlfn.BITRSHIFT(B25,1)</f>
        <v>2</v>
      </c>
      <c r="C26">
        <f t="shared" ref="C26:C32" si="4">IF(_xlfn.BITXOR(_xlfn.BITRSHIFT(C25,7),_xlfn.BITAND(B26,1))=1,_xlfn.BITXOR(_xlfn.BITAND(_xlfn.BITLSHIFT(C25,1),255),7),_xlfn.BITAND(_xlfn.BITLSHIFT(C25,1),255))</f>
        <v>14</v>
      </c>
      <c r="D26">
        <f>_xlfn.BITRSHIFT(D25,1)</f>
        <v>0</v>
      </c>
      <c r="E26">
        <f t="shared" ref="E26:E32" si="5">IF(_xlfn.BITXOR(_xlfn.BITRSHIFT(E25,7),_xlfn.BITAND(D26,1))=1,_xlfn.BITXOR(_xlfn.BITAND(_xlfn.BITLSHIFT(E25,1),255),7),_xlfn.BITAND(_xlfn.BITLSHIFT(E25,1),255))</f>
        <v>163</v>
      </c>
      <c r="F26">
        <f>_xlfn.BITRSHIFT(F25,1)</f>
        <v>3</v>
      </c>
      <c r="G26">
        <f t="shared" ref="G26:G32" si="6">IF(_xlfn.BITXOR(_xlfn.BITRSHIFT(G25,7),_xlfn.BITAND(F26,1))=1,_xlfn.BITXOR(_xlfn.BITAND(_xlfn.BITLSHIFT(G25,1),255),7),_xlfn.BITAND(_xlfn.BITLSHIFT(G25,1),255))</f>
        <v>103</v>
      </c>
    </row>
    <row r="27" spans="1:14" x14ac:dyDescent="0.3">
      <c r="A27" t="s">
        <v>217</v>
      </c>
      <c r="B27">
        <f t="shared" ref="B27:B32" si="7">_xlfn.BITRSHIFT(B26,1)</f>
        <v>1</v>
      </c>
      <c r="C27">
        <f t="shared" si="4"/>
        <v>27</v>
      </c>
      <c r="D27">
        <f t="shared" ref="D27:D32" si="8">_xlfn.BITRSHIFT(D26,1)</f>
        <v>0</v>
      </c>
      <c r="E27">
        <f t="shared" si="5"/>
        <v>65</v>
      </c>
      <c r="F27">
        <f t="shared" ref="F27:F32" si="9">_xlfn.BITRSHIFT(F26,1)</f>
        <v>1</v>
      </c>
      <c r="G27">
        <f t="shared" si="6"/>
        <v>201</v>
      </c>
    </row>
    <row r="28" spans="1:14" x14ac:dyDescent="0.3">
      <c r="A28" t="s">
        <v>218</v>
      </c>
      <c r="B28">
        <f t="shared" si="7"/>
        <v>0</v>
      </c>
      <c r="C28">
        <f t="shared" si="4"/>
        <v>54</v>
      </c>
      <c r="D28">
        <f t="shared" si="8"/>
        <v>0</v>
      </c>
      <c r="E28">
        <f t="shared" si="5"/>
        <v>130</v>
      </c>
      <c r="F28">
        <f t="shared" si="9"/>
        <v>0</v>
      </c>
      <c r="G28">
        <f t="shared" si="6"/>
        <v>149</v>
      </c>
    </row>
    <row r="29" spans="1:14" x14ac:dyDescent="0.3">
      <c r="A29" t="s">
        <v>219</v>
      </c>
      <c r="B29">
        <f t="shared" si="7"/>
        <v>0</v>
      </c>
      <c r="C29">
        <f t="shared" si="4"/>
        <v>108</v>
      </c>
      <c r="D29">
        <f t="shared" si="8"/>
        <v>0</v>
      </c>
      <c r="E29">
        <f t="shared" si="5"/>
        <v>3</v>
      </c>
      <c r="F29">
        <f t="shared" si="9"/>
        <v>0</v>
      </c>
      <c r="G29">
        <f t="shared" si="6"/>
        <v>45</v>
      </c>
    </row>
    <row r="30" spans="1:14" x14ac:dyDescent="0.3">
      <c r="A30" t="s">
        <v>220</v>
      </c>
      <c r="B30">
        <f t="shared" si="7"/>
        <v>0</v>
      </c>
      <c r="C30">
        <f t="shared" si="4"/>
        <v>216</v>
      </c>
      <c r="D30">
        <f t="shared" si="8"/>
        <v>0</v>
      </c>
      <c r="E30">
        <f t="shared" si="5"/>
        <v>6</v>
      </c>
      <c r="F30">
        <f t="shared" si="9"/>
        <v>0</v>
      </c>
      <c r="G30">
        <f t="shared" si="6"/>
        <v>90</v>
      </c>
    </row>
    <row r="31" spans="1:14" x14ac:dyDescent="0.3">
      <c r="A31" t="s">
        <v>221</v>
      </c>
      <c r="B31">
        <f t="shared" si="7"/>
        <v>0</v>
      </c>
      <c r="C31">
        <f t="shared" si="4"/>
        <v>183</v>
      </c>
      <c r="D31">
        <f t="shared" si="8"/>
        <v>0</v>
      </c>
      <c r="E31">
        <f t="shared" si="5"/>
        <v>12</v>
      </c>
      <c r="F31">
        <f t="shared" si="9"/>
        <v>0</v>
      </c>
      <c r="G31">
        <f t="shared" si="6"/>
        <v>180</v>
      </c>
    </row>
    <row r="32" spans="1:14" x14ac:dyDescent="0.3">
      <c r="A32" t="s">
        <v>222</v>
      </c>
      <c r="B32">
        <f t="shared" si="7"/>
        <v>0</v>
      </c>
      <c r="C32">
        <f t="shared" si="4"/>
        <v>105</v>
      </c>
      <c r="D32">
        <f t="shared" si="8"/>
        <v>0</v>
      </c>
      <c r="E32">
        <f t="shared" si="5"/>
        <v>24</v>
      </c>
      <c r="F32">
        <f t="shared" si="9"/>
        <v>0</v>
      </c>
      <c r="G32">
        <f t="shared" si="6"/>
        <v>111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C10" sqref="C10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1" t="s">
        <v>27</v>
      </c>
      <c r="B1" s="12" t="s">
        <v>190</v>
      </c>
    </row>
    <row r="2" spans="1:3" x14ac:dyDescent="0.3">
      <c r="A2" s="11"/>
      <c r="B2" s="12"/>
    </row>
    <row r="3" spans="1:3" x14ac:dyDescent="0.3">
      <c r="C3" s="17" t="s">
        <v>30</v>
      </c>
    </row>
    <row r="4" spans="1:3" x14ac:dyDescent="0.3">
      <c r="B4" s="17"/>
    </row>
    <row r="5" spans="1:3" x14ac:dyDescent="0.3">
      <c r="A5" s="11" t="s">
        <v>28</v>
      </c>
      <c r="B5" t="s">
        <v>60</v>
      </c>
      <c r="C5" s="11" t="s">
        <v>29</v>
      </c>
    </row>
    <row r="6" spans="1:3" x14ac:dyDescent="0.3">
      <c r="A6" s="18" t="s">
        <v>191</v>
      </c>
      <c r="B6" t="s">
        <v>61</v>
      </c>
      <c r="C6" t="s">
        <v>192</v>
      </c>
    </row>
    <row r="7" spans="1:3" x14ac:dyDescent="0.3">
      <c r="A7" t="s">
        <v>194</v>
      </c>
      <c r="B7" t="s">
        <v>61</v>
      </c>
      <c r="C7" t="s">
        <v>195</v>
      </c>
    </row>
    <row r="8" spans="1:3" x14ac:dyDescent="0.3">
      <c r="A8" t="s">
        <v>196</v>
      </c>
      <c r="B8" t="s">
        <v>61</v>
      </c>
      <c r="C8" t="s">
        <v>197</v>
      </c>
    </row>
    <row r="9" spans="1:3" x14ac:dyDescent="0.3">
      <c r="A9" s="18" t="s">
        <v>234</v>
      </c>
      <c r="B9" t="s">
        <v>61</v>
      </c>
      <c r="C9" t="s">
        <v>235</v>
      </c>
    </row>
    <row r="10" spans="1:3" x14ac:dyDescent="0.3">
      <c r="A10" t="s">
        <v>237</v>
      </c>
      <c r="B10" t="s">
        <v>61</v>
      </c>
      <c r="C10" t="s">
        <v>238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Datagram CRC calculation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2022-08-31T15:53:42Z</dcterms:modified>
</cp:coreProperties>
</file>