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ersonal\Mis documentos\2023\"/>
    </mc:Choice>
  </mc:AlternateContent>
  <bookViews>
    <workbookView xWindow="0" yWindow="0" windowWidth="20400" windowHeight="7620" firstSheet="1" activeTab="3"/>
  </bookViews>
  <sheets>
    <sheet name="ANÁLISIS FACTURAS VENTA" sheetId="1" r:id="rId1"/>
    <sheet name="PROYECCIÓN INGRESOS BB AÑO 2023" sheetId="2" r:id="rId2"/>
    <sheet name="ANALISIS RECAUDACION" sheetId="3" r:id="rId3"/>
    <sheet name="RESUMEN ANALISI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4" l="1"/>
  <c r="D15" i="4"/>
  <c r="C8" i="4"/>
  <c r="D8" i="4"/>
  <c r="B8" i="4"/>
  <c r="B14" i="4"/>
  <c r="E14" i="4" s="1"/>
  <c r="F7" i="4"/>
  <c r="E7" i="4"/>
  <c r="D14" i="4"/>
  <c r="C14" i="4"/>
  <c r="B7" i="4"/>
  <c r="D7" i="4"/>
  <c r="C7" i="4"/>
  <c r="D13" i="4"/>
  <c r="C13" i="4"/>
  <c r="D6" i="4"/>
  <c r="C6" i="4"/>
  <c r="B6" i="4"/>
  <c r="K20" i="3"/>
  <c r="J20" i="3"/>
  <c r="I20" i="3" s="1"/>
  <c r="D20" i="3"/>
  <c r="C20" i="3"/>
  <c r="B20" i="3"/>
  <c r="M14" i="3"/>
  <c r="L14" i="3"/>
  <c r="M8" i="3"/>
  <c r="L8" i="3"/>
  <c r="B1" i="3"/>
  <c r="F14" i="3"/>
  <c r="E14" i="3"/>
  <c r="F8" i="3"/>
  <c r="E8" i="3"/>
  <c r="F14" i="4" l="1"/>
  <c r="B13" i="4"/>
  <c r="E6" i="4"/>
  <c r="F6" i="4"/>
  <c r="M20" i="3"/>
  <c r="L20" i="3"/>
  <c r="F20" i="3"/>
  <c r="E20" i="3"/>
  <c r="C19" i="2"/>
  <c r="D19" i="2"/>
  <c r="E19" i="2"/>
  <c r="F19" i="2"/>
  <c r="G19" i="2"/>
  <c r="H19" i="2"/>
  <c r="I19" i="2"/>
  <c r="J19" i="2"/>
  <c r="K19" i="2"/>
  <c r="L19" i="2"/>
  <c r="M19" i="2"/>
  <c r="B19" i="2"/>
  <c r="C16" i="2"/>
  <c r="D16" i="2"/>
  <c r="E16" i="2"/>
  <c r="F16" i="2"/>
  <c r="G16" i="2"/>
  <c r="H16" i="2"/>
  <c r="I16" i="2"/>
  <c r="J16" i="2"/>
  <c r="K16" i="2"/>
  <c r="L16" i="2"/>
  <c r="M16" i="2"/>
  <c r="B16" i="2"/>
  <c r="B9" i="2"/>
  <c r="B4" i="2"/>
  <c r="C19" i="1"/>
  <c r="D19" i="1"/>
  <c r="E19" i="1"/>
  <c r="F19" i="1"/>
  <c r="G19" i="1"/>
  <c r="H19" i="1"/>
  <c r="I19" i="1"/>
  <c r="J19" i="1"/>
  <c r="K19" i="1"/>
  <c r="L19" i="1"/>
  <c r="M19" i="1"/>
  <c r="B19" i="1"/>
  <c r="N13" i="1"/>
  <c r="N7" i="1"/>
  <c r="F13" i="4" l="1"/>
  <c r="B15" i="4"/>
  <c r="E13" i="4"/>
  <c r="N19" i="1"/>
  <c r="D20" i="2" l="1"/>
  <c r="J20" i="2" l="1"/>
  <c r="K20" i="2"/>
  <c r="C20" i="2"/>
  <c r="I20" i="2"/>
  <c r="H20" i="2"/>
  <c r="G20" i="2"/>
  <c r="D25" i="2"/>
  <c r="F20" i="2"/>
  <c r="M20" i="2"/>
  <c r="E20" i="2"/>
  <c r="B20" i="2"/>
  <c r="L20" i="2"/>
  <c r="E25" i="2" l="1"/>
  <c r="J25" i="2"/>
  <c r="M25" i="2"/>
  <c r="G25" i="2"/>
  <c r="L25" i="2"/>
  <c r="H25" i="2"/>
  <c r="C25" i="2"/>
  <c r="F25" i="2"/>
  <c r="I25" i="2"/>
  <c r="B25" i="2"/>
  <c r="K25" i="2"/>
  <c r="N19" i="2"/>
  <c r="N20" i="2"/>
  <c r="M17" i="2"/>
  <c r="M22" i="2" s="1"/>
  <c r="M27" i="2" s="1"/>
  <c r="L17" i="2"/>
  <c r="L22" i="2" s="1"/>
  <c r="K17" i="2"/>
  <c r="K22" i="2" s="1"/>
  <c r="J17" i="2"/>
  <c r="J22" i="2" s="1"/>
  <c r="I17" i="2"/>
  <c r="I22" i="2" s="1"/>
  <c r="H17" i="2"/>
  <c r="H22" i="2" s="1"/>
  <c r="G17" i="2"/>
  <c r="G22" i="2" s="1"/>
  <c r="F17" i="2"/>
  <c r="F22" i="2" s="1"/>
  <c r="E17" i="2"/>
  <c r="E22" i="2" s="1"/>
  <c r="D17" i="2"/>
  <c r="D22" i="2" s="1"/>
  <c r="D27" i="2" s="1"/>
  <c r="C17" i="2"/>
  <c r="C22" i="2" s="1"/>
  <c r="B17" i="2"/>
  <c r="B22" i="2" s="1"/>
  <c r="N16" i="2"/>
  <c r="I27" i="2" l="1"/>
  <c r="E27" i="2"/>
  <c r="J27" i="2"/>
  <c r="G27" i="2"/>
  <c r="H27" i="2"/>
  <c r="F27" i="2"/>
  <c r="C27" i="2"/>
  <c r="L27" i="2"/>
  <c r="B27" i="2"/>
  <c r="N25" i="2"/>
  <c r="K27" i="2"/>
  <c r="N22" i="2"/>
  <c r="B6" i="2"/>
  <c r="B11" i="2"/>
  <c r="N17" i="2"/>
  <c r="N27" i="2" l="1"/>
</calcChain>
</file>

<file path=xl/sharedStrings.xml><?xml version="1.0" encoding="utf-8"?>
<sst xmlns="http://schemas.openxmlformats.org/spreadsheetml/2006/main" count="140" uniqueCount="55">
  <si>
    <t>TOTAL</t>
  </si>
  <si>
    <t>MES</t>
  </si>
  <si>
    <t>TRX VENTANILLA</t>
  </si>
  <si>
    <t>INGRESOS POR VENTANILLA (US$)</t>
  </si>
  <si>
    <t>Año / Mes</t>
  </si>
  <si>
    <t>INGRESOS VENTANILLA 2022 (US$)</t>
  </si>
  <si>
    <t>INGRESOS POR CANALES ELECTRÓNICOS (US$)</t>
  </si>
  <si>
    <t>TOTAL INGRESOS BB (US$)</t>
  </si>
  <si>
    <t>Participación TRX Ventanilla</t>
  </si>
  <si>
    <t>Participación TRX Canales Electrónicos</t>
  </si>
  <si>
    <t>COSTO TOTAL TRX BANRED</t>
  </si>
  <si>
    <t>COSTO APROX TRX BANRED</t>
  </si>
  <si>
    <t>TRX CANALES ELECTRÓNICOS</t>
  </si>
  <si>
    <t>TOTAL INGRESO NETO (US$)</t>
  </si>
  <si>
    <t>TRX</t>
  </si>
  <si>
    <t xml:space="preserve">Enero 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</si>
  <si>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</si>
  <si>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</si>
  <si>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</si>
  <si>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</si>
  <si>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</si>
  <si>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</si>
  <si>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</si>
  <si>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</si>
  <si>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</si>
  <si>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</si>
  <si>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</si>
  <si>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</si>
  <si>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TRX FACTURAS DE VENTA AMAGUA</t>
  </si>
  <si>
    <t>Participación BB</t>
  </si>
  <si>
    <t>TRX FACTURAS DE VENTA AMAGUA (BB)</t>
  </si>
  <si>
    <t>PROYECCIÓN INGRESOS AÑO 2023 (FACTURAS VENTA)</t>
  </si>
  <si>
    <t>TRX FACTURAS DE VENTA AMAGUA (PROYECCION)</t>
  </si>
  <si>
    <t>TRX VENTANILLA AÑO 2023</t>
  </si>
  <si>
    <t>TRX CANALES ELECTRÓNICOS AÑO 2023</t>
  </si>
  <si>
    <t>TRX RECAUDACION AMAGUA (BB)</t>
  </si>
  <si>
    <t>VENTANILLA</t>
  </si>
  <si>
    <t>PARTICIPACIÓN</t>
  </si>
  <si>
    <t>CANALES ELECTRÓNICOS</t>
  </si>
  <si>
    <t xml:space="preserve">INCREMENTO ANUAL </t>
  </si>
  <si>
    <t>Año</t>
  </si>
  <si>
    <t>COMISIONES RECAUDACION AMAGUA (BB)</t>
  </si>
  <si>
    <t>USD</t>
  </si>
  <si>
    <t>PROYECCION COMISIONES RECAUDACION AMAGUA (BB)</t>
  </si>
  <si>
    <t xml:space="preserve"> PROYECCION TRX RECAUDACION AMAGUA (BB)</t>
  </si>
  <si>
    <t>COSTO TRX VENTANILLA</t>
  </si>
  <si>
    <t>COSTO TRX CANALES ELECTRÓNICOS</t>
  </si>
  <si>
    <t xml:space="preserve"> PROYECCION TRX AMAGUA (BB)</t>
  </si>
  <si>
    <t>RECAUDACIONES</t>
  </si>
  <si>
    <t>DESCRIPCION</t>
  </si>
  <si>
    <t>AÑO 2023</t>
  </si>
  <si>
    <t>FACTURAS VENTA</t>
  </si>
  <si>
    <t>TOTAL TRX AÑO 2023</t>
  </si>
  <si>
    <t>TOTAL COMISIONES AÑO 2023</t>
  </si>
  <si>
    <t>PROYECCION INGRESOS  AMAGUA (BB)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</si>
</sst>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&quot;$&quot;#,##0.00"/>
    <numFmt numFmtId="165" formatCode="_(* #,##0_);_(* \(#,##0\);_(* &quot;-&quot;??_);_(@_)"/>
    <numFmt numFmtId="166" formatCode="_(* #,##0.0_);_(* \(#,##0.0\);_(* &quot;-&quot;??_);_(@_)"/>
    <numFmt numFmtId="169" formatCode="_(* #,##0.0000_);_(* \(#,##0.00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4">
    <xf numFmtId="0" fontId="0" fillId="0" borderId="0" xfId="0"/>
    <xf numFmtId="0" fontId="5" fillId="0" borderId="0" xfId="0" applyFont="1" applyFill="1" applyBorder="1"/>
    <xf numFmtId="0" fontId="2" fillId="0" borderId="0" xfId="0" applyFont="1" applyAlignment="1">
      <alignment wrapText="1"/>
    </xf>
    <xf numFmtId="0" fontId="7" fillId="0" borderId="3" xfId="0" applyFont="1" applyBorder="1" applyAlignment="1">
      <alignment horizontal="right"/>
    </xf>
    <xf numFmtId="17" fontId="7" fillId="0" borderId="3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3" xfId="0" applyBorder="1"/>
    <xf numFmtId="2" fontId="0" fillId="0" borderId="3" xfId="0" applyNumberFormat="1" applyBorder="1" applyAlignment="1">
      <alignment horizontal="center"/>
    </xf>
    <xf numFmtId="0" fontId="5" fillId="0" borderId="0" xfId="0" applyFont="1"/>
    <xf numFmtId="9" fontId="2" fillId="0" borderId="0" xfId="0" applyNumberFormat="1" applyFont="1"/>
    <xf numFmtId="9" fontId="0" fillId="0" borderId="0" xfId="0" applyNumberFormat="1"/>
    <xf numFmtId="43" fontId="7" fillId="0" borderId="3" xfId="1" applyNumberFormat="1" applyFont="1" applyBorder="1" applyAlignment="1">
      <alignment horizontal="center"/>
    </xf>
    <xf numFmtId="0" fontId="2" fillId="0" borderId="0" xfId="0" applyFont="1" applyFill="1" applyBorder="1"/>
    <xf numFmtId="3" fontId="3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43" fontId="4" fillId="0" borderId="0" xfId="1" applyFont="1" applyFill="1" applyBorder="1" applyAlignment="1">
      <alignment horizontal="center"/>
    </xf>
    <xf numFmtId="10" fontId="4" fillId="0" borderId="0" xfId="2" applyNumberFormat="1" applyFont="1" applyFill="1" applyBorder="1" applyAlignment="1">
      <alignment horizontal="center"/>
    </xf>
    <xf numFmtId="43" fontId="2" fillId="0" borderId="0" xfId="1" applyFont="1" applyFill="1" applyBorder="1"/>
    <xf numFmtId="0" fontId="4" fillId="0" borderId="0" xfId="0" applyFont="1" applyFill="1" applyBorder="1" applyAlignment="1">
      <alignment horizontal="center"/>
    </xf>
    <xf numFmtId="165" fontId="0" fillId="0" borderId="0" xfId="0" applyNumberFormat="1"/>
    <xf numFmtId="43" fontId="7" fillId="2" borderId="3" xfId="1" applyFont="1" applyFill="1" applyBorder="1"/>
    <xf numFmtId="0" fontId="6" fillId="0" borderId="3" xfId="0" applyFont="1" applyBorder="1"/>
    <xf numFmtId="0" fontId="8" fillId="0" borderId="0" xfId="0" applyFont="1"/>
    <xf numFmtId="0" fontId="3" fillId="0" borderId="0" xfId="0" applyFont="1"/>
    <xf numFmtId="9" fontId="3" fillId="0" borderId="0" xfId="0" applyNumberFormat="1" applyFont="1"/>
    <xf numFmtId="165" fontId="3" fillId="0" borderId="0" xfId="1" applyNumberFormat="1" applyFont="1"/>
    <xf numFmtId="0" fontId="3" fillId="0" borderId="0" xfId="0" applyFont="1" applyAlignment="1">
      <alignment wrapText="1"/>
    </xf>
    <xf numFmtId="43" fontId="3" fillId="0" borderId="0" xfId="1" applyFont="1"/>
    <xf numFmtId="165" fontId="3" fillId="0" borderId="0" xfId="0" applyNumberFormat="1" applyFont="1"/>
    <xf numFmtId="43" fontId="0" fillId="0" borderId="0" xfId="0" applyNumberFormat="1"/>
    <xf numFmtId="0" fontId="6" fillId="2" borderId="3" xfId="0" applyFont="1" applyFill="1" applyBorder="1"/>
    <xf numFmtId="43" fontId="7" fillId="2" borderId="0" xfId="1" applyFont="1" applyFill="1"/>
    <xf numFmtId="43" fontId="7" fillId="2" borderId="0" xfId="0" applyNumberFormat="1" applyFont="1" applyFill="1"/>
    <xf numFmtId="0" fontId="7" fillId="2" borderId="0" xfId="0" applyFont="1" applyFill="1"/>
    <xf numFmtId="0" fontId="7" fillId="2" borderId="3" xfId="0" applyFont="1" applyFill="1" applyBorder="1"/>
    <xf numFmtId="43" fontId="7" fillId="2" borderId="3" xfId="0" applyNumberFormat="1" applyFont="1" applyFill="1" applyBorder="1"/>
    <xf numFmtId="1" fontId="0" fillId="0" borderId="3" xfId="0" applyNumberFormat="1" applyBorder="1" applyAlignment="1">
      <alignment horizontal="center"/>
    </xf>
    <xf numFmtId="0" fontId="7" fillId="0" borderId="0" xfId="0" applyFont="1" applyFill="1" applyBorder="1"/>
    <xf numFmtId="43" fontId="7" fillId="0" borderId="0" xfId="0" applyNumberFormat="1" applyFont="1" applyFill="1" applyBorder="1"/>
    <xf numFmtId="0" fontId="0" fillId="0" borderId="0" xfId="0" applyFill="1"/>
    <xf numFmtId="166" fontId="0" fillId="0" borderId="0" xfId="1" applyNumberFormat="1" applyFont="1"/>
    <xf numFmtId="0" fontId="5" fillId="0" borderId="0" xfId="0" applyFont="1" applyFill="1" applyBorder="1" applyAlignment="1">
      <alignment horizontal="center"/>
    </xf>
    <xf numFmtId="165" fontId="7" fillId="0" borderId="3" xfId="1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3" fontId="0" fillId="0" borderId="9" xfId="0" applyNumberFormat="1" applyBorder="1" applyAlignment="1">
      <alignment vertical="center"/>
    </xf>
    <xf numFmtId="3" fontId="7" fillId="0" borderId="7" xfId="0" applyNumberFormat="1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3" fontId="7" fillId="2" borderId="5" xfId="0" applyNumberFormat="1" applyFont="1" applyFill="1" applyBorder="1" applyAlignment="1">
      <alignment horizontal="center" vertical="center"/>
    </xf>
    <xf numFmtId="9" fontId="2" fillId="0" borderId="0" xfId="0" applyNumberFormat="1" applyFont="1" applyFill="1" applyBorder="1"/>
    <xf numFmtId="0" fontId="7" fillId="0" borderId="0" xfId="0" applyFon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3" fontId="7" fillId="0" borderId="0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1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165" fontId="0" fillId="0" borderId="10" xfId="1" applyNumberFormat="1" applyFont="1" applyFill="1" applyBorder="1"/>
    <xf numFmtId="165" fontId="0" fillId="0" borderId="5" xfId="1" applyNumberFormat="1" applyFont="1" applyFill="1" applyBorder="1"/>
    <xf numFmtId="0" fontId="7" fillId="0" borderId="13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43" fontId="0" fillId="0" borderId="10" xfId="1" applyNumberFormat="1" applyFont="1" applyFill="1" applyBorder="1"/>
    <xf numFmtId="10" fontId="0" fillId="0" borderId="10" xfId="2" applyNumberFormat="1" applyFont="1" applyFill="1" applyBorder="1"/>
    <xf numFmtId="43" fontId="0" fillId="0" borderId="5" xfId="1" applyNumberFormat="1" applyFont="1" applyFill="1" applyBorder="1"/>
    <xf numFmtId="10" fontId="0" fillId="0" borderId="5" xfId="2" applyNumberFormat="1" applyFont="1" applyFill="1" applyBorder="1"/>
    <xf numFmtId="10" fontId="2" fillId="0" borderId="0" xfId="2" applyNumberFormat="1" applyFont="1" applyFill="1" applyBorder="1"/>
    <xf numFmtId="10" fontId="7" fillId="0" borderId="0" xfId="2" applyNumberFormat="1" applyFont="1" applyFill="1" applyBorder="1"/>
    <xf numFmtId="169" fontId="2" fillId="0" borderId="0" xfId="0" applyNumberFormat="1" applyFont="1" applyFill="1" applyBorder="1"/>
    <xf numFmtId="0" fontId="7" fillId="2" borderId="11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165" fontId="0" fillId="0" borderId="15" xfId="1" applyNumberFormat="1" applyFont="1" applyFill="1" applyBorder="1"/>
    <xf numFmtId="165" fontId="0" fillId="0" borderId="16" xfId="1" applyNumberFormat="1" applyFont="1" applyFill="1" applyBorder="1"/>
    <xf numFmtId="0" fontId="7" fillId="0" borderId="17" xfId="0" applyFont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165" fontId="0" fillId="0" borderId="10" xfId="1" applyNumberFormat="1" applyFont="1" applyBorder="1" applyAlignment="1">
      <alignment horizontal="center" vertical="center"/>
    </xf>
    <xf numFmtId="165" fontId="0" fillId="0" borderId="15" xfId="1" applyNumberFormat="1" applyFont="1" applyBorder="1" applyAlignment="1">
      <alignment horizontal="center" vertical="center"/>
    </xf>
    <xf numFmtId="165" fontId="7" fillId="2" borderId="8" xfId="1" applyNumberFormat="1" applyFont="1" applyFill="1" applyBorder="1"/>
    <xf numFmtId="165" fontId="7" fillId="2" borderId="2" xfId="1" applyNumberFormat="1" applyFont="1" applyFill="1" applyBorder="1"/>
    <xf numFmtId="3" fontId="7" fillId="2" borderId="8" xfId="0" applyNumberFormat="1" applyFont="1" applyFill="1" applyBorder="1"/>
    <xf numFmtId="3" fontId="7" fillId="2" borderId="2" xfId="0" applyNumberFormat="1" applyFont="1" applyFill="1" applyBorder="1"/>
  </cellXfs>
  <cellStyles count="3">
    <cellStyle name="Millares" xfId="1" builtinId="3"/>
    <cellStyle name="Normal" xfId="0" builtinId="0"/>
    <cellStyle name="Porcentaje" xfId="2" builtinId="5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zoomScale="112" zoomScaleNormal="112" workbookViewId="0">
      <selection activeCell="B20" sqref="B20"/>
    </sheetView>
  </sheetViews>
  <sheetFormatPr baseColWidth="10" defaultRowHeight="11.25" x14ac:dyDescent="0.2"/>
  <cols>
    <col min="1" max="1" width="13.140625" style="13" bestFit="1" customWidth="1"/>
    <col min="2" max="2" width="14.7109375" style="13" customWidth="1"/>
    <col min="3" max="3" width="14.28515625" style="13" bestFit="1" customWidth="1"/>
    <col min="4" max="4" width="9.5703125" style="13" bestFit="1" customWidth="1"/>
    <col min="5" max="5" width="9.28515625" style="13" bestFit="1" customWidth="1"/>
    <col min="6" max="6" width="11.7109375" style="13" customWidth="1"/>
    <col min="7" max="7" width="10.7109375" style="13" customWidth="1"/>
    <col min="8" max="8" width="10.5703125" style="13" customWidth="1"/>
    <col min="9" max="9" width="9.42578125" style="13" customWidth="1"/>
    <col min="10" max="10" width="11.42578125" style="13" bestFit="1" customWidth="1"/>
    <col min="11" max="11" width="10.28515625" style="13" customWidth="1"/>
    <col min="12" max="12" width="12.140625" style="13" customWidth="1"/>
    <col min="13" max="13" width="11" style="13" customWidth="1"/>
    <col min="14" max="16384" width="11.42578125" style="13"/>
  </cols>
  <sheetData>
    <row r="1" spans="1:14" x14ac:dyDescent="0.2">
      <c r="A1" s="1"/>
      <c r="C1" s="44"/>
    </row>
    <row r="2" spans="1:14" x14ac:dyDescent="0.2">
      <c r="A2" s="1" t="s">
        <v>29</v>
      </c>
      <c r="B2" s="59">
        <v>0.05</v>
      </c>
      <c r="C2" s="20"/>
    </row>
    <row r="3" spans="1:14" ht="12" thickBot="1" x14ac:dyDescent="0.25"/>
    <row r="4" spans="1:14" ht="15.75" thickBot="1" x14ac:dyDescent="0.25">
      <c r="A4" s="49" t="s">
        <v>28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1"/>
    </row>
    <row r="5" spans="1:14" ht="15.75" thickBot="1" x14ac:dyDescent="0.25">
      <c r="A5" s="46" t="s">
        <v>4</v>
      </c>
      <c r="B5" s="52" t="s">
        <v>15</v>
      </c>
      <c r="C5" s="52" t="s">
        <v>16</v>
      </c>
      <c r="D5" s="52" t="s">
        <v>17</v>
      </c>
      <c r="E5" s="52" t="s">
        <v>18</v>
      </c>
      <c r="F5" s="52" t="s">
        <v>19</v>
      </c>
      <c r="G5" s="52" t="s">
        <v>20</v>
      </c>
      <c r="H5" s="52" t="s">
        <v>21</v>
      </c>
      <c r="I5" s="52" t="s">
        <v>22</v>
      </c>
      <c r="J5" s="52" t="s">
        <v>23</v>
      </c>
      <c r="K5" s="52" t="s">
        <v>24</v>
      </c>
      <c r="L5" s="52" t="s">
        <v>25</v>
      </c>
      <c r="M5" s="52" t="s">
        <v>26</v>
      </c>
      <c r="N5" s="47" t="s">
        <v>27</v>
      </c>
    </row>
    <row r="6" spans="1:14" ht="15" x14ac:dyDescent="0.2">
      <c r="A6" s="53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5"/>
    </row>
    <row r="7" spans="1:14" ht="15.75" thickBot="1" x14ac:dyDescent="0.25">
      <c r="A7" s="56">
        <v>2022</v>
      </c>
      <c r="B7" s="57">
        <v>656</v>
      </c>
      <c r="C7" s="57">
        <v>574</v>
      </c>
      <c r="D7" s="57">
        <v>714</v>
      </c>
      <c r="E7" s="57">
        <v>665</v>
      </c>
      <c r="F7" s="57">
        <v>760</v>
      </c>
      <c r="G7" s="57">
        <v>863</v>
      </c>
      <c r="H7" s="57">
        <v>670</v>
      </c>
      <c r="I7" s="57">
        <v>761</v>
      </c>
      <c r="J7" s="57">
        <v>630</v>
      </c>
      <c r="K7" s="57">
        <v>452</v>
      </c>
      <c r="L7" s="57">
        <v>584</v>
      </c>
      <c r="M7" s="57">
        <v>498</v>
      </c>
      <c r="N7" s="58">
        <f t="shared" ref="N7" si="0">SUM(B7:M7)</f>
        <v>7827</v>
      </c>
    </row>
    <row r="8" spans="1:14" ht="15" x14ac:dyDescent="0.2">
      <c r="A8" s="60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2"/>
    </row>
    <row r="9" spans="1:14" ht="15.75" thickBot="1" x14ac:dyDescent="0.25">
      <c r="A9" s="60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2"/>
    </row>
    <row r="10" spans="1:14" ht="15.75" thickBot="1" x14ac:dyDescent="0.25">
      <c r="A10" s="49" t="s">
        <v>32</v>
      </c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1"/>
    </row>
    <row r="11" spans="1:14" ht="15.75" thickBot="1" x14ac:dyDescent="0.25">
      <c r="A11" s="46" t="s">
        <v>4</v>
      </c>
      <c r="B11" s="52" t="s">
        <v>15</v>
      </c>
      <c r="C11" s="52" t="s">
        <v>16</v>
      </c>
      <c r="D11" s="52" t="s">
        <v>17</v>
      </c>
      <c r="E11" s="52" t="s">
        <v>18</v>
      </c>
      <c r="F11" s="52" t="s">
        <v>19</v>
      </c>
      <c r="G11" s="52" t="s">
        <v>20</v>
      </c>
      <c r="H11" s="52" t="s">
        <v>21</v>
      </c>
      <c r="I11" s="52" t="s">
        <v>22</v>
      </c>
      <c r="J11" s="52" t="s">
        <v>23</v>
      </c>
      <c r="K11" s="52" t="s">
        <v>24</v>
      </c>
      <c r="L11" s="52" t="s">
        <v>25</v>
      </c>
      <c r="M11" s="52" t="s">
        <v>26</v>
      </c>
      <c r="N11" s="47" t="s">
        <v>27</v>
      </c>
    </row>
    <row r="12" spans="1:14" ht="15" x14ac:dyDescent="0.2">
      <c r="A12" s="53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5"/>
    </row>
    <row r="13" spans="1:14" ht="15.75" thickBot="1" x14ac:dyDescent="0.25">
      <c r="A13" s="56">
        <v>2023</v>
      </c>
      <c r="B13" s="57">
        <v>820</v>
      </c>
      <c r="C13" s="57">
        <v>718</v>
      </c>
      <c r="D13" s="57">
        <v>893</v>
      </c>
      <c r="E13" s="57">
        <v>831</v>
      </c>
      <c r="F13" s="57">
        <v>950</v>
      </c>
      <c r="G13" s="57">
        <v>1079</v>
      </c>
      <c r="H13" s="57">
        <v>838</v>
      </c>
      <c r="I13" s="57">
        <v>951</v>
      </c>
      <c r="J13" s="57">
        <v>788</v>
      </c>
      <c r="K13" s="57">
        <v>565</v>
      </c>
      <c r="L13" s="57">
        <v>730</v>
      </c>
      <c r="M13" s="57">
        <v>623</v>
      </c>
      <c r="N13" s="58">
        <f t="shared" ref="N13" si="1">SUM(B13:M13)</f>
        <v>9786</v>
      </c>
    </row>
    <row r="14" spans="1:14" ht="12" x14ac:dyDescent="0.2">
      <c r="I14" s="14"/>
      <c r="J14" s="15"/>
      <c r="K14" s="21"/>
      <c r="L14" s="21"/>
    </row>
    <row r="15" spans="1:14" ht="12.75" thickBot="1" x14ac:dyDescent="0.25">
      <c r="I15" s="16"/>
      <c r="J15" s="17"/>
      <c r="K15" s="18"/>
      <c r="L15" s="19"/>
    </row>
    <row r="16" spans="1:14" ht="15.75" thickBot="1" x14ac:dyDescent="0.25">
      <c r="A16" s="49" t="s">
        <v>30</v>
      </c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1"/>
    </row>
    <row r="17" spans="1:14" ht="15.75" thickBot="1" x14ac:dyDescent="0.25">
      <c r="A17" s="46" t="s">
        <v>4</v>
      </c>
      <c r="B17" s="52" t="s">
        <v>15</v>
      </c>
      <c r="C17" s="52" t="s">
        <v>16</v>
      </c>
      <c r="D17" s="52" t="s">
        <v>17</v>
      </c>
      <c r="E17" s="52" t="s">
        <v>18</v>
      </c>
      <c r="F17" s="52" t="s">
        <v>19</v>
      </c>
      <c r="G17" s="52" t="s">
        <v>20</v>
      </c>
      <c r="H17" s="52" t="s">
        <v>21</v>
      </c>
      <c r="I17" s="52" t="s">
        <v>22</v>
      </c>
      <c r="J17" s="52" t="s">
        <v>23</v>
      </c>
      <c r="K17" s="52" t="s">
        <v>24</v>
      </c>
      <c r="L17" s="52" t="s">
        <v>25</v>
      </c>
      <c r="M17" s="52" t="s">
        <v>26</v>
      </c>
      <c r="N17" s="47" t="s">
        <v>27</v>
      </c>
    </row>
    <row r="18" spans="1:14" ht="15" x14ac:dyDescent="0.2">
      <c r="A18" s="53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5"/>
    </row>
    <row r="19" spans="1:14" ht="15.75" thickBot="1" x14ac:dyDescent="0.25">
      <c r="A19" s="56">
        <v>2023</v>
      </c>
      <c r="B19" s="57">
        <f>B13*$B$2</f>
        <v>41</v>
      </c>
      <c r="C19" s="57">
        <f t="shared" ref="C19:M19" si="2">C13*$B$2</f>
        <v>35.9</v>
      </c>
      <c r="D19" s="57">
        <f t="shared" si="2"/>
        <v>44.650000000000006</v>
      </c>
      <c r="E19" s="57">
        <f t="shared" si="2"/>
        <v>41.550000000000004</v>
      </c>
      <c r="F19" s="57">
        <f t="shared" si="2"/>
        <v>47.5</v>
      </c>
      <c r="G19" s="57">
        <f t="shared" si="2"/>
        <v>53.95</v>
      </c>
      <c r="H19" s="57">
        <f t="shared" si="2"/>
        <v>41.900000000000006</v>
      </c>
      <c r="I19" s="57">
        <f t="shared" si="2"/>
        <v>47.550000000000004</v>
      </c>
      <c r="J19" s="57">
        <f t="shared" si="2"/>
        <v>39.400000000000006</v>
      </c>
      <c r="K19" s="57">
        <f t="shared" si="2"/>
        <v>28.25</v>
      </c>
      <c r="L19" s="57">
        <f t="shared" si="2"/>
        <v>36.5</v>
      </c>
      <c r="M19" s="57">
        <f t="shared" si="2"/>
        <v>31.150000000000002</v>
      </c>
      <c r="N19" s="58">
        <f t="shared" ref="N19" si="3">SUM(B19:M19)</f>
        <v>489.30000000000007</v>
      </c>
    </row>
  </sheetData>
  <mergeCells count="3">
    <mergeCell ref="A4:N4"/>
    <mergeCell ref="A16:N16"/>
    <mergeCell ref="A10:N10"/>
  </mergeCells>
  <conditionalFormatting sqref="I14:L1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opLeftCell="A7" workbookViewId="0">
      <selection activeCell="D5" sqref="D5"/>
    </sheetView>
  </sheetViews>
  <sheetFormatPr baseColWidth="10" defaultRowHeight="15" x14ac:dyDescent="0.25"/>
  <cols>
    <col min="1" max="1" width="37.28515625" bestFit="1" customWidth="1"/>
    <col min="5" max="5" width="11.42578125" customWidth="1"/>
  </cols>
  <sheetData>
    <row r="1" spans="1:14" x14ac:dyDescent="0.25">
      <c r="A1" s="26" t="s">
        <v>8</v>
      </c>
      <c r="B1" s="27">
        <v>0.8</v>
      </c>
    </row>
    <row r="2" spans="1:14" x14ac:dyDescent="0.25">
      <c r="A2" s="26" t="s">
        <v>9</v>
      </c>
      <c r="B2" s="27">
        <v>0.2</v>
      </c>
    </row>
    <row r="3" spans="1:14" x14ac:dyDescent="0.25">
      <c r="A3" s="26"/>
      <c r="B3" s="26"/>
    </row>
    <row r="4" spans="1:14" x14ac:dyDescent="0.25">
      <c r="A4" s="26" t="s">
        <v>33</v>
      </c>
      <c r="B4" s="28">
        <f>'ANÁLISIS FACTURAS VENTA'!N19*'PROYECCIÓN INGRESOS BB AÑO 2023'!B1</f>
        <v>391.44000000000005</v>
      </c>
      <c r="D4" s="9"/>
    </row>
    <row r="5" spans="1:14" x14ac:dyDescent="0.25">
      <c r="A5" s="29" t="s">
        <v>45</v>
      </c>
      <c r="B5" s="26">
        <v>0.56999999999999995</v>
      </c>
    </row>
    <row r="6" spans="1:14" ht="14.25" customHeight="1" x14ac:dyDescent="0.25">
      <c r="A6" s="29" t="s">
        <v>5</v>
      </c>
      <c r="B6" s="30">
        <f>B4*B5</f>
        <v>223.1208</v>
      </c>
    </row>
    <row r="7" spans="1:14" ht="14.25" customHeight="1" x14ac:dyDescent="0.25">
      <c r="A7" s="29"/>
      <c r="B7" s="30"/>
      <c r="E7" s="32"/>
      <c r="F7" s="22"/>
      <c r="H7" s="32"/>
    </row>
    <row r="8" spans="1:14" ht="14.25" customHeight="1" x14ac:dyDescent="0.25">
      <c r="A8" s="29"/>
      <c r="B8" s="30"/>
      <c r="E8" s="43"/>
    </row>
    <row r="9" spans="1:14" ht="14.25" customHeight="1" x14ac:dyDescent="0.25">
      <c r="A9" s="26" t="s">
        <v>34</v>
      </c>
      <c r="B9" s="31">
        <f>'ANÁLISIS FACTURAS VENTA'!N19*'PROYECCIÓN INGRESOS BB AÑO 2023'!B2</f>
        <v>97.860000000000014</v>
      </c>
      <c r="E9" s="32"/>
    </row>
    <row r="10" spans="1:14" ht="14.25" customHeight="1" x14ac:dyDescent="0.25">
      <c r="A10" s="29" t="s">
        <v>46</v>
      </c>
      <c r="B10" s="26">
        <v>0.25</v>
      </c>
    </row>
    <row r="11" spans="1:14" ht="14.25" customHeight="1" x14ac:dyDescent="0.25">
      <c r="A11" s="29" t="s">
        <v>5</v>
      </c>
      <c r="B11" s="30">
        <f>B9*B10</f>
        <v>24.465000000000003</v>
      </c>
    </row>
    <row r="12" spans="1:14" x14ac:dyDescent="0.25">
      <c r="A12" s="2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</row>
    <row r="13" spans="1:14" x14ac:dyDescent="0.25">
      <c r="A13" s="48" t="s">
        <v>31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</row>
    <row r="14" spans="1:14" s="6" customFormat="1" x14ac:dyDescent="0.25">
      <c r="A14" s="3" t="s">
        <v>1</v>
      </c>
      <c r="B14" s="4">
        <v>44927</v>
      </c>
      <c r="C14" s="4">
        <v>44958</v>
      </c>
      <c r="D14" s="4">
        <v>44986</v>
      </c>
      <c r="E14" s="4">
        <v>45017</v>
      </c>
      <c r="F14" s="4">
        <v>45047</v>
      </c>
      <c r="G14" s="4">
        <v>45078</v>
      </c>
      <c r="H14" s="4">
        <v>45108</v>
      </c>
      <c r="I14" s="4">
        <v>45139</v>
      </c>
      <c r="J14" s="4">
        <v>45170</v>
      </c>
      <c r="K14" s="4">
        <v>45200</v>
      </c>
      <c r="L14" s="4">
        <v>45231</v>
      </c>
      <c r="M14" s="4">
        <v>45261</v>
      </c>
      <c r="N14" s="5" t="s">
        <v>0</v>
      </c>
    </row>
    <row r="15" spans="1:14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</row>
    <row r="16" spans="1:14" x14ac:dyDescent="0.25">
      <c r="A16" s="24" t="s">
        <v>2</v>
      </c>
      <c r="B16" s="39">
        <f>'ANÁLISIS FACTURAS VENTA'!B19*$B$1</f>
        <v>32.800000000000004</v>
      </c>
      <c r="C16" s="39">
        <f>'ANÁLISIS FACTURAS VENTA'!C19*$B$1</f>
        <v>28.72</v>
      </c>
      <c r="D16" s="39">
        <f>'ANÁLISIS FACTURAS VENTA'!D19*$B$1</f>
        <v>35.720000000000006</v>
      </c>
      <c r="E16" s="39">
        <f>'ANÁLISIS FACTURAS VENTA'!E19*$B$1</f>
        <v>33.24</v>
      </c>
      <c r="F16" s="39">
        <f>'ANÁLISIS FACTURAS VENTA'!F19*$B$1</f>
        <v>38</v>
      </c>
      <c r="G16" s="39">
        <f>'ANÁLISIS FACTURAS VENTA'!G19*$B$1</f>
        <v>43.160000000000004</v>
      </c>
      <c r="H16" s="39">
        <f>'ANÁLISIS FACTURAS VENTA'!H19*$B$1</f>
        <v>33.520000000000003</v>
      </c>
      <c r="I16" s="39">
        <f>'ANÁLISIS FACTURAS VENTA'!I19*$B$1</f>
        <v>38.040000000000006</v>
      </c>
      <c r="J16" s="39">
        <f>'ANÁLISIS FACTURAS VENTA'!J19*$B$1</f>
        <v>31.520000000000007</v>
      </c>
      <c r="K16" s="39">
        <f>'ANÁLISIS FACTURAS VENTA'!K19*$B$1</f>
        <v>22.6</v>
      </c>
      <c r="L16" s="39">
        <f>'ANÁLISIS FACTURAS VENTA'!L19*$B$1</f>
        <v>29.200000000000003</v>
      </c>
      <c r="M16" s="39">
        <f>'ANÁLISIS FACTURAS VENTA'!M19*$B$1</f>
        <v>24.92</v>
      </c>
      <c r="N16" s="45">
        <f>SUM(B16:M16)</f>
        <v>391.44000000000005</v>
      </c>
    </row>
    <row r="17" spans="1:14" x14ac:dyDescent="0.25">
      <c r="A17" s="24" t="s">
        <v>3</v>
      </c>
      <c r="B17" s="8">
        <f>$B$5*B16</f>
        <v>18.696000000000002</v>
      </c>
      <c r="C17" s="8">
        <f t="shared" ref="C17:M17" si="0">$B$5*C16</f>
        <v>16.370399999999997</v>
      </c>
      <c r="D17" s="8">
        <f t="shared" si="0"/>
        <v>20.360400000000002</v>
      </c>
      <c r="E17" s="8">
        <f t="shared" si="0"/>
        <v>18.9468</v>
      </c>
      <c r="F17" s="8">
        <f t="shared" si="0"/>
        <v>21.659999999999997</v>
      </c>
      <c r="G17" s="8">
        <f t="shared" si="0"/>
        <v>24.601199999999999</v>
      </c>
      <c r="H17" s="8">
        <f t="shared" si="0"/>
        <v>19.106400000000001</v>
      </c>
      <c r="I17" s="8">
        <f t="shared" si="0"/>
        <v>21.6828</v>
      </c>
      <c r="J17" s="8">
        <f t="shared" si="0"/>
        <v>17.966400000000004</v>
      </c>
      <c r="K17" s="8">
        <f t="shared" si="0"/>
        <v>12.882</v>
      </c>
      <c r="L17" s="8">
        <f t="shared" si="0"/>
        <v>16.644000000000002</v>
      </c>
      <c r="M17" s="8">
        <f t="shared" si="0"/>
        <v>14.2044</v>
      </c>
      <c r="N17" s="12">
        <f>SUM(B17:M17)</f>
        <v>223.12079999999997</v>
      </c>
    </row>
    <row r="18" spans="1:14" x14ac:dyDescent="0.25">
      <c r="A18" s="25"/>
    </row>
    <row r="19" spans="1:14" x14ac:dyDescent="0.25">
      <c r="A19" s="24" t="s">
        <v>12</v>
      </c>
      <c r="B19" s="39">
        <f>'ANÁLISIS FACTURAS VENTA'!B19*$B$2</f>
        <v>8.2000000000000011</v>
      </c>
      <c r="C19" s="39">
        <f>'ANÁLISIS FACTURAS VENTA'!C19*$B$2</f>
        <v>7.18</v>
      </c>
      <c r="D19" s="39">
        <f>'ANÁLISIS FACTURAS VENTA'!D19*$B$2</f>
        <v>8.9300000000000015</v>
      </c>
      <c r="E19" s="39">
        <f>'ANÁLISIS FACTURAS VENTA'!E19*$B$2</f>
        <v>8.31</v>
      </c>
      <c r="F19" s="39">
        <f>'ANÁLISIS FACTURAS VENTA'!F19*$B$2</f>
        <v>9.5</v>
      </c>
      <c r="G19" s="39">
        <f>'ANÁLISIS FACTURAS VENTA'!G19*$B$2</f>
        <v>10.790000000000001</v>
      </c>
      <c r="H19" s="39">
        <f>'ANÁLISIS FACTURAS VENTA'!H19*$B$2</f>
        <v>8.3800000000000008</v>
      </c>
      <c r="I19" s="39">
        <f>'ANÁLISIS FACTURAS VENTA'!I19*$B$2</f>
        <v>9.5100000000000016</v>
      </c>
      <c r="J19" s="39">
        <f>'ANÁLISIS FACTURAS VENTA'!J19*$B$2</f>
        <v>7.8800000000000017</v>
      </c>
      <c r="K19" s="39">
        <f>'ANÁLISIS FACTURAS VENTA'!K19*$B$2</f>
        <v>5.65</v>
      </c>
      <c r="L19" s="39">
        <f>'ANÁLISIS FACTURAS VENTA'!L19*$B$2</f>
        <v>7.3000000000000007</v>
      </c>
      <c r="M19" s="39">
        <f>'ANÁLISIS FACTURAS VENTA'!M19*$B$2</f>
        <v>6.23</v>
      </c>
      <c r="N19" s="45">
        <f>SUM(B19:M19)</f>
        <v>97.860000000000014</v>
      </c>
    </row>
    <row r="20" spans="1:14" x14ac:dyDescent="0.25">
      <c r="A20" s="24" t="s">
        <v>6</v>
      </c>
      <c r="B20" s="8">
        <f>$B$10*B19</f>
        <v>2.0500000000000003</v>
      </c>
      <c r="C20" s="8">
        <f t="shared" ref="C20:M20" si="1">$B$10*C19</f>
        <v>1.7949999999999999</v>
      </c>
      <c r="D20" s="8">
        <f t="shared" si="1"/>
        <v>2.2325000000000004</v>
      </c>
      <c r="E20" s="8">
        <f t="shared" si="1"/>
        <v>2.0775000000000001</v>
      </c>
      <c r="F20" s="8">
        <f t="shared" si="1"/>
        <v>2.375</v>
      </c>
      <c r="G20" s="8">
        <f t="shared" si="1"/>
        <v>2.6975000000000002</v>
      </c>
      <c r="H20" s="8">
        <f t="shared" si="1"/>
        <v>2.0950000000000002</v>
      </c>
      <c r="I20" s="8">
        <f t="shared" si="1"/>
        <v>2.3775000000000004</v>
      </c>
      <c r="J20" s="8">
        <f t="shared" si="1"/>
        <v>1.9700000000000004</v>
      </c>
      <c r="K20" s="8">
        <f t="shared" si="1"/>
        <v>1.4125000000000001</v>
      </c>
      <c r="L20" s="8">
        <f t="shared" si="1"/>
        <v>1.8250000000000002</v>
      </c>
      <c r="M20" s="8">
        <f t="shared" si="1"/>
        <v>1.5575000000000001</v>
      </c>
      <c r="N20" s="12">
        <f>SUM(B20:M20)</f>
        <v>24.465000000000003</v>
      </c>
    </row>
    <row r="21" spans="1:14" x14ac:dyDescent="0.25">
      <c r="A21" s="25"/>
    </row>
    <row r="22" spans="1:14" x14ac:dyDescent="0.25">
      <c r="A22" s="33" t="s">
        <v>7</v>
      </c>
      <c r="B22" s="23">
        <f>B17+B20</f>
        <v>20.746000000000002</v>
      </c>
      <c r="C22" s="23">
        <f t="shared" ref="C22:M22" si="2">C17+C20</f>
        <v>18.165399999999998</v>
      </c>
      <c r="D22" s="23">
        <f t="shared" si="2"/>
        <v>22.592900000000004</v>
      </c>
      <c r="E22" s="23">
        <f t="shared" si="2"/>
        <v>21.0243</v>
      </c>
      <c r="F22" s="23">
        <f t="shared" si="2"/>
        <v>24.034999999999997</v>
      </c>
      <c r="G22" s="23">
        <f t="shared" si="2"/>
        <v>27.2987</v>
      </c>
      <c r="H22" s="23">
        <f t="shared" si="2"/>
        <v>21.2014</v>
      </c>
      <c r="I22" s="23">
        <f t="shared" si="2"/>
        <v>24.060300000000002</v>
      </c>
      <c r="J22" s="23">
        <f t="shared" si="2"/>
        <v>19.936400000000003</v>
      </c>
      <c r="K22" s="23">
        <f t="shared" si="2"/>
        <v>14.294499999999999</v>
      </c>
      <c r="L22" s="23">
        <f t="shared" si="2"/>
        <v>18.469000000000001</v>
      </c>
      <c r="M22" s="23">
        <f t="shared" si="2"/>
        <v>15.761900000000001</v>
      </c>
      <c r="N22" s="23">
        <f>SUM(B22:M22)</f>
        <v>247.58580000000001</v>
      </c>
    </row>
    <row r="24" spans="1:14" x14ac:dyDescent="0.25">
      <c r="A24" t="s">
        <v>11</v>
      </c>
      <c r="B24">
        <v>1.6140000000000002E-2</v>
      </c>
      <c r="C24">
        <v>1.6140000000000002E-2</v>
      </c>
      <c r="D24">
        <v>1.6140000000000002E-2</v>
      </c>
      <c r="E24">
        <v>1.6140000000000002E-2</v>
      </c>
      <c r="F24">
        <v>1.6140000000000002E-2</v>
      </c>
      <c r="G24">
        <v>1.6140000000000002E-2</v>
      </c>
      <c r="H24">
        <v>1.6140000000000002E-2</v>
      </c>
      <c r="I24">
        <v>1.6140000000000002E-2</v>
      </c>
      <c r="J24">
        <v>1.6140000000000002E-2</v>
      </c>
      <c r="K24">
        <v>1.6140000000000002E-2</v>
      </c>
      <c r="L24">
        <v>1.6140000000000002E-2</v>
      </c>
      <c r="M24">
        <v>1.6140000000000002E-2</v>
      </c>
    </row>
    <row r="25" spans="1:14" x14ac:dyDescent="0.25">
      <c r="A25" s="36" t="s">
        <v>10</v>
      </c>
      <c r="B25" s="34">
        <f>(B16+B19)*B24</f>
        <v>0.66174000000000022</v>
      </c>
      <c r="C25" s="34">
        <f t="shared" ref="C25:M25" si="3">(C16+C19)*C24</f>
        <v>0.579426</v>
      </c>
      <c r="D25" s="34">
        <f t="shared" si="3"/>
        <v>0.72065100000000015</v>
      </c>
      <c r="E25" s="34">
        <f t="shared" si="3"/>
        <v>0.67061700000000013</v>
      </c>
      <c r="F25" s="34">
        <f t="shared" si="3"/>
        <v>0.76665000000000005</v>
      </c>
      <c r="G25" s="34">
        <f t="shared" si="3"/>
        <v>0.87075300000000011</v>
      </c>
      <c r="H25" s="34">
        <f t="shared" si="3"/>
        <v>0.67626600000000014</v>
      </c>
      <c r="I25" s="34">
        <f t="shared" si="3"/>
        <v>0.76745700000000028</v>
      </c>
      <c r="J25" s="34">
        <f t="shared" si="3"/>
        <v>0.63591600000000015</v>
      </c>
      <c r="K25" s="34">
        <f t="shared" si="3"/>
        <v>0.45595500000000005</v>
      </c>
      <c r="L25" s="34">
        <f t="shared" si="3"/>
        <v>0.58911000000000002</v>
      </c>
      <c r="M25" s="34">
        <f t="shared" si="3"/>
        <v>0.50276100000000012</v>
      </c>
      <c r="N25" s="35">
        <f>SUM(B25:M25)</f>
        <v>7.8973020000000016</v>
      </c>
    </row>
    <row r="27" spans="1:14" x14ac:dyDescent="0.25">
      <c r="A27" s="37" t="s">
        <v>13</v>
      </c>
      <c r="B27" s="38">
        <f>B22-B25</f>
        <v>20.08426</v>
      </c>
      <c r="C27" s="38">
        <f t="shared" ref="C27:M27" si="4">C22-C25</f>
        <v>17.585973999999997</v>
      </c>
      <c r="D27" s="38">
        <f t="shared" si="4"/>
        <v>21.872249000000004</v>
      </c>
      <c r="E27" s="38">
        <f t="shared" si="4"/>
        <v>20.353683</v>
      </c>
      <c r="F27" s="38">
        <f t="shared" si="4"/>
        <v>23.268349999999998</v>
      </c>
      <c r="G27" s="38">
        <f t="shared" si="4"/>
        <v>26.427947</v>
      </c>
      <c r="H27" s="38">
        <f t="shared" si="4"/>
        <v>20.525133999999998</v>
      </c>
      <c r="I27" s="38">
        <f t="shared" si="4"/>
        <v>23.292843000000001</v>
      </c>
      <c r="J27" s="38">
        <f t="shared" si="4"/>
        <v>19.300484000000001</v>
      </c>
      <c r="K27" s="38">
        <f t="shared" si="4"/>
        <v>13.838545</v>
      </c>
      <c r="L27" s="38">
        <f t="shared" si="4"/>
        <v>17.87989</v>
      </c>
      <c r="M27" s="38">
        <f t="shared" si="4"/>
        <v>15.259139000000001</v>
      </c>
      <c r="N27" s="38">
        <f>SUM(B27:M27)</f>
        <v>239.68849800000001</v>
      </c>
    </row>
    <row r="28" spans="1:14" s="42" customFormat="1" x14ac:dyDescent="0.25">
      <c r="A28" s="40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</row>
  </sheetData>
  <mergeCells count="1">
    <mergeCell ref="A13:N1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C24" sqref="C24"/>
    </sheetView>
  </sheetViews>
  <sheetFormatPr baseColWidth="10" defaultRowHeight="11.25" x14ac:dyDescent="0.2"/>
  <cols>
    <col min="1" max="1" width="44.28515625" style="13" bestFit="1" customWidth="1"/>
    <col min="2" max="2" width="7.5703125" style="13" bestFit="1" customWidth="1"/>
    <col min="3" max="3" width="12" style="13" bestFit="1" customWidth="1"/>
    <col min="4" max="4" width="22.85546875" style="13" bestFit="1" customWidth="1"/>
    <col min="5" max="5" width="12" style="13" bestFit="1" customWidth="1"/>
    <col min="6" max="6" width="22.85546875" style="13" bestFit="1" customWidth="1"/>
    <col min="7" max="7" width="6.140625" style="13" customWidth="1"/>
    <col min="8" max="8" width="52.28515625" style="13" bestFit="1" customWidth="1"/>
    <col min="9" max="9" width="8.7109375" style="13" customWidth="1"/>
    <col min="10" max="10" width="11.42578125" style="13"/>
    <col min="11" max="11" width="22.85546875" style="13" bestFit="1" customWidth="1"/>
    <col min="12" max="12" width="11.42578125" style="13"/>
    <col min="13" max="13" width="22.85546875" style="13" bestFit="1" customWidth="1"/>
    <col min="14" max="16384" width="11.42578125" style="13"/>
  </cols>
  <sheetData>
    <row r="1" spans="1:13" ht="15" x14ac:dyDescent="0.25">
      <c r="A1" s="40" t="s">
        <v>39</v>
      </c>
      <c r="B1" s="76">
        <f>(B14-B8)/B8</f>
        <v>4.5236277910358356E-2</v>
      </c>
    </row>
    <row r="2" spans="1:13" ht="12" x14ac:dyDescent="0.2">
      <c r="A2" s="29" t="s">
        <v>45</v>
      </c>
      <c r="B2" s="26">
        <v>0.56999999999999995</v>
      </c>
    </row>
    <row r="3" spans="1:13" ht="12" x14ac:dyDescent="0.2">
      <c r="A3" s="29" t="s">
        <v>46</v>
      </c>
      <c r="B3" s="26">
        <v>0.25</v>
      </c>
      <c r="I3" s="77"/>
      <c r="J3" s="75"/>
    </row>
    <row r="4" spans="1:13" x14ac:dyDescent="0.2">
      <c r="A4" s="1"/>
      <c r="B4" s="59"/>
    </row>
    <row r="5" spans="1:13" ht="12" thickBot="1" x14ac:dyDescent="0.25"/>
    <row r="6" spans="1:13" ht="15.75" thickBot="1" x14ac:dyDescent="0.3">
      <c r="A6" s="65" t="s">
        <v>35</v>
      </c>
      <c r="B6" s="66"/>
      <c r="E6" s="69" t="s">
        <v>37</v>
      </c>
      <c r="F6" s="70"/>
      <c r="H6" s="65" t="s">
        <v>41</v>
      </c>
      <c r="I6" s="66"/>
      <c r="L6" s="69" t="s">
        <v>37</v>
      </c>
      <c r="M6" s="70"/>
    </row>
    <row r="7" spans="1:13" ht="15.75" thickBot="1" x14ac:dyDescent="0.25">
      <c r="A7" s="46" t="s">
        <v>40</v>
      </c>
      <c r="B7" s="52" t="s">
        <v>14</v>
      </c>
      <c r="C7" s="52" t="s">
        <v>36</v>
      </c>
      <c r="D7" s="47" t="s">
        <v>38</v>
      </c>
      <c r="E7" s="52" t="s">
        <v>36</v>
      </c>
      <c r="F7" s="47" t="s">
        <v>38</v>
      </c>
      <c r="H7" s="46" t="s">
        <v>40</v>
      </c>
      <c r="I7" s="52" t="s">
        <v>42</v>
      </c>
      <c r="J7" s="52" t="s">
        <v>36</v>
      </c>
      <c r="K7" s="47" t="s">
        <v>38</v>
      </c>
      <c r="L7" s="52" t="s">
        <v>36</v>
      </c>
      <c r="M7" s="47" t="s">
        <v>38</v>
      </c>
    </row>
    <row r="8" spans="1:13" ht="15.75" thickBot="1" x14ac:dyDescent="0.3">
      <c r="A8" s="56">
        <v>2021</v>
      </c>
      <c r="B8" s="57">
        <v>103501</v>
      </c>
      <c r="C8" s="67">
        <v>14699</v>
      </c>
      <c r="D8" s="68">
        <v>88802</v>
      </c>
      <c r="E8" s="72">
        <f>C8/B8</f>
        <v>0.14201795151737664</v>
      </c>
      <c r="F8" s="74">
        <f>D8/B8</f>
        <v>0.85798204848262338</v>
      </c>
      <c r="H8" s="56">
        <v>2021</v>
      </c>
      <c r="I8" s="57">
        <v>30735.09</v>
      </c>
      <c r="J8" s="67">
        <v>8378.43</v>
      </c>
      <c r="K8" s="68">
        <v>22357</v>
      </c>
      <c r="L8" s="72">
        <f>J8/I8</f>
        <v>0.27260144675027792</v>
      </c>
      <c r="M8" s="74">
        <f>K8/I8</f>
        <v>0.72740961552414518</v>
      </c>
    </row>
    <row r="9" spans="1:13" ht="15.75" thickBot="1" x14ac:dyDescent="0.3">
      <c r="A9" s="56"/>
      <c r="B9" s="57"/>
      <c r="C9" s="67"/>
      <c r="D9" s="68"/>
      <c r="E9" s="72"/>
      <c r="F9" s="74"/>
      <c r="H9" s="56"/>
      <c r="I9" s="57"/>
      <c r="J9" s="67"/>
      <c r="K9" s="68"/>
      <c r="L9" s="72"/>
      <c r="M9" s="74"/>
    </row>
    <row r="10" spans="1:13" ht="15" x14ac:dyDescent="0.2">
      <c r="A10" s="60"/>
      <c r="B10" s="61"/>
    </row>
    <row r="11" spans="1:13" ht="12" thickBot="1" x14ac:dyDescent="0.25"/>
    <row r="12" spans="1:13" ht="15.75" thickBot="1" x14ac:dyDescent="0.3">
      <c r="A12" s="65" t="s">
        <v>35</v>
      </c>
      <c r="B12" s="66"/>
      <c r="E12" s="69" t="s">
        <v>37</v>
      </c>
      <c r="F12" s="70"/>
      <c r="H12" s="65" t="s">
        <v>41</v>
      </c>
      <c r="I12" s="66"/>
      <c r="L12" s="69" t="s">
        <v>37</v>
      </c>
      <c r="M12" s="70"/>
    </row>
    <row r="13" spans="1:13" ht="15.75" thickBot="1" x14ac:dyDescent="0.25">
      <c r="A13" s="46" t="s">
        <v>40</v>
      </c>
      <c r="B13" s="52" t="s">
        <v>14</v>
      </c>
      <c r="C13" s="52" t="s">
        <v>36</v>
      </c>
      <c r="D13" s="47" t="s">
        <v>38</v>
      </c>
      <c r="E13" s="52" t="s">
        <v>36</v>
      </c>
      <c r="F13" s="47" t="s">
        <v>38</v>
      </c>
      <c r="H13" s="46" t="s">
        <v>40</v>
      </c>
      <c r="I13" s="52" t="s">
        <v>42</v>
      </c>
      <c r="J13" s="52" t="s">
        <v>36</v>
      </c>
      <c r="K13" s="47" t="s">
        <v>38</v>
      </c>
      <c r="L13" s="52" t="s">
        <v>36</v>
      </c>
      <c r="M13" s="47" t="s">
        <v>38</v>
      </c>
    </row>
    <row r="14" spans="1:13" ht="15.75" thickBot="1" x14ac:dyDescent="0.3">
      <c r="A14" s="56">
        <v>2022</v>
      </c>
      <c r="B14" s="57">
        <v>108183</v>
      </c>
      <c r="C14" s="67">
        <v>7617</v>
      </c>
      <c r="D14" s="68">
        <v>100566</v>
      </c>
      <c r="E14" s="72">
        <f>C14/B14</f>
        <v>7.0408474529269849E-2</v>
      </c>
      <c r="F14" s="74">
        <f>D14/B14</f>
        <v>0.92959152547073021</v>
      </c>
      <c r="H14" s="56">
        <v>2022</v>
      </c>
      <c r="I14" s="57">
        <v>29513.59</v>
      </c>
      <c r="J14" s="67">
        <v>4341.6899999999996</v>
      </c>
      <c r="K14" s="68">
        <v>25171.9</v>
      </c>
      <c r="L14" s="72">
        <f>J14/I14</f>
        <v>0.14710816271419369</v>
      </c>
      <c r="M14" s="74">
        <f>K14/I14</f>
        <v>0.85289183728580631</v>
      </c>
    </row>
    <row r="15" spans="1:13" ht="15.75" thickBot="1" x14ac:dyDescent="0.3">
      <c r="A15" s="56"/>
      <c r="B15" s="57"/>
      <c r="C15" s="67"/>
      <c r="D15" s="68"/>
      <c r="E15" s="72"/>
      <c r="F15" s="74"/>
      <c r="H15" s="56"/>
      <c r="I15" s="57"/>
      <c r="J15" s="67"/>
      <c r="K15" s="68"/>
      <c r="L15" s="72"/>
      <c r="M15" s="74"/>
    </row>
    <row r="17" spans="1:13" ht="12" thickBot="1" x14ac:dyDescent="0.25"/>
    <row r="18" spans="1:13" ht="15.75" thickBot="1" x14ac:dyDescent="0.3">
      <c r="A18" s="78" t="s">
        <v>44</v>
      </c>
      <c r="B18" s="66"/>
      <c r="E18" s="69" t="s">
        <v>37</v>
      </c>
      <c r="F18" s="70"/>
      <c r="H18" s="78" t="s">
        <v>43</v>
      </c>
      <c r="I18" s="66"/>
      <c r="L18" s="69" t="s">
        <v>37</v>
      </c>
      <c r="M18" s="70"/>
    </row>
    <row r="19" spans="1:13" ht="15.75" thickBot="1" x14ac:dyDescent="0.25">
      <c r="A19" s="63" t="s">
        <v>40</v>
      </c>
      <c r="B19" s="52" t="s">
        <v>14</v>
      </c>
      <c r="C19" s="52" t="s">
        <v>36</v>
      </c>
      <c r="D19" s="47" t="s">
        <v>38</v>
      </c>
      <c r="E19" s="52" t="s">
        <v>36</v>
      </c>
      <c r="F19" s="47" t="s">
        <v>38</v>
      </c>
      <c r="H19" s="63" t="s">
        <v>40</v>
      </c>
      <c r="I19" s="52" t="s">
        <v>42</v>
      </c>
      <c r="J19" s="52" t="s">
        <v>36</v>
      </c>
      <c r="K19" s="47" t="s">
        <v>38</v>
      </c>
      <c r="L19" s="52" t="s">
        <v>36</v>
      </c>
      <c r="M19" s="47" t="s">
        <v>38</v>
      </c>
    </row>
    <row r="20" spans="1:13" ht="15.75" thickBot="1" x14ac:dyDescent="0.3">
      <c r="A20" s="79">
        <v>2023</v>
      </c>
      <c r="B20" s="57">
        <f>B14+(B14*B1)</f>
        <v>113076.7962531763</v>
      </c>
      <c r="C20" s="67">
        <f>B20*10%</f>
        <v>11307.679625317631</v>
      </c>
      <c r="D20" s="68">
        <f>B20*90%</f>
        <v>101769.11662785868</v>
      </c>
      <c r="E20" s="72">
        <f>C20/B20</f>
        <v>0.1</v>
      </c>
      <c r="F20" s="74">
        <f>D20/B20</f>
        <v>0.9</v>
      </c>
      <c r="H20" s="79">
        <v>2023</v>
      </c>
      <c r="I20" s="57">
        <f>+J20+K20</f>
        <v>31887.656543395718</v>
      </c>
      <c r="J20" s="71">
        <f>C20*B2</f>
        <v>6445.3773864310488</v>
      </c>
      <c r="K20" s="73">
        <f>D20*B3</f>
        <v>25442.279156964669</v>
      </c>
      <c r="L20" s="72">
        <f>J20/I20</f>
        <v>0.20212765957446807</v>
      </c>
      <c r="M20" s="74">
        <f>K20/I20</f>
        <v>0.7978723404255319</v>
      </c>
    </row>
    <row r="21" spans="1:13" ht="15.75" thickBot="1" x14ac:dyDescent="0.3">
      <c r="A21" s="56"/>
      <c r="B21" s="57"/>
      <c r="C21" s="67"/>
      <c r="D21" s="68"/>
      <c r="E21" s="72"/>
      <c r="F21" s="74"/>
      <c r="H21" s="56"/>
      <c r="I21" s="57"/>
      <c r="J21" s="67"/>
      <c r="K21" s="68"/>
      <c r="L21" s="72"/>
      <c r="M21" s="74"/>
    </row>
  </sheetData>
  <mergeCells count="6">
    <mergeCell ref="E6:F6"/>
    <mergeCell ref="E12:F12"/>
    <mergeCell ref="L6:M6"/>
    <mergeCell ref="L12:M12"/>
    <mergeCell ref="E18:F18"/>
    <mergeCell ref="L18:M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5"/>
  <sheetViews>
    <sheetView tabSelected="1" workbookViewId="0">
      <selection activeCell="E17" sqref="E17"/>
    </sheetView>
  </sheetViews>
  <sheetFormatPr baseColWidth="10" defaultRowHeight="15" x14ac:dyDescent="0.25"/>
  <cols>
    <col min="1" max="1" width="44.28515625" bestFit="1" customWidth="1"/>
    <col min="2" max="2" width="9.5703125" bestFit="1" customWidth="1"/>
    <col min="3" max="3" width="12" bestFit="1" customWidth="1"/>
    <col min="4" max="4" width="22.85546875" bestFit="1" customWidth="1"/>
    <col min="5" max="5" width="12" bestFit="1" customWidth="1"/>
    <col min="6" max="6" width="22.85546875" bestFit="1" customWidth="1"/>
    <col min="8" max="8" width="52.28515625" bestFit="1" customWidth="1"/>
    <col min="10" max="10" width="12" bestFit="1" customWidth="1"/>
    <col min="11" max="11" width="22.85546875" bestFit="1" customWidth="1"/>
    <col min="12" max="12" width="12" bestFit="1" customWidth="1"/>
    <col min="13" max="13" width="22.85546875" bestFit="1" customWidth="1"/>
  </cols>
  <sheetData>
    <row r="3" spans="1:7" ht="15.75" thickBot="1" x14ac:dyDescent="0.3"/>
    <row r="4" spans="1:7" ht="15.75" thickBot="1" x14ac:dyDescent="0.3">
      <c r="A4" s="80" t="s">
        <v>47</v>
      </c>
      <c r="B4" s="82" t="s">
        <v>50</v>
      </c>
      <c r="C4" s="13"/>
      <c r="D4" s="13"/>
      <c r="E4" s="69" t="s">
        <v>37</v>
      </c>
      <c r="F4" s="70"/>
      <c r="G4" s="13"/>
    </row>
    <row r="5" spans="1:7" ht="15.75" thickBot="1" x14ac:dyDescent="0.3">
      <c r="A5" s="64" t="s">
        <v>49</v>
      </c>
      <c r="B5" s="52" t="s">
        <v>14</v>
      </c>
      <c r="C5" s="52" t="s">
        <v>36</v>
      </c>
      <c r="D5" s="47" t="s">
        <v>38</v>
      </c>
      <c r="E5" s="52" t="s">
        <v>36</v>
      </c>
      <c r="F5" s="47" t="s">
        <v>38</v>
      </c>
      <c r="G5" s="13"/>
    </row>
    <row r="6" spans="1:7" ht="15.75" thickBot="1" x14ac:dyDescent="0.3">
      <c r="A6" s="81" t="s">
        <v>48</v>
      </c>
      <c r="B6" s="57">
        <f>'ANALISIS RECAUDACION'!B20</f>
        <v>113076.7962531763</v>
      </c>
      <c r="C6" s="67">
        <f>'ANALISIS RECAUDACION'!C20</f>
        <v>11307.679625317631</v>
      </c>
      <c r="D6" s="68">
        <f>'ANALISIS RECAUDACION'!D20</f>
        <v>101769.11662785868</v>
      </c>
      <c r="E6" s="72">
        <f>C6/B6</f>
        <v>0.1</v>
      </c>
      <c r="F6" s="74">
        <f>D6/B6</f>
        <v>0.9</v>
      </c>
      <c r="G6" s="13"/>
    </row>
    <row r="7" spans="1:7" ht="15.75" thickBot="1" x14ac:dyDescent="0.3">
      <c r="A7" s="86" t="s">
        <v>51</v>
      </c>
      <c r="B7" s="83">
        <f>+C7+D7</f>
        <v>489.30000000000007</v>
      </c>
      <c r="C7" s="84">
        <f>'PROYECCIÓN INGRESOS BB AÑO 2023'!N16</f>
        <v>391.44000000000005</v>
      </c>
      <c r="D7" s="85">
        <f>'PROYECCIÓN INGRESOS BB AÑO 2023'!N19</f>
        <v>97.860000000000014</v>
      </c>
      <c r="E7" s="72">
        <f>C7/B7</f>
        <v>0.8</v>
      </c>
      <c r="F7" s="74">
        <f>D7/B7</f>
        <v>0.2</v>
      </c>
      <c r="G7" s="13"/>
    </row>
    <row r="8" spans="1:7" ht="15.75" thickBot="1" x14ac:dyDescent="0.3">
      <c r="A8" s="87" t="s">
        <v>52</v>
      </c>
      <c r="B8" s="92">
        <f>SUM(B6:B7)</f>
        <v>113566.09625317631</v>
      </c>
      <c r="C8" s="92">
        <f t="shared" ref="C8:D8" si="0">SUM(C6:C7)</f>
        <v>11699.119625317631</v>
      </c>
      <c r="D8" s="93">
        <f t="shared" si="0"/>
        <v>101866.97662785868</v>
      </c>
    </row>
    <row r="10" spans="1:7" ht="15.75" thickBot="1" x14ac:dyDescent="0.3"/>
    <row r="11" spans="1:7" ht="15.75" thickBot="1" x14ac:dyDescent="0.3">
      <c r="A11" s="80" t="s">
        <v>54</v>
      </c>
      <c r="B11" s="82" t="s">
        <v>50</v>
      </c>
      <c r="C11" s="13"/>
      <c r="D11" s="13"/>
      <c r="E11" s="69" t="s">
        <v>37</v>
      </c>
      <c r="F11" s="70"/>
    </row>
    <row r="12" spans="1:7" ht="15.75" thickBot="1" x14ac:dyDescent="0.3">
      <c r="A12" s="64" t="s">
        <v>49</v>
      </c>
      <c r="B12" s="52" t="s">
        <v>42</v>
      </c>
      <c r="C12" s="52" t="s">
        <v>36</v>
      </c>
      <c r="D12" s="47" t="s">
        <v>38</v>
      </c>
      <c r="E12" s="52" t="s">
        <v>36</v>
      </c>
      <c r="F12" s="47" t="s">
        <v>38</v>
      </c>
    </row>
    <row r="13" spans="1:7" ht="15.75" thickBot="1" x14ac:dyDescent="0.3">
      <c r="A13" s="81" t="s">
        <v>48</v>
      </c>
      <c r="B13" s="88">
        <f>+C13+D13</f>
        <v>31887.656543395718</v>
      </c>
      <c r="C13" s="67">
        <f>'ANALISIS RECAUDACION'!J20</f>
        <v>6445.3773864310488</v>
      </c>
      <c r="D13" s="68">
        <f>'ANALISIS RECAUDACION'!K20</f>
        <v>25442.279156964669</v>
      </c>
      <c r="E13" s="72">
        <f>C13/B13</f>
        <v>0.20212765957446807</v>
      </c>
      <c r="F13" s="74">
        <f>D13/B13</f>
        <v>0.7978723404255319</v>
      </c>
    </row>
    <row r="14" spans="1:7" ht="15.75" thickBot="1" x14ac:dyDescent="0.3">
      <c r="A14" s="86" t="s">
        <v>51</v>
      </c>
      <c r="B14" s="89">
        <f>+C14+D14</f>
        <v>247.58579999999998</v>
      </c>
      <c r="C14" s="84">
        <f>'PROYECCIÓN INGRESOS BB AÑO 2023'!N17</f>
        <v>223.12079999999997</v>
      </c>
      <c r="D14" s="85">
        <f>'PROYECCIÓN INGRESOS BB AÑO 2023'!N20</f>
        <v>24.465000000000003</v>
      </c>
      <c r="E14" s="72">
        <f>C14/B14</f>
        <v>0.90118577075098816</v>
      </c>
      <c r="F14" s="74">
        <f>D14/B14</f>
        <v>9.8814229249011884E-2</v>
      </c>
    </row>
    <row r="15" spans="1:7" ht="15.75" thickBot="1" x14ac:dyDescent="0.3">
      <c r="A15" s="63" t="s">
        <v>53</v>
      </c>
      <c r="B15" s="90">
        <f>SUM(B13:B14)</f>
        <v>32135.242343395719</v>
      </c>
      <c r="C15" s="90">
        <f t="shared" ref="C15:D15" si="1">SUM(C13:C14)</f>
        <v>6668.4981864310485</v>
      </c>
      <c r="D15" s="91">
        <f t="shared" si="1"/>
        <v>25466.744156964669</v>
      </c>
    </row>
  </sheetData>
  <mergeCells count="2">
    <mergeCell ref="E4:F4"/>
    <mergeCell ref="E11:F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ANÁLISIS FACTURAS VENTA</vt:lpstr>
      <vt:lpstr>PROYECCIÓN INGRESOS BB AÑO 2023</vt:lpstr>
      <vt:lpstr>ANALISIS RECAUDACION</vt:lpstr>
      <vt:lpstr>RESUMEN ANALISIS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Jaime Ramírez Cevallos (Quito)</cp:lastModifiedBy>
  <dcterms:created xsi:type="dcterms:W3CDTF">2020-12-10T15:20:08Z</dcterms:created>
  <dcterms:modified xsi:type="dcterms:W3CDTF">2023-01-25T22:39:23Z</dcterms:modified>
</cp:coreProperties>
</file>