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Documentos (RRM)\Canales Veinti4\Control de Canales\2018\Avisos24 Matriz\"/>
    </mc:Choice>
  </mc:AlternateContent>
  <bookViews>
    <workbookView xWindow="0" yWindow="0" windowWidth="12360" windowHeight="6660" firstSheet="1" activeTab="1"/>
  </bookViews>
  <sheets>
    <sheet name="CN (Desarrollo interno)" sheetId="28" r:id="rId1"/>
    <sheet name="CN (Latinia CLoud)" sheetId="26" r:id="rId2"/>
    <sheet name="INversion desarrollo interno" sheetId="29" r:id="rId3"/>
    <sheet name="CN (Dana) 1" sheetId="20" r:id="rId4"/>
    <sheet name="Caso de Negocio" sheetId="24" r:id="rId5"/>
    <sheet name="CN (Latinia)" sheetId="9" state="hidden" r:id="rId6"/>
    <sheet name="Propuesta Sybven" sheetId="21" r:id="rId7"/>
    <sheet name="Propuesta Latinia (2)" sheetId="25" r:id="rId8"/>
    <sheet name="Propuesta Latinia" sheetId="19" r:id="rId9"/>
    <sheet name="Consolidado Sybven" sheetId="23" r:id="rId10"/>
    <sheet name="Consolidado Latinia" sheetId="18" r:id="rId11"/>
    <sheet name="Infraestructura Latinia" sheetId="22" r:id="rId12"/>
    <sheet name="Recursos Adicionales" sheetId="16" r:id="rId13"/>
    <sheet name="Hoja1" sheetId="27" r:id="rId14"/>
    <sheet name="SUSCRIPCIONES" sheetId="11" r:id="rId15"/>
    <sheet name="RESUMEN" sheetId="10" r:id="rId16"/>
    <sheet name="Calculos " sheetId="12" r:id="rId17"/>
    <sheet name="Caso de Negocio BM2" sheetId="4" state="hidden" r:id="rId18"/>
    <sheet name="Caso de Negocio Solo ST" sheetId="1" state="hidden" r:id="rId19"/>
  </sheets>
  <definedNames>
    <definedName name="Cantidad_de_Mensajes">RESUMEN!$A$2:$Q$21</definedName>
    <definedName name="Costos">RESUMEN!$A$23:$Q$42</definedName>
    <definedName name="Ingresos_Totales">RESUMEN!$A$44:$Q$63</definedName>
    <definedName name="Suscripciones_Activas">SUSCRIPCIONES!$A$1:$M$18</definedName>
    <definedName name="Utilidad_Neta">RESUMEN!$A$65:$Q$84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24" l="1"/>
  <c r="F42" i="24"/>
  <c r="E42" i="24"/>
  <c r="D42" i="24"/>
  <c r="C42" i="24"/>
  <c r="C40" i="24"/>
  <c r="D21" i="24"/>
  <c r="D20" i="24"/>
  <c r="D34" i="25"/>
  <c r="G24" i="24"/>
  <c r="F24" i="24"/>
  <c r="E24" i="24"/>
  <c r="D24" i="24"/>
  <c r="C24" i="24"/>
  <c r="C21" i="24"/>
  <c r="F20" i="24"/>
  <c r="E20" i="24"/>
  <c r="C20" i="24"/>
  <c r="AM41" i="26"/>
  <c r="AA41" i="26"/>
  <c r="O41" i="26"/>
  <c r="G43" i="24"/>
  <c r="F43" i="24"/>
  <c r="E43" i="24"/>
  <c r="D43" i="24"/>
  <c r="G40" i="24"/>
  <c r="G44" i="24" s="1"/>
  <c r="F40" i="24"/>
  <c r="F44" i="24" s="1"/>
  <c r="E44" i="24"/>
  <c r="C7" i="24"/>
  <c r="E7" i="24"/>
  <c r="D7" i="24"/>
  <c r="C41" i="28"/>
  <c r="C40" i="28"/>
  <c r="C8" i="29"/>
  <c r="Q42" i="28"/>
  <c r="R42" i="28" s="1"/>
  <c r="S42" i="28" s="1"/>
  <c r="T42" i="28" s="1"/>
  <c r="U42" i="28" s="1"/>
  <c r="V42" i="28" s="1"/>
  <c r="W42" i="28" s="1"/>
  <c r="X42" i="28" s="1"/>
  <c r="Y42" i="28" s="1"/>
  <c r="Z42" i="28" s="1"/>
  <c r="AA42" i="28" s="1"/>
  <c r="AB42" i="28" s="1"/>
  <c r="AC42" i="28" s="1"/>
  <c r="AD42" i="28" s="1"/>
  <c r="AE42" i="28" s="1"/>
  <c r="AF42" i="28" s="1"/>
  <c r="AG42" i="28" s="1"/>
  <c r="AH42" i="28" s="1"/>
  <c r="AI42" i="28" s="1"/>
  <c r="AJ42" i="28" s="1"/>
  <c r="AK42" i="28" s="1"/>
  <c r="AL42" i="28" s="1"/>
  <c r="AM42" i="28" s="1"/>
  <c r="AN42" i="28" s="1"/>
  <c r="AO42" i="28" s="1"/>
  <c r="AP42" i="28" s="1"/>
  <c r="AQ42" i="28" s="1"/>
  <c r="AR42" i="28" s="1"/>
  <c r="AS42" i="28" s="1"/>
  <c r="AT42" i="28" s="1"/>
  <c r="AU42" i="28" s="1"/>
  <c r="AV42" i="28" s="1"/>
  <c r="AW42" i="28" s="1"/>
  <c r="AX42" i="28" s="1"/>
  <c r="AY42" i="28" s="1"/>
  <c r="E42" i="28"/>
  <c r="F42" i="28" s="1"/>
  <c r="G42" i="28" s="1"/>
  <c r="H42" i="28" s="1"/>
  <c r="I42" i="28" s="1"/>
  <c r="J42" i="28" s="1"/>
  <c r="K42" i="28" s="1"/>
  <c r="L42" i="28" s="1"/>
  <c r="M42" i="28" s="1"/>
  <c r="N42" i="28" s="1"/>
  <c r="O42" i="28" s="1"/>
  <c r="P42" i="28" s="1"/>
  <c r="D23" i="28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AE18" i="28" s="1"/>
  <c r="AF18" i="28" s="1"/>
  <c r="AG18" i="28" s="1"/>
  <c r="AH18" i="28" s="1"/>
  <c r="AI18" i="28" s="1"/>
  <c r="AJ18" i="28" s="1"/>
  <c r="AK18" i="28" s="1"/>
  <c r="AL18" i="28" s="1"/>
  <c r="AM18" i="28" s="1"/>
  <c r="AN18" i="28" s="1"/>
  <c r="AO18" i="28" s="1"/>
  <c r="AP18" i="28" s="1"/>
  <c r="AQ18" i="28" s="1"/>
  <c r="AR18" i="28" s="1"/>
  <c r="AS18" i="28" s="1"/>
  <c r="AT18" i="28" s="1"/>
  <c r="AU18" i="28" s="1"/>
  <c r="AV18" i="28" s="1"/>
  <c r="AW18" i="28" s="1"/>
  <c r="AX18" i="28" s="1"/>
  <c r="AY18" i="28" s="1"/>
  <c r="AZ18" i="28" s="1"/>
  <c r="BA18" i="28" s="1"/>
  <c r="BB18" i="28" s="1"/>
  <c r="BC18" i="28" s="1"/>
  <c r="BD18" i="28" s="1"/>
  <c r="BE18" i="28" s="1"/>
  <c r="BF18" i="28" s="1"/>
  <c r="BG18" i="28" s="1"/>
  <c r="BH18" i="28" s="1"/>
  <c r="BI18" i="28" s="1"/>
  <c r="BJ18" i="28" s="1"/>
  <c r="BK18" i="28" s="1"/>
  <c r="D17" i="28"/>
  <c r="D10" i="28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D9" i="28"/>
  <c r="C2" i="28"/>
  <c r="AY40" i="26"/>
  <c r="AM40" i="26"/>
  <c r="AA40" i="26"/>
  <c r="O40" i="26"/>
  <c r="D14" i="18"/>
  <c r="E14" i="18" s="1"/>
  <c r="F14" i="18" s="1"/>
  <c r="G14" i="18" s="1"/>
  <c r="C44" i="24" l="1"/>
  <c r="D44" i="24"/>
  <c r="H44" i="24" s="1"/>
  <c r="D26" i="28"/>
  <c r="D24" i="28"/>
  <c r="D27" i="28" s="1"/>
  <c r="D33" i="28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E17" i="28"/>
  <c r="C44" i="28"/>
  <c r="C47" i="28" s="1"/>
  <c r="F10" i="24"/>
  <c r="E10" i="24"/>
  <c r="D10" i="24"/>
  <c r="D13" i="24"/>
  <c r="F26" i="25"/>
  <c r="E26" i="25"/>
  <c r="D26" i="25"/>
  <c r="C48" i="28" l="1"/>
  <c r="D25" i="28"/>
  <c r="E33" i="28"/>
  <c r="E23" i="28"/>
  <c r="F17" i="28"/>
  <c r="D28" i="28"/>
  <c r="K8" i="21"/>
  <c r="J6" i="21"/>
  <c r="J7" i="21"/>
  <c r="J8" i="21"/>
  <c r="J5" i="21"/>
  <c r="E26" i="28" l="1"/>
  <c r="E24" i="28"/>
  <c r="E27" i="28" s="1"/>
  <c r="F33" i="28"/>
  <c r="F23" i="28"/>
  <c r="G17" i="28"/>
  <c r="D38" i="28"/>
  <c r="D44" i="28" s="1"/>
  <c r="D46" i="28" s="1"/>
  <c r="D47" i="28" s="1"/>
  <c r="D37" i="28"/>
  <c r="D22" i="28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7" i="27"/>
  <c r="K3" i="27"/>
  <c r="D29" i="28" l="1"/>
  <c r="D30" i="28" s="1"/>
  <c r="G33" i="28"/>
  <c r="G23" i="28"/>
  <c r="H17" i="28"/>
  <c r="E25" i="28"/>
  <c r="D48" i="28"/>
  <c r="D56" i="28"/>
  <c r="D57" i="28" s="1"/>
  <c r="F26" i="28"/>
  <c r="F28" i="28" s="1"/>
  <c r="F24" i="28"/>
  <c r="F27" i="28" s="1"/>
  <c r="E28" i="28"/>
  <c r="D5" i="24"/>
  <c r="AY42" i="26"/>
  <c r="E42" i="26"/>
  <c r="F42" i="26" s="1"/>
  <c r="G42" i="26" s="1"/>
  <c r="H42" i="26" s="1"/>
  <c r="I42" i="26" s="1"/>
  <c r="J42" i="26" s="1"/>
  <c r="K42" i="26" s="1"/>
  <c r="L42" i="26" s="1"/>
  <c r="M42" i="26" s="1"/>
  <c r="N42" i="26" s="1"/>
  <c r="O42" i="26" s="1"/>
  <c r="P42" i="26" s="1"/>
  <c r="Q42" i="26" s="1"/>
  <c r="R42" i="26" s="1"/>
  <c r="S42" i="26" s="1"/>
  <c r="T42" i="26" s="1"/>
  <c r="U42" i="26" s="1"/>
  <c r="V42" i="26" s="1"/>
  <c r="W42" i="26" s="1"/>
  <c r="X42" i="26" s="1"/>
  <c r="Y42" i="26" s="1"/>
  <c r="Z42" i="26" s="1"/>
  <c r="AA42" i="26" s="1"/>
  <c r="AB42" i="26" s="1"/>
  <c r="AC42" i="26" s="1"/>
  <c r="AD42" i="26" s="1"/>
  <c r="AE42" i="26" s="1"/>
  <c r="AF42" i="26" s="1"/>
  <c r="AG42" i="26" s="1"/>
  <c r="AH42" i="26" s="1"/>
  <c r="AI42" i="26" s="1"/>
  <c r="AJ42" i="26" s="1"/>
  <c r="AK42" i="26" s="1"/>
  <c r="AL42" i="26" s="1"/>
  <c r="AM42" i="26" s="1"/>
  <c r="AN42" i="26" s="1"/>
  <c r="AO42" i="26" s="1"/>
  <c r="AP42" i="26" s="1"/>
  <c r="AQ42" i="26" s="1"/>
  <c r="AR42" i="26" s="1"/>
  <c r="AS42" i="26" s="1"/>
  <c r="AT42" i="26" s="1"/>
  <c r="AU42" i="26" s="1"/>
  <c r="AV42" i="26" s="1"/>
  <c r="AW42" i="26" s="1"/>
  <c r="AX42" i="26" s="1"/>
  <c r="D23" i="26"/>
  <c r="J18" i="26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AO18" i="26" s="1"/>
  <c r="AP18" i="26" s="1"/>
  <c r="AQ18" i="26" s="1"/>
  <c r="AR18" i="26" s="1"/>
  <c r="AS18" i="26" s="1"/>
  <c r="AT18" i="26" s="1"/>
  <c r="AU18" i="26" s="1"/>
  <c r="AV18" i="26" s="1"/>
  <c r="AW18" i="26" s="1"/>
  <c r="AX18" i="26" s="1"/>
  <c r="AY18" i="26" s="1"/>
  <c r="AZ18" i="26" s="1"/>
  <c r="BA18" i="26" s="1"/>
  <c r="BB18" i="26" s="1"/>
  <c r="BC18" i="26" s="1"/>
  <c r="BD18" i="26" s="1"/>
  <c r="BE18" i="26" s="1"/>
  <c r="BF18" i="26" s="1"/>
  <c r="BG18" i="26" s="1"/>
  <c r="BH18" i="26" s="1"/>
  <c r="BI18" i="26" s="1"/>
  <c r="BJ18" i="26" s="1"/>
  <c r="BK18" i="26" s="1"/>
  <c r="H18" i="26"/>
  <c r="I18" i="26" s="1"/>
  <c r="G18" i="26"/>
  <c r="F18" i="26"/>
  <c r="E18" i="26"/>
  <c r="F17" i="26"/>
  <c r="E17" i="26"/>
  <c r="D17" i="26"/>
  <c r="I10" i="26"/>
  <c r="J10" i="26" s="1"/>
  <c r="K10" i="26" s="1"/>
  <c r="L10" i="26" s="1"/>
  <c r="M10" i="26" s="1"/>
  <c r="N10" i="26" s="1"/>
  <c r="O10" i="26" s="1"/>
  <c r="G10" i="26"/>
  <c r="H10" i="26" s="1"/>
  <c r="F10" i="26"/>
  <c r="E10" i="26"/>
  <c r="D10" i="26"/>
  <c r="F9" i="26"/>
  <c r="G9" i="26" s="1"/>
  <c r="E9" i="26"/>
  <c r="D9" i="26"/>
  <c r="C2" i="26"/>
  <c r="G20" i="24"/>
  <c r="E21" i="24"/>
  <c r="F21" i="24"/>
  <c r="G21" i="24"/>
  <c r="D22" i="24"/>
  <c r="E22" i="24"/>
  <c r="F22" i="24"/>
  <c r="G22" i="24"/>
  <c r="C17" i="18"/>
  <c r="C40" i="26" s="1"/>
  <c r="G17" i="18"/>
  <c r="F17" i="18"/>
  <c r="E17" i="18"/>
  <c r="D17" i="18"/>
  <c r="E38" i="28" l="1"/>
  <c r="E44" i="28" s="1"/>
  <c r="E46" i="28" s="1"/>
  <c r="E47" i="28" s="1"/>
  <c r="E37" i="28"/>
  <c r="E22" i="28"/>
  <c r="G26" i="28"/>
  <c r="G24" i="28"/>
  <c r="G27" i="28" s="1"/>
  <c r="F25" i="28"/>
  <c r="H33" i="28"/>
  <c r="I17" i="28"/>
  <c r="H23" i="28"/>
  <c r="F33" i="26"/>
  <c r="F23" i="26"/>
  <c r="G17" i="26"/>
  <c r="D33" i="26"/>
  <c r="E23" i="26"/>
  <c r="E33" i="26"/>
  <c r="D26" i="26"/>
  <c r="D24" i="26"/>
  <c r="D27" i="26" s="1"/>
  <c r="H9" i="26"/>
  <c r="I9" i="26" s="1"/>
  <c r="J9" i="26" s="1"/>
  <c r="K9" i="26" s="1"/>
  <c r="L9" i="26" s="1"/>
  <c r="M9" i="26" s="1"/>
  <c r="N9" i="26" s="1"/>
  <c r="O9" i="26" s="1"/>
  <c r="I33" i="28" l="1"/>
  <c r="I23" i="28"/>
  <c r="J17" i="28"/>
  <c r="G28" i="28"/>
  <c r="E48" i="28"/>
  <c r="F48" i="28" s="1"/>
  <c r="F37" i="28"/>
  <c r="F38" i="28"/>
  <c r="F44" i="28" s="1"/>
  <c r="F46" i="28" s="1"/>
  <c r="F47" i="28" s="1"/>
  <c r="F22" i="28"/>
  <c r="E30" i="28"/>
  <c r="E29" i="28"/>
  <c r="H26" i="28"/>
  <c r="H24" i="28"/>
  <c r="H27" i="28" s="1"/>
  <c r="G25" i="28"/>
  <c r="E56" i="28"/>
  <c r="E57" i="28" s="1"/>
  <c r="G33" i="26"/>
  <c r="H17" i="26"/>
  <c r="G23" i="26"/>
  <c r="E26" i="26"/>
  <c r="E24" i="26"/>
  <c r="E27" i="26" s="1"/>
  <c r="F24" i="26"/>
  <c r="F27" i="26" s="1"/>
  <c r="F26" i="26"/>
  <c r="D28" i="26"/>
  <c r="D25" i="26"/>
  <c r="H25" i="28" l="1"/>
  <c r="F29" i="28"/>
  <c r="F30" i="28" s="1"/>
  <c r="J33" i="28"/>
  <c r="J23" i="28"/>
  <c r="K17" i="28"/>
  <c r="I26" i="28"/>
  <c r="I24" i="28"/>
  <c r="I27" i="28" s="1"/>
  <c r="H28" i="28"/>
  <c r="G37" i="28"/>
  <c r="G56" i="28" s="1"/>
  <c r="G38" i="28"/>
  <c r="G44" i="28" s="1"/>
  <c r="G46" i="28" s="1"/>
  <c r="G47" i="28" s="1"/>
  <c r="G22" i="28"/>
  <c r="F56" i="28"/>
  <c r="F57" i="28" s="1"/>
  <c r="G57" i="28" s="1"/>
  <c r="E25" i="26"/>
  <c r="E38" i="26" s="1"/>
  <c r="E44" i="26" s="1"/>
  <c r="E46" i="26" s="1"/>
  <c r="E47" i="26" s="1"/>
  <c r="E28" i="26"/>
  <c r="D37" i="26"/>
  <c r="D38" i="26"/>
  <c r="D44" i="26" s="1"/>
  <c r="D46" i="26" s="1"/>
  <c r="D47" i="26" s="1"/>
  <c r="D22" i="26"/>
  <c r="F25" i="26"/>
  <c r="G24" i="26"/>
  <c r="G27" i="26" s="1"/>
  <c r="G26" i="26"/>
  <c r="G28" i="26" s="1"/>
  <c r="H33" i="26"/>
  <c r="H23" i="26"/>
  <c r="I17" i="26"/>
  <c r="F28" i="26"/>
  <c r="E22" i="26"/>
  <c r="I25" i="28" l="1"/>
  <c r="J26" i="28"/>
  <c r="J24" i="28"/>
  <c r="J27" i="28" s="1"/>
  <c r="H38" i="28"/>
  <c r="H44" i="28" s="1"/>
  <c r="H46" i="28" s="1"/>
  <c r="H47" i="28" s="1"/>
  <c r="H37" i="28"/>
  <c r="H56" i="28" s="1"/>
  <c r="H57" i="28" s="1"/>
  <c r="H22" i="28"/>
  <c r="K33" i="28"/>
  <c r="K23" i="28"/>
  <c r="L17" i="28"/>
  <c r="I28" i="28"/>
  <c r="G48" i="28"/>
  <c r="H48" i="28" s="1"/>
  <c r="G30" i="28"/>
  <c r="G29" i="28"/>
  <c r="E37" i="26"/>
  <c r="H26" i="26"/>
  <c r="H24" i="26"/>
  <c r="H27" i="26" s="1"/>
  <c r="F38" i="26"/>
  <c r="F44" i="26" s="1"/>
  <c r="F46" i="26" s="1"/>
  <c r="F47" i="26" s="1"/>
  <c r="F37" i="26"/>
  <c r="F56" i="26" s="1"/>
  <c r="F22" i="26"/>
  <c r="E56" i="26"/>
  <c r="I33" i="26"/>
  <c r="I23" i="26"/>
  <c r="J17" i="26"/>
  <c r="G25" i="26"/>
  <c r="D29" i="26"/>
  <c r="D30" i="26" s="1"/>
  <c r="E30" i="26"/>
  <c r="E29" i="26"/>
  <c r="D56" i="26"/>
  <c r="D57" i="26" s="1"/>
  <c r="E57" i="26" s="1"/>
  <c r="L33" i="28" l="1"/>
  <c r="L23" i="28"/>
  <c r="M17" i="28"/>
  <c r="J28" i="28"/>
  <c r="K24" i="28"/>
  <c r="K27" i="28" s="1"/>
  <c r="K26" i="28"/>
  <c r="I38" i="28"/>
  <c r="I44" i="28" s="1"/>
  <c r="I46" i="28" s="1"/>
  <c r="I47" i="28" s="1"/>
  <c r="I48" i="28" s="1"/>
  <c r="I37" i="28"/>
  <c r="I56" i="28" s="1"/>
  <c r="I57" i="28" s="1"/>
  <c r="I22" i="28"/>
  <c r="H29" i="28"/>
  <c r="H30" i="28" s="1"/>
  <c r="J25" i="28"/>
  <c r="F57" i="26"/>
  <c r="J33" i="26"/>
  <c r="J23" i="26"/>
  <c r="K17" i="26"/>
  <c r="F29" i="26"/>
  <c r="F30" i="26" s="1"/>
  <c r="H25" i="26"/>
  <c r="I26" i="26"/>
  <c r="I24" i="26"/>
  <c r="I27" i="26" s="1"/>
  <c r="H28" i="26"/>
  <c r="G38" i="26"/>
  <c r="G44" i="26" s="1"/>
  <c r="G46" i="26" s="1"/>
  <c r="G47" i="26" s="1"/>
  <c r="G37" i="26"/>
  <c r="G22" i="26"/>
  <c r="J38" i="28" l="1"/>
  <c r="J44" i="28" s="1"/>
  <c r="J46" i="28" s="1"/>
  <c r="J47" i="28" s="1"/>
  <c r="J48" i="28" s="1"/>
  <c r="J37" i="28"/>
  <c r="J22" i="28"/>
  <c r="L26" i="28"/>
  <c r="L28" i="28" s="1"/>
  <c r="L25" i="28"/>
  <c r="L24" i="28"/>
  <c r="L27" i="28" s="1"/>
  <c r="K28" i="28"/>
  <c r="I29" i="28"/>
  <c r="I30" i="28" s="1"/>
  <c r="K25" i="28"/>
  <c r="M33" i="28"/>
  <c r="M23" i="28"/>
  <c r="N17" i="28"/>
  <c r="H37" i="26"/>
  <c r="H38" i="26"/>
  <c r="H44" i="26" s="1"/>
  <c r="H46" i="26" s="1"/>
  <c r="H47" i="26" s="1"/>
  <c r="H22" i="26"/>
  <c r="J26" i="26"/>
  <c r="J24" i="26"/>
  <c r="J27" i="26" s="1"/>
  <c r="K33" i="26"/>
  <c r="L17" i="26"/>
  <c r="K23" i="26"/>
  <c r="G29" i="26"/>
  <c r="G30" i="26" s="1"/>
  <c r="G56" i="26"/>
  <c r="G57" i="26" s="1"/>
  <c r="I25" i="26"/>
  <c r="I28" i="26"/>
  <c r="M26" i="28" l="1"/>
  <c r="M24" i="28"/>
  <c r="M27" i="28" s="1"/>
  <c r="J29" i="28"/>
  <c r="J30" i="28"/>
  <c r="N23" i="28"/>
  <c r="O17" i="28"/>
  <c r="N33" i="28"/>
  <c r="L38" i="28"/>
  <c r="L44" i="28" s="1"/>
  <c r="L46" i="28" s="1"/>
  <c r="L47" i="28" s="1"/>
  <c r="L37" i="28"/>
  <c r="L56" i="28" s="1"/>
  <c r="L22" i="28"/>
  <c r="K38" i="28"/>
  <c r="K44" i="28" s="1"/>
  <c r="K46" i="28" s="1"/>
  <c r="K47" i="28" s="1"/>
  <c r="K48" i="28" s="1"/>
  <c r="L48" i="28" s="1"/>
  <c r="K37" i="28"/>
  <c r="K56" i="28" s="1"/>
  <c r="K22" i="28"/>
  <c r="J56" i="28"/>
  <c r="J57" i="28" s="1"/>
  <c r="J28" i="26"/>
  <c r="H29" i="26"/>
  <c r="H30" i="26" s="1"/>
  <c r="L33" i="26"/>
  <c r="L23" i="26"/>
  <c r="M17" i="26"/>
  <c r="I22" i="26"/>
  <c r="I37" i="26"/>
  <c r="I38" i="26"/>
  <c r="I44" i="26" s="1"/>
  <c r="I46" i="26" s="1"/>
  <c r="I47" i="26" s="1"/>
  <c r="K24" i="26"/>
  <c r="K27" i="26" s="1"/>
  <c r="K26" i="26"/>
  <c r="J25" i="26"/>
  <c r="H56" i="26"/>
  <c r="H57" i="26" s="1"/>
  <c r="M28" i="28" l="1"/>
  <c r="K29" i="28"/>
  <c r="K30" i="28" s="1"/>
  <c r="N26" i="28"/>
  <c r="N24" i="28"/>
  <c r="N27" i="28" s="1"/>
  <c r="M25" i="28"/>
  <c r="K57" i="28"/>
  <c r="L57" i="28" s="1"/>
  <c r="L29" i="28"/>
  <c r="L30" i="28" s="1"/>
  <c r="O33" i="28"/>
  <c r="P17" i="28"/>
  <c r="O23" i="28"/>
  <c r="K25" i="26"/>
  <c r="K38" i="26" s="1"/>
  <c r="K44" i="26" s="1"/>
  <c r="K46" i="26" s="1"/>
  <c r="K47" i="26" s="1"/>
  <c r="M23" i="26"/>
  <c r="M33" i="26"/>
  <c r="N17" i="26"/>
  <c r="J38" i="26"/>
  <c r="J44" i="26" s="1"/>
  <c r="J46" i="26" s="1"/>
  <c r="J47" i="26" s="1"/>
  <c r="J37" i="26"/>
  <c r="J22" i="26"/>
  <c r="K28" i="26"/>
  <c r="I56" i="26"/>
  <c r="I57" i="26" s="1"/>
  <c r="L24" i="26"/>
  <c r="L27" i="26" s="1"/>
  <c r="L26" i="26"/>
  <c r="L28" i="26" s="1"/>
  <c r="K37" i="26"/>
  <c r="K22" i="26"/>
  <c r="I29" i="26"/>
  <c r="I30" i="26" s="1"/>
  <c r="M38" i="28" l="1"/>
  <c r="M44" i="28" s="1"/>
  <c r="M46" i="28" s="1"/>
  <c r="M47" i="28" s="1"/>
  <c r="M48" i="28" s="1"/>
  <c r="M37" i="28"/>
  <c r="M56" i="28" s="1"/>
  <c r="M22" i="28"/>
  <c r="O25" i="28"/>
  <c r="O26" i="28"/>
  <c r="O28" i="28" s="1"/>
  <c r="O24" i="28"/>
  <c r="O27" i="28" s="1"/>
  <c r="P33" i="28"/>
  <c r="Q17" i="28"/>
  <c r="P23" i="28"/>
  <c r="M57" i="28"/>
  <c r="N25" i="28"/>
  <c r="N28" i="28"/>
  <c r="L25" i="26"/>
  <c r="L38" i="26" s="1"/>
  <c r="L44" i="26" s="1"/>
  <c r="L46" i="26" s="1"/>
  <c r="L47" i="26" s="1"/>
  <c r="N33" i="26"/>
  <c r="N23" i="26"/>
  <c r="O17" i="26"/>
  <c r="M26" i="26"/>
  <c r="M24" i="26"/>
  <c r="M27" i="26" s="1"/>
  <c r="K29" i="26"/>
  <c r="K30" i="26" s="1"/>
  <c r="J29" i="26"/>
  <c r="J30" i="26" s="1"/>
  <c r="K56" i="26"/>
  <c r="J56" i="26"/>
  <c r="J57" i="26" s="1"/>
  <c r="K57" i="26" s="1"/>
  <c r="O37" i="28" l="1"/>
  <c r="O38" i="28"/>
  <c r="O22" i="28"/>
  <c r="N37" i="28"/>
  <c r="N56" i="28" s="1"/>
  <c r="N57" i="28" s="1"/>
  <c r="N38" i="28"/>
  <c r="N44" i="28" s="1"/>
  <c r="N46" i="28" s="1"/>
  <c r="N47" i="28" s="1"/>
  <c r="N22" i="28"/>
  <c r="M30" i="28"/>
  <c r="M29" i="28"/>
  <c r="Q33" i="28"/>
  <c r="Q23" i="28"/>
  <c r="R17" i="28"/>
  <c r="P26" i="28"/>
  <c r="P28" i="28" s="1"/>
  <c r="P24" i="28"/>
  <c r="P27" i="28" s="1"/>
  <c r="N48" i="28"/>
  <c r="L22" i="26"/>
  <c r="L29" i="26" s="1"/>
  <c r="L30" i="26" s="1"/>
  <c r="L37" i="26"/>
  <c r="L56" i="26" s="1"/>
  <c r="L57" i="26" s="1"/>
  <c r="M25" i="26"/>
  <c r="M37" i="26" s="1"/>
  <c r="M28" i="26"/>
  <c r="M22" i="26"/>
  <c r="O33" i="26"/>
  <c r="P17" i="26"/>
  <c r="O23" i="26"/>
  <c r="N26" i="26"/>
  <c r="N24" i="26"/>
  <c r="N27" i="26" s="1"/>
  <c r="R33" i="28" l="1"/>
  <c r="R23" i="28"/>
  <c r="S17" i="28"/>
  <c r="P25" i="28"/>
  <c r="Q26" i="28"/>
  <c r="Q24" i="28"/>
  <c r="Q27" i="28" s="1"/>
  <c r="O29" i="28"/>
  <c r="O30" i="28" s="1"/>
  <c r="N29" i="28"/>
  <c r="N30" i="28" s="1"/>
  <c r="O56" i="28"/>
  <c r="O57" i="28" s="1"/>
  <c r="M38" i="26"/>
  <c r="M44" i="26" s="1"/>
  <c r="M46" i="26" s="1"/>
  <c r="M47" i="26" s="1"/>
  <c r="M29" i="26"/>
  <c r="M30" i="26" s="1"/>
  <c r="N25" i="26"/>
  <c r="P33" i="26"/>
  <c r="P23" i="26"/>
  <c r="Q17" i="26"/>
  <c r="O26" i="26"/>
  <c r="O24" i="26"/>
  <c r="O27" i="26" s="1"/>
  <c r="N28" i="26"/>
  <c r="Q25" i="28" l="1"/>
  <c r="R26" i="28"/>
  <c r="R28" i="28" s="1"/>
  <c r="R25" i="28"/>
  <c r="R24" i="28"/>
  <c r="R27" i="28" s="1"/>
  <c r="S33" i="28"/>
  <c r="T17" i="28"/>
  <c r="S23" i="28"/>
  <c r="Q28" i="28"/>
  <c r="P38" i="28"/>
  <c r="P44" i="28" s="1"/>
  <c r="P46" i="28" s="1"/>
  <c r="P47" i="28" s="1"/>
  <c r="P37" i="28"/>
  <c r="P22" i="28"/>
  <c r="O28" i="26"/>
  <c r="M56" i="26"/>
  <c r="M57" i="26" s="1"/>
  <c r="Q23" i="26"/>
  <c r="Q33" i="26"/>
  <c r="R17" i="26"/>
  <c r="P24" i="26"/>
  <c r="P27" i="26" s="1"/>
  <c r="P26" i="26"/>
  <c r="N37" i="26"/>
  <c r="N38" i="26"/>
  <c r="N44" i="26" s="1"/>
  <c r="N46" i="26" s="1"/>
  <c r="N47" i="26" s="1"/>
  <c r="N22" i="26"/>
  <c r="O25" i="26"/>
  <c r="R38" i="28" l="1"/>
  <c r="R44" i="28" s="1"/>
  <c r="R46" i="28" s="1"/>
  <c r="R47" i="28" s="1"/>
  <c r="R22" i="28"/>
  <c r="R37" i="28"/>
  <c r="R56" i="28" s="1"/>
  <c r="P29" i="28"/>
  <c r="P30" i="28" s="1"/>
  <c r="S26" i="28"/>
  <c r="S28" i="28" s="1"/>
  <c r="S24" i="28"/>
  <c r="S27" i="28" s="1"/>
  <c r="Q38" i="28"/>
  <c r="Q44" i="28" s="1"/>
  <c r="Q46" i="28" s="1"/>
  <c r="Q47" i="28" s="1"/>
  <c r="Q37" i="28"/>
  <c r="Q56" i="28" s="1"/>
  <c r="Q22" i="28"/>
  <c r="P56" i="28"/>
  <c r="P57" i="28" s="1"/>
  <c r="T33" i="28"/>
  <c r="U17" i="28"/>
  <c r="T23" i="28"/>
  <c r="P25" i="26"/>
  <c r="P37" i="26"/>
  <c r="P22" i="26"/>
  <c r="N56" i="26"/>
  <c r="N57" i="26" s="1"/>
  <c r="R33" i="26"/>
  <c r="R23" i="26"/>
  <c r="S17" i="26"/>
  <c r="O38" i="26"/>
  <c r="O37" i="26"/>
  <c r="O22" i="26"/>
  <c r="P28" i="26"/>
  <c r="P38" i="26" s="1"/>
  <c r="P44" i="26" s="1"/>
  <c r="P46" i="26" s="1"/>
  <c r="P47" i="26" s="1"/>
  <c r="N29" i="26"/>
  <c r="N30" i="26" s="1"/>
  <c r="Q26" i="26"/>
  <c r="Q24" i="26"/>
  <c r="Q27" i="26" s="1"/>
  <c r="R29" i="28" l="1"/>
  <c r="R30" i="28"/>
  <c r="Q57" i="28"/>
  <c r="R57" i="28" s="1"/>
  <c r="S25" i="28"/>
  <c r="U33" i="28"/>
  <c r="U23" i="28"/>
  <c r="V17" i="28"/>
  <c r="T26" i="28"/>
  <c r="T24" i="28"/>
  <c r="T27" i="28" s="1"/>
  <c r="Q29" i="28"/>
  <c r="Q30" i="28" s="1"/>
  <c r="Q28" i="26"/>
  <c r="O56" i="26"/>
  <c r="O57" i="26"/>
  <c r="O29" i="26"/>
  <c r="O30" i="26" s="1"/>
  <c r="S33" i="26"/>
  <c r="T17" i="26"/>
  <c r="S23" i="26"/>
  <c r="P29" i="26"/>
  <c r="P30" i="26" s="1"/>
  <c r="R24" i="26"/>
  <c r="R27" i="26" s="1"/>
  <c r="R26" i="26"/>
  <c r="P56" i="26"/>
  <c r="P57" i="26" s="1"/>
  <c r="Q25" i="26"/>
  <c r="U26" i="28" l="1"/>
  <c r="U24" i="28"/>
  <c r="U27" i="28" s="1"/>
  <c r="T28" i="28"/>
  <c r="S38" i="28"/>
  <c r="S44" i="28" s="1"/>
  <c r="S46" i="28" s="1"/>
  <c r="S47" i="28" s="1"/>
  <c r="S37" i="28"/>
  <c r="S56" i="28" s="1"/>
  <c r="S22" i="28"/>
  <c r="T25" i="28"/>
  <c r="V33" i="28"/>
  <c r="V23" i="28"/>
  <c r="W17" i="28"/>
  <c r="S57" i="28"/>
  <c r="R28" i="26"/>
  <c r="R25" i="26"/>
  <c r="R38" i="26" s="1"/>
  <c r="R44" i="26" s="1"/>
  <c r="R46" i="26" s="1"/>
  <c r="R47" i="26" s="1"/>
  <c r="T33" i="26"/>
  <c r="U17" i="26"/>
  <c r="T23" i="26"/>
  <c r="Q38" i="26"/>
  <c r="Q44" i="26" s="1"/>
  <c r="Q46" i="26" s="1"/>
  <c r="Q47" i="26" s="1"/>
  <c r="Q22" i="26"/>
  <c r="Q37" i="26"/>
  <c r="S26" i="26"/>
  <c r="S24" i="26"/>
  <c r="S27" i="26" s="1"/>
  <c r="U25" i="28" l="1"/>
  <c r="W33" i="28"/>
  <c r="W23" i="28"/>
  <c r="X17" i="28"/>
  <c r="T38" i="28"/>
  <c r="T44" i="28" s="1"/>
  <c r="T46" i="28" s="1"/>
  <c r="T47" i="28" s="1"/>
  <c r="T37" i="28"/>
  <c r="T56" i="28" s="1"/>
  <c r="T57" i="28" s="1"/>
  <c r="T22" i="28"/>
  <c r="V26" i="28"/>
  <c r="V24" i="28"/>
  <c r="V27" i="28" s="1"/>
  <c r="S29" i="28"/>
  <c r="S30" i="28" s="1"/>
  <c r="U28" i="28"/>
  <c r="R37" i="26"/>
  <c r="R22" i="26"/>
  <c r="R29" i="26" s="1"/>
  <c r="R30" i="26" s="1"/>
  <c r="Q56" i="26"/>
  <c r="Q57" i="26" s="1"/>
  <c r="U23" i="26"/>
  <c r="U33" i="26"/>
  <c r="V17" i="26"/>
  <c r="T26" i="26"/>
  <c r="T24" i="26"/>
  <c r="T27" i="26" s="1"/>
  <c r="S25" i="26"/>
  <c r="Q29" i="26"/>
  <c r="Q30" i="26" s="1"/>
  <c r="S28" i="26"/>
  <c r="R56" i="26"/>
  <c r="R57" i="26" s="1"/>
  <c r="T29" i="28" l="1"/>
  <c r="T30" i="28" s="1"/>
  <c r="W24" i="28"/>
  <c r="W27" i="28" s="1"/>
  <c r="W26" i="28"/>
  <c r="W28" i="28" s="1"/>
  <c r="V25" i="28"/>
  <c r="U38" i="28"/>
  <c r="U44" i="28" s="1"/>
  <c r="U46" i="28" s="1"/>
  <c r="U47" i="28" s="1"/>
  <c r="U37" i="28"/>
  <c r="U56" i="28" s="1"/>
  <c r="U57" i="28" s="1"/>
  <c r="U22" i="28"/>
  <c r="V28" i="28"/>
  <c r="X33" i="28"/>
  <c r="Y17" i="28"/>
  <c r="X23" i="28"/>
  <c r="T28" i="26"/>
  <c r="V33" i="26"/>
  <c r="V23" i="26"/>
  <c r="W17" i="26"/>
  <c r="U26" i="26"/>
  <c r="U24" i="26"/>
  <c r="U27" i="26" s="1"/>
  <c r="S38" i="26"/>
  <c r="S44" i="26" s="1"/>
  <c r="S46" i="26" s="1"/>
  <c r="S47" i="26" s="1"/>
  <c r="S37" i="26"/>
  <c r="S22" i="26"/>
  <c r="T25" i="26"/>
  <c r="X26" i="28" l="1"/>
  <c r="X28" i="28" s="1"/>
  <c r="X24" i="28"/>
  <c r="X27" i="28" s="1"/>
  <c r="U29" i="28"/>
  <c r="U30" i="28" s="1"/>
  <c r="Y33" i="28"/>
  <c r="Y23" i="28"/>
  <c r="Z17" i="28"/>
  <c r="V37" i="28"/>
  <c r="V56" i="28" s="1"/>
  <c r="V57" i="28" s="1"/>
  <c r="V22" i="28"/>
  <c r="V38" i="28"/>
  <c r="V44" i="28" s="1"/>
  <c r="V46" i="28" s="1"/>
  <c r="V47" i="28" s="1"/>
  <c r="W25" i="28"/>
  <c r="V24" i="26"/>
  <c r="V27" i="26" s="1"/>
  <c r="V26" i="26"/>
  <c r="W33" i="26"/>
  <c r="X17" i="26"/>
  <c r="W23" i="26"/>
  <c r="T37" i="26"/>
  <c r="T22" i="26"/>
  <c r="T38" i="26"/>
  <c r="T44" i="26" s="1"/>
  <c r="T46" i="26" s="1"/>
  <c r="T47" i="26" s="1"/>
  <c r="S29" i="26"/>
  <c r="S30" i="26" s="1"/>
  <c r="U25" i="26"/>
  <c r="S56" i="26"/>
  <c r="S57" i="26" s="1"/>
  <c r="U28" i="26"/>
  <c r="Z33" i="28" l="1"/>
  <c r="AA17" i="28"/>
  <c r="Z23" i="28"/>
  <c r="W37" i="28"/>
  <c r="W38" i="28"/>
  <c r="W44" i="28" s="1"/>
  <c r="W46" i="28" s="1"/>
  <c r="W47" i="28" s="1"/>
  <c r="W22" i="28"/>
  <c r="Y26" i="28"/>
  <c r="Y24" i="28"/>
  <c r="Y27" i="28" s="1"/>
  <c r="V30" i="28"/>
  <c r="V29" i="28"/>
  <c r="X25" i="28"/>
  <c r="V28" i="26"/>
  <c r="T56" i="26"/>
  <c r="T57" i="26" s="1"/>
  <c r="T29" i="26"/>
  <c r="T30" i="26" s="1"/>
  <c r="W24" i="26"/>
  <c r="W27" i="26" s="1"/>
  <c r="W26" i="26"/>
  <c r="U22" i="26"/>
  <c r="U38" i="26"/>
  <c r="U44" i="26" s="1"/>
  <c r="U46" i="26" s="1"/>
  <c r="U47" i="26" s="1"/>
  <c r="U37" i="26"/>
  <c r="X33" i="26"/>
  <c r="X23" i="26"/>
  <c r="Y17" i="26"/>
  <c r="V25" i="26"/>
  <c r="G34" i="24"/>
  <c r="F34" i="24"/>
  <c r="E34" i="24"/>
  <c r="D34" i="24"/>
  <c r="C33" i="24"/>
  <c r="D16" i="25"/>
  <c r="E15" i="25"/>
  <c r="F15" i="25" s="1"/>
  <c r="E14" i="25"/>
  <c r="D13" i="25"/>
  <c r="E12" i="25"/>
  <c r="F12" i="25" s="1"/>
  <c r="E11" i="25"/>
  <c r="F11" i="25" s="1"/>
  <c r="E10" i="25"/>
  <c r="F10" i="25" s="1"/>
  <c r="E9" i="25"/>
  <c r="F9" i="25" s="1"/>
  <c r="E8" i="25"/>
  <c r="F8" i="25" s="1"/>
  <c r="D7" i="25"/>
  <c r="D17" i="25" s="1"/>
  <c r="E6" i="25"/>
  <c r="F6" i="25" s="1"/>
  <c r="E5" i="25"/>
  <c r="F5" i="25" s="1"/>
  <c r="E17" i="19"/>
  <c r="D17" i="19"/>
  <c r="E16" i="19"/>
  <c r="E5" i="24"/>
  <c r="C5" i="24"/>
  <c r="AY40" i="20"/>
  <c r="AM40" i="20"/>
  <c r="AA40" i="20"/>
  <c r="O40" i="20"/>
  <c r="C40" i="20"/>
  <c r="I12" i="19"/>
  <c r="H11" i="19"/>
  <c r="I11" i="19"/>
  <c r="E6" i="16"/>
  <c r="C6" i="16"/>
  <c r="G5" i="23"/>
  <c r="F5" i="23"/>
  <c r="E5" i="23"/>
  <c r="D5" i="23"/>
  <c r="C5" i="23"/>
  <c r="D3" i="23"/>
  <c r="E3" i="23"/>
  <c r="C7" i="23"/>
  <c r="F3" i="23"/>
  <c r="E7" i="23"/>
  <c r="D7" i="23"/>
  <c r="G3" i="23"/>
  <c r="G7" i="23"/>
  <c r="F7" i="23"/>
  <c r="AY40" i="9"/>
  <c r="C7" i="18"/>
  <c r="C8" i="18" s="1"/>
  <c r="D42" i="9" s="1"/>
  <c r="D7" i="18"/>
  <c r="O40" i="9" s="1"/>
  <c r="E7" i="18"/>
  <c r="AA40" i="9" s="1"/>
  <c r="F7" i="18"/>
  <c r="AM40" i="9" s="1"/>
  <c r="G7" i="18"/>
  <c r="J3" i="22"/>
  <c r="K3" i="22"/>
  <c r="L3" i="22"/>
  <c r="R3" i="22"/>
  <c r="M3" i="22"/>
  <c r="M16" i="22"/>
  <c r="J4" i="22"/>
  <c r="L4" i="22"/>
  <c r="K4" i="22"/>
  <c r="M4" i="22"/>
  <c r="J5" i="22"/>
  <c r="K5" i="22"/>
  <c r="L5" i="22"/>
  <c r="M5" i="22"/>
  <c r="J6" i="22"/>
  <c r="L6" i="22"/>
  <c r="K6" i="22"/>
  <c r="M6" i="22"/>
  <c r="N6" i="22"/>
  <c r="J7" i="22"/>
  <c r="L7" i="22"/>
  <c r="K7" i="22"/>
  <c r="M7" i="22"/>
  <c r="Q7" i="22"/>
  <c r="J8" i="22"/>
  <c r="K8" i="22"/>
  <c r="L8" i="22"/>
  <c r="M8" i="22"/>
  <c r="J9" i="22"/>
  <c r="L9" i="22"/>
  <c r="R9" i="22"/>
  <c r="K9" i="22"/>
  <c r="M9" i="22"/>
  <c r="Q9" i="22"/>
  <c r="J10" i="22"/>
  <c r="K10" i="22"/>
  <c r="L10" i="22"/>
  <c r="M10" i="22"/>
  <c r="J11" i="22"/>
  <c r="L11" i="22"/>
  <c r="K11" i="22"/>
  <c r="M11" i="22"/>
  <c r="J12" i="22"/>
  <c r="L12" i="22"/>
  <c r="K12" i="22"/>
  <c r="M12" i="22"/>
  <c r="Q12" i="22"/>
  <c r="J13" i="22"/>
  <c r="K13" i="22"/>
  <c r="L13" i="22"/>
  <c r="M13" i="22"/>
  <c r="J14" i="22"/>
  <c r="L14" i="22"/>
  <c r="K14" i="22"/>
  <c r="M14" i="22"/>
  <c r="N14" i="22"/>
  <c r="J15" i="22"/>
  <c r="L15" i="22"/>
  <c r="R15" i="22"/>
  <c r="K15" i="22"/>
  <c r="M15" i="22"/>
  <c r="Q15" i="22"/>
  <c r="P16" i="22"/>
  <c r="D18" i="22"/>
  <c r="N7" i="22"/>
  <c r="D20" i="22"/>
  <c r="D21" i="22"/>
  <c r="D22" i="22"/>
  <c r="D23" i="22"/>
  <c r="Q3" i="22"/>
  <c r="D24" i="22"/>
  <c r="O5" i="22"/>
  <c r="R7" i="22"/>
  <c r="R13" i="22"/>
  <c r="R4" i="22"/>
  <c r="O11" i="22"/>
  <c r="O16" i="22"/>
  <c r="N12" i="22"/>
  <c r="R12" i="22"/>
  <c r="Q4" i="22"/>
  <c r="Q16" i="22"/>
  <c r="L16" i="22"/>
  <c r="Q14" i="22"/>
  <c r="R14" i="22"/>
  <c r="Q13" i="22"/>
  <c r="Q10" i="22"/>
  <c r="R10" i="22"/>
  <c r="Q8" i="22"/>
  <c r="R8" i="22"/>
  <c r="Q5" i="22"/>
  <c r="R5" i="22"/>
  <c r="O14" i="22"/>
  <c r="Q11" i="22"/>
  <c r="Q6" i="22"/>
  <c r="R6" i="22"/>
  <c r="N16" i="22"/>
  <c r="R11" i="22"/>
  <c r="R16" i="22"/>
  <c r="P17" i="22"/>
  <c r="Q17" i="22"/>
  <c r="E19" i="19"/>
  <c r="F18" i="21"/>
  <c r="H13" i="21"/>
  <c r="H14" i="21"/>
  <c r="H15" i="21"/>
  <c r="F30" i="24" s="1"/>
  <c r="H16" i="21"/>
  <c r="AY42" i="20" s="1"/>
  <c r="H12" i="21"/>
  <c r="E41" i="20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AB41" i="20" s="1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E18" i="20"/>
  <c r="F18" i="20" s="1"/>
  <c r="D17" i="20"/>
  <c r="D10" i="20"/>
  <c r="E10" i="20" s="1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D9" i="20"/>
  <c r="C2" i="20"/>
  <c r="D33" i="20" s="1"/>
  <c r="D23" i="20"/>
  <c r="D26" i="20" s="1"/>
  <c r="E17" i="20"/>
  <c r="E9" i="20"/>
  <c r="F9" i="20" s="1"/>
  <c r="I9" i="19"/>
  <c r="E33" i="20"/>
  <c r="F17" i="20"/>
  <c r="E23" i="20"/>
  <c r="E26" i="20" s="1"/>
  <c r="E24" i="20"/>
  <c r="E27" i="20" s="1"/>
  <c r="F33" i="20"/>
  <c r="F23" i="20"/>
  <c r="F24" i="20" s="1"/>
  <c r="I8" i="19"/>
  <c r="E25" i="20"/>
  <c r="E22" i="20" s="1"/>
  <c r="E15" i="19"/>
  <c r="I5" i="19"/>
  <c r="E13" i="19"/>
  <c r="D10" i="19"/>
  <c r="E10" i="19"/>
  <c r="E5" i="19"/>
  <c r="D5" i="19"/>
  <c r="H5" i="19"/>
  <c r="C11" i="16"/>
  <c r="E5" i="16"/>
  <c r="E4" i="16"/>
  <c r="C4" i="16"/>
  <c r="E3" i="16"/>
  <c r="C3" i="16"/>
  <c r="D9" i="9"/>
  <c r="D10" i="9"/>
  <c r="E10" i="9"/>
  <c r="I13" i="12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K6" i="12"/>
  <c r="K7" i="12"/>
  <c r="K8" i="12"/>
  <c r="K9" i="12"/>
  <c r="K10" i="12"/>
  <c r="K11" i="12"/>
  <c r="K12" i="12"/>
  <c r="K5" i="12"/>
  <c r="I5" i="12"/>
  <c r="I6" i="12"/>
  <c r="I7" i="12"/>
  <c r="I8" i="12"/>
  <c r="I9" i="12"/>
  <c r="I10" i="12"/>
  <c r="I11" i="12"/>
  <c r="I12" i="12"/>
  <c r="I4" i="12"/>
  <c r="D17" i="9"/>
  <c r="E17" i="9"/>
  <c r="D23" i="9"/>
  <c r="E9" i="9"/>
  <c r="F10" i="9"/>
  <c r="D5" i="12"/>
  <c r="D6" i="12"/>
  <c r="D7" i="12"/>
  <c r="D8" i="12"/>
  <c r="D9" i="12"/>
  <c r="D10" i="12"/>
  <c r="D11" i="12"/>
  <c r="D12" i="12"/>
  <c r="D4" i="12"/>
  <c r="L17" i="11"/>
  <c r="M17" i="11"/>
  <c r="K17" i="11"/>
  <c r="I17" i="11"/>
  <c r="E17" i="11"/>
  <c r="L16" i="11"/>
  <c r="M16" i="11"/>
  <c r="K16" i="11"/>
  <c r="I16" i="11"/>
  <c r="E16" i="11"/>
  <c r="L15" i="11"/>
  <c r="M15" i="11"/>
  <c r="K15" i="11"/>
  <c r="I15" i="11"/>
  <c r="E15" i="11"/>
  <c r="M14" i="11"/>
  <c r="L14" i="11"/>
  <c r="K14" i="11"/>
  <c r="I14" i="11"/>
  <c r="E14" i="11"/>
  <c r="L13" i="11"/>
  <c r="M13" i="11"/>
  <c r="K13" i="11"/>
  <c r="I13" i="11"/>
  <c r="E13" i="11"/>
  <c r="L12" i="11"/>
  <c r="M12" i="11"/>
  <c r="K12" i="11"/>
  <c r="I12" i="11"/>
  <c r="E12" i="11"/>
  <c r="L11" i="11"/>
  <c r="M11" i="11"/>
  <c r="K11" i="11"/>
  <c r="I11" i="11"/>
  <c r="E11" i="11"/>
  <c r="M10" i="11"/>
  <c r="L10" i="11"/>
  <c r="K10" i="11"/>
  <c r="I10" i="11"/>
  <c r="E10" i="11"/>
  <c r="L9" i="11"/>
  <c r="M9" i="11"/>
  <c r="K9" i="11"/>
  <c r="I9" i="11"/>
  <c r="E9" i="11"/>
  <c r="L8" i="11"/>
  <c r="M8" i="11"/>
  <c r="K8" i="11"/>
  <c r="I8" i="11"/>
  <c r="E8" i="11"/>
  <c r="L7" i="11"/>
  <c r="M7" i="11"/>
  <c r="K7" i="11"/>
  <c r="I7" i="11"/>
  <c r="E7" i="11"/>
  <c r="M6" i="11"/>
  <c r="L6" i="11"/>
  <c r="K6" i="11"/>
  <c r="I6" i="11"/>
  <c r="E6" i="11"/>
  <c r="J81" i="10"/>
  <c r="N80" i="10"/>
  <c r="J80" i="10"/>
  <c r="N79" i="10"/>
  <c r="N78" i="10"/>
  <c r="J78" i="10"/>
  <c r="J77" i="10"/>
  <c r="J76" i="10"/>
  <c r="N74" i="10"/>
  <c r="J74" i="10"/>
  <c r="J73" i="10"/>
  <c r="J72" i="10"/>
  <c r="N70" i="10"/>
  <c r="J70" i="10"/>
  <c r="L62" i="10"/>
  <c r="M62" i="10"/>
  <c r="K62" i="10"/>
  <c r="J62" i="10"/>
  <c r="H62" i="10"/>
  <c r="I62" i="10"/>
  <c r="G62" i="10"/>
  <c r="F62" i="10"/>
  <c r="D62" i="10"/>
  <c r="E62" i="10"/>
  <c r="C62" i="10"/>
  <c r="B62" i="10"/>
  <c r="L61" i="10"/>
  <c r="M61" i="10"/>
  <c r="K61" i="10"/>
  <c r="J61" i="10"/>
  <c r="H61" i="10"/>
  <c r="I61" i="10"/>
  <c r="G61" i="10"/>
  <c r="F61" i="10"/>
  <c r="D61" i="10"/>
  <c r="E61" i="10"/>
  <c r="C61" i="10"/>
  <c r="B61" i="10"/>
  <c r="P60" i="10"/>
  <c r="Q60" i="10"/>
  <c r="O60" i="10"/>
  <c r="O81" i="10"/>
  <c r="N60" i="10"/>
  <c r="N81" i="10"/>
  <c r="M60" i="10"/>
  <c r="I60" i="10"/>
  <c r="E60" i="10"/>
  <c r="Q59" i="10"/>
  <c r="P59" i="10"/>
  <c r="P80" i="10"/>
  <c r="Q80" i="10"/>
  <c r="O59" i="10"/>
  <c r="O80" i="10"/>
  <c r="N59" i="10"/>
  <c r="M59" i="10"/>
  <c r="I59" i="10"/>
  <c r="E59" i="10"/>
  <c r="P58" i="10"/>
  <c r="O58" i="10"/>
  <c r="O79" i="10"/>
  <c r="N58" i="10"/>
  <c r="M58" i="10"/>
  <c r="I58" i="10"/>
  <c r="E58" i="10"/>
  <c r="P57" i="10"/>
  <c r="P78" i="10"/>
  <c r="O57" i="10"/>
  <c r="N57" i="10"/>
  <c r="M57" i="10"/>
  <c r="I57" i="10"/>
  <c r="E57" i="10"/>
  <c r="P56" i="10"/>
  <c r="Q56" i="10"/>
  <c r="O56" i="10"/>
  <c r="O77" i="10"/>
  <c r="N56" i="10"/>
  <c r="N77" i="10"/>
  <c r="M56" i="10"/>
  <c r="I56" i="10"/>
  <c r="E56" i="10"/>
  <c r="P55" i="10"/>
  <c r="P76" i="10"/>
  <c r="O55" i="10"/>
  <c r="O76" i="10"/>
  <c r="N55" i="10"/>
  <c r="N76" i="10"/>
  <c r="M55" i="10"/>
  <c r="I55" i="10"/>
  <c r="E55" i="10"/>
  <c r="P54" i="10"/>
  <c r="P75" i="10"/>
  <c r="Q75" i="10"/>
  <c r="O54" i="10"/>
  <c r="O75" i="10"/>
  <c r="N54" i="10"/>
  <c r="N75" i="10"/>
  <c r="M54" i="10"/>
  <c r="I54" i="10"/>
  <c r="E54" i="10"/>
  <c r="Q53" i="10"/>
  <c r="P53" i="10"/>
  <c r="P74" i="10"/>
  <c r="O53" i="10"/>
  <c r="O74" i="10"/>
  <c r="N53" i="10"/>
  <c r="M53" i="10"/>
  <c r="I53" i="10"/>
  <c r="E53" i="10"/>
  <c r="P52" i="10"/>
  <c r="O52" i="10"/>
  <c r="O73" i="10"/>
  <c r="N52" i="10"/>
  <c r="N73" i="10"/>
  <c r="M52" i="10"/>
  <c r="I52" i="10"/>
  <c r="E52" i="10"/>
  <c r="Q51" i="10"/>
  <c r="P51" i="10"/>
  <c r="P72" i="10"/>
  <c r="Q72" i="10"/>
  <c r="O51" i="10"/>
  <c r="O72" i="10"/>
  <c r="N51" i="10"/>
  <c r="N72" i="10"/>
  <c r="M51" i="10"/>
  <c r="I51" i="10"/>
  <c r="E51" i="10"/>
  <c r="Q50" i="10"/>
  <c r="P50" i="10"/>
  <c r="P71" i="10"/>
  <c r="O50" i="10"/>
  <c r="O71" i="10"/>
  <c r="N50" i="10"/>
  <c r="N61" i="10"/>
  <c r="M50" i="10"/>
  <c r="I50" i="10"/>
  <c r="E50" i="10"/>
  <c r="P49" i="10"/>
  <c r="Q49" i="10"/>
  <c r="O49" i="10"/>
  <c r="N49" i="10"/>
  <c r="M49" i="10"/>
  <c r="I49" i="10"/>
  <c r="E49" i="10"/>
  <c r="P41" i="10"/>
  <c r="Q41" i="10"/>
  <c r="O41" i="10"/>
  <c r="N41" i="10"/>
  <c r="P40" i="10"/>
  <c r="O40" i="10"/>
  <c r="Q40" i="10"/>
  <c r="N40" i="10"/>
  <c r="Q39" i="10"/>
  <c r="L39" i="10"/>
  <c r="L81" i="10"/>
  <c r="M81" i="10"/>
  <c r="K39" i="10"/>
  <c r="K81" i="10"/>
  <c r="J39" i="10"/>
  <c r="H39" i="10"/>
  <c r="H81" i="10"/>
  <c r="I81" i="10"/>
  <c r="G39" i="10"/>
  <c r="G81" i="10"/>
  <c r="F39" i="10"/>
  <c r="F81" i="10"/>
  <c r="D39" i="10"/>
  <c r="D81" i="10"/>
  <c r="C39" i="10"/>
  <c r="C81" i="10"/>
  <c r="C102" i="10"/>
  <c r="B39" i="10"/>
  <c r="B81" i="10"/>
  <c r="B102" i="10"/>
  <c r="Q38" i="10"/>
  <c r="M38" i="10"/>
  <c r="L38" i="10"/>
  <c r="L80" i="10"/>
  <c r="M80" i="10"/>
  <c r="K38" i="10"/>
  <c r="K80" i="10"/>
  <c r="J38" i="10"/>
  <c r="I38" i="10"/>
  <c r="H38" i="10"/>
  <c r="H80" i="10"/>
  <c r="I80" i="10"/>
  <c r="G38" i="10"/>
  <c r="G80" i="10"/>
  <c r="F38" i="10"/>
  <c r="F80" i="10"/>
  <c r="E38" i="10"/>
  <c r="D38" i="10"/>
  <c r="D80" i="10"/>
  <c r="C38" i="10"/>
  <c r="C80" i="10"/>
  <c r="C101" i="10"/>
  <c r="B38" i="10"/>
  <c r="B80" i="10"/>
  <c r="B101" i="10"/>
  <c r="Q37" i="10"/>
  <c r="L37" i="10"/>
  <c r="L79" i="10"/>
  <c r="M79" i="10"/>
  <c r="K37" i="10"/>
  <c r="K79" i="10"/>
  <c r="J37" i="10"/>
  <c r="J79" i="10"/>
  <c r="H37" i="10"/>
  <c r="H79" i="10"/>
  <c r="I79" i="10"/>
  <c r="G37" i="10"/>
  <c r="G79" i="10"/>
  <c r="F37" i="10"/>
  <c r="F79" i="10"/>
  <c r="D37" i="10"/>
  <c r="D79" i="10"/>
  <c r="C37" i="10"/>
  <c r="C79" i="10"/>
  <c r="C100" i="10"/>
  <c r="B37" i="10"/>
  <c r="B79" i="10"/>
  <c r="B100" i="10"/>
  <c r="Q36" i="10"/>
  <c r="K36" i="10"/>
  <c r="K78" i="10"/>
  <c r="J36" i="10"/>
  <c r="G36" i="10"/>
  <c r="G78" i="10"/>
  <c r="F36" i="10"/>
  <c r="F78" i="10"/>
  <c r="C36" i="10"/>
  <c r="C78" i="10"/>
  <c r="C99" i="10"/>
  <c r="B36" i="10"/>
  <c r="B78" i="10"/>
  <c r="B99" i="10"/>
  <c r="Q35" i="10"/>
  <c r="K35" i="10"/>
  <c r="K77" i="10"/>
  <c r="J35" i="10"/>
  <c r="G35" i="10"/>
  <c r="G77" i="10"/>
  <c r="F35" i="10"/>
  <c r="F77" i="10"/>
  <c r="C35" i="10"/>
  <c r="C77" i="10"/>
  <c r="C98" i="10"/>
  <c r="B35" i="10"/>
  <c r="B77" i="10"/>
  <c r="B98" i="10"/>
  <c r="Q34" i="10"/>
  <c r="K34" i="10"/>
  <c r="K76" i="10"/>
  <c r="J34" i="10"/>
  <c r="G34" i="10"/>
  <c r="G76" i="10"/>
  <c r="F34" i="10"/>
  <c r="F76" i="10"/>
  <c r="C34" i="10"/>
  <c r="C76" i="10"/>
  <c r="C97" i="10"/>
  <c r="B34" i="10"/>
  <c r="B76" i="10"/>
  <c r="B97" i="10"/>
  <c r="Q33" i="10"/>
  <c r="K33" i="10"/>
  <c r="K75" i="10"/>
  <c r="J33" i="10"/>
  <c r="J75" i="10"/>
  <c r="G33" i="10"/>
  <c r="G75" i="10"/>
  <c r="F33" i="10"/>
  <c r="F75" i="10"/>
  <c r="C33" i="10"/>
  <c r="C75" i="10"/>
  <c r="C96" i="10"/>
  <c r="B33" i="10"/>
  <c r="B75" i="10"/>
  <c r="B96" i="10"/>
  <c r="Q32" i="10"/>
  <c r="K32" i="10"/>
  <c r="K74" i="10"/>
  <c r="J32" i="10"/>
  <c r="G32" i="10"/>
  <c r="G74" i="10"/>
  <c r="F32" i="10"/>
  <c r="F74" i="10"/>
  <c r="C32" i="10"/>
  <c r="C74" i="10"/>
  <c r="C95" i="10"/>
  <c r="B32" i="10"/>
  <c r="B74" i="10"/>
  <c r="B95" i="10"/>
  <c r="Q31" i="10"/>
  <c r="K31" i="10"/>
  <c r="K73" i="10"/>
  <c r="J31" i="10"/>
  <c r="G31" i="10"/>
  <c r="G73" i="10"/>
  <c r="F31" i="10"/>
  <c r="F73" i="10"/>
  <c r="C31" i="10"/>
  <c r="C73" i="10"/>
  <c r="C94" i="10"/>
  <c r="B31" i="10"/>
  <c r="B73" i="10"/>
  <c r="B94" i="10"/>
  <c r="Q30" i="10"/>
  <c r="K30" i="10"/>
  <c r="K72" i="10"/>
  <c r="J30" i="10"/>
  <c r="G30" i="10"/>
  <c r="G72" i="10"/>
  <c r="F30" i="10"/>
  <c r="F72" i="10"/>
  <c r="C30" i="10"/>
  <c r="C72" i="10"/>
  <c r="C93" i="10"/>
  <c r="B30" i="10"/>
  <c r="B72" i="10"/>
  <c r="B93" i="10"/>
  <c r="Q29" i="10"/>
  <c r="K29" i="10"/>
  <c r="K71" i="10"/>
  <c r="J29" i="10"/>
  <c r="J71" i="10"/>
  <c r="G29" i="10"/>
  <c r="G71" i="10"/>
  <c r="F29" i="10"/>
  <c r="F71" i="10"/>
  <c r="C29" i="10"/>
  <c r="C71" i="10"/>
  <c r="C92" i="10"/>
  <c r="B29" i="10"/>
  <c r="B71" i="10"/>
  <c r="B92" i="10"/>
  <c r="Q28" i="10"/>
  <c r="K28" i="10"/>
  <c r="K70" i="10"/>
  <c r="J28" i="10"/>
  <c r="J40" i="10"/>
  <c r="G28" i="10"/>
  <c r="G70" i="10"/>
  <c r="F28" i="10"/>
  <c r="F70" i="10"/>
  <c r="C28" i="10"/>
  <c r="C70" i="10"/>
  <c r="B28" i="10"/>
  <c r="B41" i="10"/>
  <c r="O20" i="10"/>
  <c r="N20" i="10"/>
  <c r="L20" i="10"/>
  <c r="K20" i="10"/>
  <c r="M20" i="10"/>
  <c r="J20" i="10"/>
  <c r="H20" i="10"/>
  <c r="G20" i="10"/>
  <c r="I20" i="10"/>
  <c r="F20" i="10"/>
  <c r="D20" i="10"/>
  <c r="C20" i="10"/>
  <c r="E20" i="10"/>
  <c r="B20" i="10"/>
  <c r="O19" i="10"/>
  <c r="N19" i="10"/>
  <c r="L19" i="10"/>
  <c r="K19" i="10"/>
  <c r="M19" i="10"/>
  <c r="J19" i="10"/>
  <c r="H19" i="10"/>
  <c r="G19" i="10"/>
  <c r="I19" i="10"/>
  <c r="F19" i="10"/>
  <c r="D19" i="10"/>
  <c r="C19" i="10"/>
  <c r="E19" i="10"/>
  <c r="B19" i="10"/>
  <c r="Q18" i="10"/>
  <c r="M18" i="10"/>
  <c r="I18" i="10"/>
  <c r="E18" i="10"/>
  <c r="Q17" i="10"/>
  <c r="M17" i="10"/>
  <c r="I17" i="10"/>
  <c r="E17" i="10"/>
  <c r="Q16" i="10"/>
  <c r="M16" i="10"/>
  <c r="I16" i="10"/>
  <c r="E16" i="10"/>
  <c r="Q15" i="10"/>
  <c r="P15" i="10"/>
  <c r="L36" i="10"/>
  <c r="M15" i="10"/>
  <c r="I15" i="10"/>
  <c r="E15" i="10"/>
  <c r="P14" i="10"/>
  <c r="Q14" i="10"/>
  <c r="M14" i="10"/>
  <c r="I14" i="10"/>
  <c r="E14" i="10"/>
  <c r="Q13" i="10"/>
  <c r="P13" i="10"/>
  <c r="L34" i="10"/>
  <c r="M13" i="10"/>
  <c r="I13" i="10"/>
  <c r="E13" i="10"/>
  <c r="P12" i="10"/>
  <c r="Q12" i="10"/>
  <c r="M12" i="10"/>
  <c r="I12" i="10"/>
  <c r="E12" i="10"/>
  <c r="Q11" i="10"/>
  <c r="P11" i="10"/>
  <c r="L32" i="10"/>
  <c r="M11" i="10"/>
  <c r="I11" i="10"/>
  <c r="E11" i="10"/>
  <c r="P10" i="10"/>
  <c r="Q10" i="10"/>
  <c r="M10" i="10"/>
  <c r="I10" i="10"/>
  <c r="E10" i="10"/>
  <c r="Q9" i="10"/>
  <c r="P9" i="10"/>
  <c r="L30" i="10"/>
  <c r="M9" i="10"/>
  <c r="I9" i="10"/>
  <c r="E9" i="10"/>
  <c r="P8" i="10"/>
  <c r="Q8" i="10"/>
  <c r="M8" i="10"/>
  <c r="I8" i="10"/>
  <c r="E8" i="10"/>
  <c r="Q7" i="10"/>
  <c r="P7" i="10"/>
  <c r="L28" i="10"/>
  <c r="M7" i="10"/>
  <c r="I7" i="10"/>
  <c r="E7" i="10"/>
  <c r="D24" i="9"/>
  <c r="D27" i="9"/>
  <c r="E26" i="9"/>
  <c r="E23" i="9"/>
  <c r="E24" i="9"/>
  <c r="F17" i="9"/>
  <c r="D26" i="9"/>
  <c r="F9" i="9"/>
  <c r="G10" i="9"/>
  <c r="L74" i="10"/>
  <c r="M74" i="10"/>
  <c r="M32" i="10"/>
  <c r="L76" i="10"/>
  <c r="M76" i="10"/>
  <c r="M34" i="10"/>
  <c r="L78" i="10"/>
  <c r="M78" i="10"/>
  <c r="M36" i="10"/>
  <c r="J83" i="10"/>
  <c r="F83" i="10"/>
  <c r="F82" i="10"/>
  <c r="L70" i="10"/>
  <c r="M28" i="10"/>
  <c r="L72" i="10"/>
  <c r="M72" i="10"/>
  <c r="M30" i="10"/>
  <c r="C91" i="10"/>
  <c r="C83" i="10"/>
  <c r="C82" i="10"/>
  <c r="K83" i="10"/>
  <c r="K82" i="10"/>
  <c r="D31" i="10"/>
  <c r="H31" i="10"/>
  <c r="L31" i="10"/>
  <c r="D35" i="10"/>
  <c r="H35" i="10"/>
  <c r="L35" i="10"/>
  <c r="E81" i="10"/>
  <c r="D102" i="10"/>
  <c r="E102" i="10"/>
  <c r="G40" i="10"/>
  <c r="K40" i="10"/>
  <c r="C41" i="10"/>
  <c r="J82" i="10"/>
  <c r="P19" i="10"/>
  <c r="Q19" i="10"/>
  <c r="P20" i="10"/>
  <c r="Q20" i="10"/>
  <c r="D28" i="10"/>
  <c r="H28" i="10"/>
  <c r="D32" i="10"/>
  <c r="H32" i="10"/>
  <c r="D36" i="10"/>
  <c r="H36" i="10"/>
  <c r="E39" i="10"/>
  <c r="I39" i="10"/>
  <c r="M39" i="10"/>
  <c r="J41" i="10"/>
  <c r="Q52" i="10"/>
  <c r="P73" i="10"/>
  <c r="Q73" i="10"/>
  <c r="Q76" i="10"/>
  <c r="Q57" i="10"/>
  <c r="O78" i="10"/>
  <c r="N62" i="10"/>
  <c r="N71" i="10"/>
  <c r="N82" i="10"/>
  <c r="G83" i="10"/>
  <c r="G82" i="10"/>
  <c r="C40" i="10"/>
  <c r="P70" i="10"/>
  <c r="P62" i="10"/>
  <c r="P61" i="10"/>
  <c r="P79" i="10"/>
  <c r="Q79" i="10"/>
  <c r="Q58" i="10"/>
  <c r="D29" i="10"/>
  <c r="H29" i="10"/>
  <c r="L29" i="10"/>
  <c r="D33" i="10"/>
  <c r="H33" i="10"/>
  <c r="L33" i="10"/>
  <c r="E79" i="10"/>
  <c r="D100" i="10"/>
  <c r="E100" i="10"/>
  <c r="F41" i="10"/>
  <c r="K41" i="10"/>
  <c r="Q55" i="10"/>
  <c r="Q78" i="10"/>
  <c r="B70" i="10"/>
  <c r="D30" i="10"/>
  <c r="H30" i="10"/>
  <c r="D34" i="10"/>
  <c r="H34" i="10"/>
  <c r="E37" i="10"/>
  <c r="I37" i="10"/>
  <c r="M37" i="10"/>
  <c r="E80" i="10"/>
  <c r="D101" i="10"/>
  <c r="E101" i="10"/>
  <c r="B40" i="10"/>
  <c r="F40" i="10"/>
  <c r="G41" i="10"/>
  <c r="O70" i="10"/>
  <c r="O62" i="10"/>
  <c r="O61" i="10"/>
  <c r="Q71" i="10"/>
  <c r="Q74" i="10"/>
  <c r="Q54" i="10"/>
  <c r="P77" i="10"/>
  <c r="Q77" i="10"/>
  <c r="P81" i="10"/>
  <c r="Q81" i="10"/>
  <c r="D28" i="9"/>
  <c r="G17" i="9"/>
  <c r="F23" i="9"/>
  <c r="E25" i="9"/>
  <c r="E27" i="9"/>
  <c r="E28" i="9"/>
  <c r="E38" i="9"/>
  <c r="D25" i="9"/>
  <c r="G9" i="9"/>
  <c r="F26" i="9"/>
  <c r="H10" i="9"/>
  <c r="L71" i="10"/>
  <c r="M71" i="10"/>
  <c r="M29" i="10"/>
  <c r="D78" i="10"/>
  <c r="E36" i="10"/>
  <c r="N83" i="10"/>
  <c r="O83" i="10"/>
  <c r="O82" i="10"/>
  <c r="D72" i="10"/>
  <c r="E30" i="10"/>
  <c r="L75" i="10"/>
  <c r="M75" i="10"/>
  <c r="M33" i="10"/>
  <c r="H71" i="10"/>
  <c r="I71" i="10"/>
  <c r="I29" i="10"/>
  <c r="Q61" i="10"/>
  <c r="H74" i="10"/>
  <c r="I74" i="10"/>
  <c r="I32" i="10"/>
  <c r="L77" i="10"/>
  <c r="M77" i="10"/>
  <c r="M35" i="10"/>
  <c r="H73" i="10"/>
  <c r="I73" i="10"/>
  <c r="I31" i="10"/>
  <c r="L41" i="10"/>
  <c r="M41" i="10"/>
  <c r="H72" i="10"/>
  <c r="I72" i="10"/>
  <c r="I30" i="10"/>
  <c r="H76" i="10"/>
  <c r="I76" i="10"/>
  <c r="I34" i="10"/>
  <c r="B91" i="10"/>
  <c r="B83" i="10"/>
  <c r="B82" i="10"/>
  <c r="H75" i="10"/>
  <c r="I75" i="10"/>
  <c r="I33" i="10"/>
  <c r="D71" i="10"/>
  <c r="E29" i="10"/>
  <c r="Q62" i="10"/>
  <c r="D74" i="10"/>
  <c r="E32" i="10"/>
  <c r="H77" i="10"/>
  <c r="I77" i="10"/>
  <c r="I35" i="10"/>
  <c r="D73" i="10"/>
  <c r="E31" i="10"/>
  <c r="M70" i="10"/>
  <c r="L82" i="10"/>
  <c r="M82" i="10"/>
  <c r="D70" i="10"/>
  <c r="E28" i="10"/>
  <c r="D41" i="10"/>
  <c r="E41" i="10"/>
  <c r="D40" i="10"/>
  <c r="E40" i="10"/>
  <c r="L73" i="10"/>
  <c r="M73" i="10"/>
  <c r="M31" i="10"/>
  <c r="D76" i="10"/>
  <c r="E34" i="10"/>
  <c r="D75" i="10"/>
  <c r="E33" i="10"/>
  <c r="Q70" i="10"/>
  <c r="P83" i="10"/>
  <c r="Q83" i="10"/>
  <c r="P82" i="10"/>
  <c r="Q82" i="10"/>
  <c r="H78" i="10"/>
  <c r="I78" i="10"/>
  <c r="I36" i="10"/>
  <c r="H70" i="10"/>
  <c r="I28" i="10"/>
  <c r="H41" i="10"/>
  <c r="I41" i="10"/>
  <c r="H40" i="10"/>
  <c r="I40" i="10"/>
  <c r="D77" i="10"/>
  <c r="E35" i="10"/>
  <c r="C104" i="10"/>
  <c r="C103" i="10"/>
  <c r="L40" i="10"/>
  <c r="M40" i="10"/>
  <c r="H17" i="9"/>
  <c r="G23" i="9"/>
  <c r="D22" i="9"/>
  <c r="D37" i="9"/>
  <c r="E22" i="9"/>
  <c r="E37" i="9"/>
  <c r="E56" i="9"/>
  <c r="D38" i="9"/>
  <c r="F24" i="9"/>
  <c r="F27" i="9"/>
  <c r="F28" i="9"/>
  <c r="F38" i="9"/>
  <c r="F25" i="9"/>
  <c r="H9" i="9"/>
  <c r="I10" i="9"/>
  <c r="E72" i="10"/>
  <c r="D93" i="10"/>
  <c r="E93" i="10"/>
  <c r="E75" i="10"/>
  <c r="D96" i="10"/>
  <c r="E96" i="10"/>
  <c r="E70" i="10"/>
  <c r="D91" i="10"/>
  <c r="D83" i="10"/>
  <c r="E83" i="10"/>
  <c r="D82" i="10"/>
  <c r="E82" i="10"/>
  <c r="E71" i="10"/>
  <c r="D92" i="10"/>
  <c r="E92" i="10"/>
  <c r="E78" i="10"/>
  <c r="D99" i="10"/>
  <c r="E99" i="10"/>
  <c r="E73" i="10"/>
  <c r="D94" i="10"/>
  <c r="E94" i="10"/>
  <c r="E74" i="10"/>
  <c r="D95" i="10"/>
  <c r="E95" i="10"/>
  <c r="B104" i="10"/>
  <c r="B103" i="10"/>
  <c r="E77" i="10"/>
  <c r="D98" i="10"/>
  <c r="E98" i="10"/>
  <c r="I70" i="10"/>
  <c r="H83" i="10"/>
  <c r="I83" i="10"/>
  <c r="H82" i="10"/>
  <c r="I82" i="10"/>
  <c r="E76" i="10"/>
  <c r="D97" i="10"/>
  <c r="E97" i="10"/>
  <c r="L83" i="10"/>
  <c r="M83" i="10"/>
  <c r="D56" i="9"/>
  <c r="D57" i="9"/>
  <c r="E57" i="9"/>
  <c r="I17" i="9"/>
  <c r="H23" i="9"/>
  <c r="H24" i="9"/>
  <c r="F22" i="9"/>
  <c r="F37" i="9"/>
  <c r="F56" i="9"/>
  <c r="E29" i="9"/>
  <c r="E30" i="9"/>
  <c r="G24" i="9"/>
  <c r="G27" i="9"/>
  <c r="G26" i="9"/>
  <c r="G28" i="9"/>
  <c r="D30" i="9"/>
  <c r="D29" i="9"/>
  <c r="I9" i="9"/>
  <c r="J10" i="9"/>
  <c r="E91" i="10"/>
  <c r="D104" i="10"/>
  <c r="E104" i="10"/>
  <c r="D103" i="10"/>
  <c r="E103" i="10"/>
  <c r="F57" i="9"/>
  <c r="J17" i="9"/>
  <c r="I23" i="9"/>
  <c r="I24" i="9"/>
  <c r="H25" i="9"/>
  <c r="H27" i="9"/>
  <c r="H26" i="9"/>
  <c r="G25" i="9"/>
  <c r="F29" i="9"/>
  <c r="F30" i="9"/>
  <c r="J9" i="9"/>
  <c r="I26" i="9"/>
  <c r="K10" i="9"/>
  <c r="H28" i="9"/>
  <c r="H38" i="9"/>
  <c r="I25" i="9"/>
  <c r="I27" i="9"/>
  <c r="I28" i="9"/>
  <c r="I38" i="9"/>
  <c r="K17" i="9"/>
  <c r="J23" i="9"/>
  <c r="G22" i="9"/>
  <c r="G37" i="9"/>
  <c r="H22" i="9"/>
  <c r="H37" i="9"/>
  <c r="G38" i="9"/>
  <c r="K9" i="9"/>
  <c r="J26" i="9"/>
  <c r="L10" i="9"/>
  <c r="H56" i="9"/>
  <c r="G56" i="9"/>
  <c r="G57" i="9"/>
  <c r="H57" i="9"/>
  <c r="G29" i="9"/>
  <c r="G30" i="9"/>
  <c r="H29" i="9"/>
  <c r="H30" i="9"/>
  <c r="J24" i="9"/>
  <c r="J27" i="9"/>
  <c r="J28" i="9"/>
  <c r="I22" i="9"/>
  <c r="I37" i="9"/>
  <c r="I56" i="9"/>
  <c r="L17" i="9"/>
  <c r="K23" i="9"/>
  <c r="L9" i="9"/>
  <c r="K26" i="9"/>
  <c r="M10" i="9"/>
  <c r="I57" i="9"/>
  <c r="J25" i="9"/>
  <c r="M17" i="9"/>
  <c r="L23" i="9"/>
  <c r="L24" i="9"/>
  <c r="K24" i="9"/>
  <c r="K27" i="9"/>
  <c r="K28" i="9"/>
  <c r="K38" i="9"/>
  <c r="K25" i="9"/>
  <c r="I29" i="9"/>
  <c r="I30" i="9"/>
  <c r="M9" i="9"/>
  <c r="L26" i="9"/>
  <c r="N10" i="9"/>
  <c r="J22" i="9"/>
  <c r="J37" i="9"/>
  <c r="K22" i="9"/>
  <c r="K37" i="9"/>
  <c r="K56" i="9"/>
  <c r="N17" i="9"/>
  <c r="M23" i="9"/>
  <c r="M24" i="9"/>
  <c r="L25" i="9"/>
  <c r="L27" i="9"/>
  <c r="L28" i="9"/>
  <c r="L38" i="9"/>
  <c r="J38" i="9"/>
  <c r="N9" i="9"/>
  <c r="M26" i="9"/>
  <c r="O10" i="9"/>
  <c r="J56" i="9"/>
  <c r="J57" i="9"/>
  <c r="K57" i="9"/>
  <c r="O17" i="9"/>
  <c r="N23" i="9"/>
  <c r="J30" i="9"/>
  <c r="J29" i="9"/>
  <c r="L22" i="9"/>
  <c r="L37" i="9"/>
  <c r="L56" i="9"/>
  <c r="M25" i="9"/>
  <c r="M27" i="9"/>
  <c r="M28" i="9"/>
  <c r="M38" i="9"/>
  <c r="K29" i="9"/>
  <c r="K30" i="9"/>
  <c r="O9" i="9"/>
  <c r="N26" i="9"/>
  <c r="L57" i="9"/>
  <c r="N24" i="9"/>
  <c r="N27" i="9"/>
  <c r="N28" i="9"/>
  <c r="N38" i="9"/>
  <c r="N25" i="9"/>
  <c r="L29" i="9"/>
  <c r="L30" i="9"/>
  <c r="M22" i="9"/>
  <c r="M37" i="9"/>
  <c r="M56" i="9"/>
  <c r="M57" i="9"/>
  <c r="O23" i="9"/>
  <c r="P17" i="9"/>
  <c r="O26" i="9"/>
  <c r="Q17" i="9"/>
  <c r="P23" i="9"/>
  <c r="M30" i="9"/>
  <c r="M29" i="9"/>
  <c r="N22" i="9"/>
  <c r="N37" i="9"/>
  <c r="O24" i="9"/>
  <c r="O27" i="9"/>
  <c r="O28" i="9"/>
  <c r="O38" i="9"/>
  <c r="O25" i="9"/>
  <c r="N56" i="9"/>
  <c r="N57" i="9"/>
  <c r="P24" i="9"/>
  <c r="P26" i="9"/>
  <c r="O22" i="9"/>
  <c r="O37" i="9"/>
  <c r="O56" i="9"/>
  <c r="O57" i="9"/>
  <c r="N29" i="9"/>
  <c r="N30" i="9"/>
  <c r="Q33" i="9"/>
  <c r="Q23" i="9"/>
  <c r="R17" i="9"/>
  <c r="C2" i="9"/>
  <c r="O29" i="9"/>
  <c r="O30" i="9"/>
  <c r="S17" i="9"/>
  <c r="R33" i="9"/>
  <c r="R23" i="9"/>
  <c r="P25" i="9"/>
  <c r="P27" i="9"/>
  <c r="P28" i="9"/>
  <c r="P38" i="9"/>
  <c r="D33" i="9"/>
  <c r="G8" i="12"/>
  <c r="H8" i="12"/>
  <c r="G12" i="12"/>
  <c r="H12" i="12"/>
  <c r="G11" i="12"/>
  <c r="H11" i="12"/>
  <c r="G5" i="12"/>
  <c r="H5" i="12"/>
  <c r="G9" i="12"/>
  <c r="H9" i="12"/>
  <c r="G4" i="12"/>
  <c r="H4" i="12"/>
  <c r="G6" i="12"/>
  <c r="H6" i="12"/>
  <c r="G10" i="12"/>
  <c r="H10" i="12"/>
  <c r="G7" i="12"/>
  <c r="H7" i="12"/>
  <c r="E33" i="9"/>
  <c r="F33" i="9"/>
  <c r="G33" i="9"/>
  <c r="H33" i="9"/>
  <c r="I33" i="9"/>
  <c r="J33" i="9"/>
  <c r="K33" i="9"/>
  <c r="L33" i="9"/>
  <c r="M33" i="9"/>
  <c r="N33" i="9"/>
  <c r="O33" i="9"/>
  <c r="P33" i="9"/>
  <c r="Q24" i="9"/>
  <c r="Q26" i="9"/>
  <c r="O31" i="4"/>
  <c r="D31" i="4"/>
  <c r="Q28" i="9"/>
  <c r="R24" i="9"/>
  <c r="R27" i="9"/>
  <c r="R26" i="9"/>
  <c r="P22" i="9"/>
  <c r="P37" i="9"/>
  <c r="P56" i="9"/>
  <c r="P57" i="9"/>
  <c r="Q25" i="9"/>
  <c r="Q27" i="9"/>
  <c r="T17" i="9"/>
  <c r="S33" i="9"/>
  <c r="S23" i="9"/>
  <c r="AA31" i="4"/>
  <c r="AM31" i="4"/>
  <c r="AY31" i="4"/>
  <c r="BK31" i="4"/>
  <c r="S24" i="9"/>
  <c r="S27" i="9"/>
  <c r="S25" i="9"/>
  <c r="S26" i="9"/>
  <c r="S28" i="9"/>
  <c r="S38" i="9"/>
  <c r="Q22" i="9"/>
  <c r="Q37" i="9"/>
  <c r="R25" i="9"/>
  <c r="U17" i="9"/>
  <c r="T33" i="9"/>
  <c r="T23" i="9"/>
  <c r="P29" i="9"/>
  <c r="P30" i="9"/>
  <c r="Q38" i="9"/>
  <c r="R28" i="9"/>
  <c r="R38" i="9"/>
  <c r="D33" i="4"/>
  <c r="AM30" i="4"/>
  <c r="AY30" i="4"/>
  <c r="BK30" i="4"/>
  <c r="AA30" i="4"/>
  <c r="R56" i="9"/>
  <c r="T24" i="9"/>
  <c r="T26" i="9"/>
  <c r="Q56" i="9"/>
  <c r="Q57" i="9"/>
  <c r="S22" i="9"/>
  <c r="S37" i="9"/>
  <c r="V17" i="9"/>
  <c r="U33" i="9"/>
  <c r="U23" i="9"/>
  <c r="R22" i="9"/>
  <c r="R37" i="9"/>
  <c r="Q30" i="9"/>
  <c r="Q29" i="9"/>
  <c r="O32" i="4"/>
  <c r="E32" i="4"/>
  <c r="F32" i="4"/>
  <c r="G32" i="4"/>
  <c r="H32" i="4"/>
  <c r="I32" i="4"/>
  <c r="J32" i="4"/>
  <c r="K32" i="4"/>
  <c r="L32" i="4"/>
  <c r="M32" i="4"/>
  <c r="N32" i="4"/>
  <c r="D32" i="4"/>
  <c r="R57" i="9"/>
  <c r="U24" i="9"/>
  <c r="U26" i="9"/>
  <c r="S29" i="9"/>
  <c r="S30" i="9"/>
  <c r="R30" i="9"/>
  <c r="R29" i="9"/>
  <c r="T25" i="9"/>
  <c r="T27" i="9"/>
  <c r="T28" i="9"/>
  <c r="T38" i="9"/>
  <c r="W17" i="9"/>
  <c r="V33" i="9"/>
  <c r="V23" i="9"/>
  <c r="S56" i="9"/>
  <c r="S57" i="9"/>
  <c r="E10" i="4"/>
  <c r="E11" i="4"/>
  <c r="D10" i="4"/>
  <c r="D13" i="4"/>
  <c r="E4" i="4"/>
  <c r="E3" i="4"/>
  <c r="V24" i="9"/>
  <c r="V27" i="9"/>
  <c r="V26" i="9"/>
  <c r="T22" i="9"/>
  <c r="T37" i="9"/>
  <c r="X17" i="9"/>
  <c r="W33" i="9"/>
  <c r="W23" i="9"/>
  <c r="U25" i="9"/>
  <c r="U27" i="9"/>
  <c r="U28" i="9"/>
  <c r="U38" i="9"/>
  <c r="F10" i="4"/>
  <c r="F15" i="4"/>
  <c r="D15" i="4"/>
  <c r="BJ22" i="4"/>
  <c r="BF22" i="4"/>
  <c r="BB22" i="4"/>
  <c r="AX22" i="4"/>
  <c r="AT22" i="4"/>
  <c r="AP22" i="4"/>
  <c r="BD22" i="4"/>
  <c r="AV22" i="4"/>
  <c r="AR22" i="4"/>
  <c r="BG22" i="4"/>
  <c r="BC22" i="4"/>
  <c r="AU22" i="4"/>
  <c r="BI22" i="4"/>
  <c r="BE22" i="4"/>
  <c r="BA22" i="4"/>
  <c r="AW22" i="4"/>
  <c r="AS22" i="4"/>
  <c r="AO22" i="4"/>
  <c r="BH22" i="4"/>
  <c r="AZ22" i="4"/>
  <c r="AN22" i="4"/>
  <c r="BK22" i="4"/>
  <c r="AY22" i="4"/>
  <c r="AQ22" i="4"/>
  <c r="AF22" i="4"/>
  <c r="AK22" i="4"/>
  <c r="D22" i="4"/>
  <c r="Y22" i="4"/>
  <c r="R22" i="4"/>
  <c r="X22" i="4"/>
  <c r="P22" i="4"/>
  <c r="AD22" i="4"/>
  <c r="E20" i="4"/>
  <c r="E15" i="4"/>
  <c r="E13" i="4"/>
  <c r="Q21" i="4"/>
  <c r="D14" i="4"/>
  <c r="G10" i="4"/>
  <c r="AM22" i="4"/>
  <c r="AI22" i="4"/>
  <c r="AE22" i="4"/>
  <c r="AA22" i="4"/>
  <c r="W22" i="4"/>
  <c r="S22" i="4"/>
  <c r="AL22" i="4"/>
  <c r="AG22" i="4"/>
  <c r="AB22" i="4"/>
  <c r="V22" i="4"/>
  <c r="Q22" i="4"/>
  <c r="D11" i="4"/>
  <c r="T22" i="4"/>
  <c r="Z22" i="4"/>
  <c r="AH22" i="4"/>
  <c r="U22" i="4"/>
  <c r="AC22" i="4"/>
  <c r="AJ22" i="4"/>
  <c r="U22" i="9"/>
  <c r="U37" i="9"/>
  <c r="T29" i="9"/>
  <c r="T30" i="9"/>
  <c r="Y17" i="9"/>
  <c r="X33" i="9"/>
  <c r="X23" i="9"/>
  <c r="W24" i="9"/>
  <c r="W27" i="9"/>
  <c r="W26" i="9"/>
  <c r="V28" i="9"/>
  <c r="T56" i="9"/>
  <c r="T57" i="9"/>
  <c r="V25" i="9"/>
  <c r="F11" i="4"/>
  <c r="R21" i="4"/>
  <c r="F13" i="4"/>
  <c r="E14" i="4"/>
  <c r="F14" i="4"/>
  <c r="P21" i="4"/>
  <c r="D20" i="4"/>
  <c r="D12" i="4"/>
  <c r="D23" i="4"/>
  <c r="E23" i="4"/>
  <c r="F23" i="4"/>
  <c r="G15" i="4"/>
  <c r="H10" i="4"/>
  <c r="G13" i="4"/>
  <c r="G11" i="4"/>
  <c r="F20" i="4"/>
  <c r="F22" i="4"/>
  <c r="E22" i="4"/>
  <c r="W28" i="9"/>
  <c r="W25" i="9"/>
  <c r="Z17" i="9"/>
  <c r="Y33" i="9"/>
  <c r="Y23" i="9"/>
  <c r="U29" i="9"/>
  <c r="U30" i="9"/>
  <c r="V22" i="9"/>
  <c r="V37" i="9"/>
  <c r="V38" i="9"/>
  <c r="X24" i="9"/>
  <c r="X26" i="9"/>
  <c r="U56" i="9"/>
  <c r="U57" i="9"/>
  <c r="G22" i="4"/>
  <c r="H15" i="4"/>
  <c r="H13" i="4"/>
  <c r="H11" i="4"/>
  <c r="I10" i="4"/>
  <c r="G14" i="4"/>
  <c r="D16" i="4"/>
  <c r="E12" i="4"/>
  <c r="G23" i="4"/>
  <c r="S21" i="4"/>
  <c r="G20" i="4"/>
  <c r="E4" i="1"/>
  <c r="E3" i="1"/>
  <c r="C30" i="1"/>
  <c r="V21" i="1"/>
  <c r="V29" i="9"/>
  <c r="V30" i="9"/>
  <c r="AA17" i="9"/>
  <c r="Z33" i="9"/>
  <c r="Z23" i="9"/>
  <c r="X25" i="9"/>
  <c r="X27" i="9"/>
  <c r="X28" i="9"/>
  <c r="X38" i="9"/>
  <c r="W22" i="9"/>
  <c r="W37" i="9"/>
  <c r="V56" i="9"/>
  <c r="V57" i="9"/>
  <c r="Y24" i="9"/>
  <c r="Y26" i="9"/>
  <c r="W38" i="9"/>
  <c r="AK21" i="1"/>
  <c r="AW27" i="4"/>
  <c r="BK27" i="4"/>
  <c r="BG27" i="4"/>
  <c r="BC27" i="4"/>
  <c r="AY27" i="4"/>
  <c r="AU27" i="4"/>
  <c r="AQ27" i="4"/>
  <c r="BJ27" i="4"/>
  <c r="BF27" i="4"/>
  <c r="BB27" i="4"/>
  <c r="AX27" i="4"/>
  <c r="AT27" i="4"/>
  <c r="AP27" i="4"/>
  <c r="BI27" i="4"/>
  <c r="BE27" i="4"/>
  <c r="BA27" i="4"/>
  <c r="AS27" i="4"/>
  <c r="AO27" i="4"/>
  <c r="BH27" i="4"/>
  <c r="BD27" i="4"/>
  <c r="AZ27" i="4"/>
  <c r="AV27" i="4"/>
  <c r="AR27" i="4"/>
  <c r="AN27" i="4"/>
  <c r="AJ27" i="4"/>
  <c r="AF27" i="4"/>
  <c r="AB27" i="4"/>
  <c r="X27" i="4"/>
  <c r="T27" i="4"/>
  <c r="P27" i="4"/>
  <c r="AM27" i="4"/>
  <c r="AE27" i="4"/>
  <c r="W27" i="4"/>
  <c r="AL27" i="4"/>
  <c r="AH27" i="4"/>
  <c r="AD27" i="4"/>
  <c r="Z27" i="4"/>
  <c r="V27" i="4"/>
  <c r="R27" i="4"/>
  <c r="AK27" i="4"/>
  <c r="AG27" i="4"/>
  <c r="AC27" i="4"/>
  <c r="Y27" i="4"/>
  <c r="U27" i="4"/>
  <c r="Q27" i="4"/>
  <c r="AI27" i="4"/>
  <c r="AA27" i="4"/>
  <c r="S27" i="4"/>
  <c r="D27" i="4"/>
  <c r="F27" i="4"/>
  <c r="E27" i="4"/>
  <c r="AL26" i="1"/>
  <c r="S26" i="1"/>
  <c r="AA26" i="1"/>
  <c r="AI26" i="1"/>
  <c r="P26" i="1"/>
  <c r="T26" i="1"/>
  <c r="X26" i="1"/>
  <c r="AB26" i="1"/>
  <c r="AF26" i="1"/>
  <c r="AJ26" i="1"/>
  <c r="G27" i="4"/>
  <c r="Q26" i="1"/>
  <c r="U26" i="1"/>
  <c r="Y26" i="1"/>
  <c r="AC26" i="1"/>
  <c r="AG26" i="1"/>
  <c r="AK26" i="1"/>
  <c r="R26" i="1"/>
  <c r="V26" i="1"/>
  <c r="Z26" i="1"/>
  <c r="AD26" i="1"/>
  <c r="AH26" i="1"/>
  <c r="W26" i="1"/>
  <c r="AE26" i="1"/>
  <c r="AM26" i="1"/>
  <c r="H14" i="4"/>
  <c r="H22" i="4"/>
  <c r="H27" i="4"/>
  <c r="E16" i="4"/>
  <c r="F12" i="4"/>
  <c r="I15" i="4"/>
  <c r="I13" i="4"/>
  <c r="I11" i="4"/>
  <c r="J10" i="4"/>
  <c r="D19" i="4"/>
  <c r="D17" i="4"/>
  <c r="H23" i="4"/>
  <c r="H20" i="4"/>
  <c r="T21" i="4"/>
  <c r="H26" i="4"/>
  <c r="Z21" i="1"/>
  <c r="AL21" i="1"/>
  <c r="AD21" i="1"/>
  <c r="R21" i="1"/>
  <c r="AH21" i="1"/>
  <c r="S21" i="1"/>
  <c r="W21" i="1"/>
  <c r="AA21" i="1"/>
  <c r="AE21" i="1"/>
  <c r="AI21" i="1"/>
  <c r="AM21" i="1"/>
  <c r="P21" i="1"/>
  <c r="T21" i="1"/>
  <c r="X21" i="1"/>
  <c r="AB21" i="1"/>
  <c r="AF21" i="1"/>
  <c r="AJ21" i="1"/>
  <c r="Q21" i="1"/>
  <c r="U21" i="1"/>
  <c r="Y21" i="1"/>
  <c r="AC21" i="1"/>
  <c r="AG21" i="1"/>
  <c r="D9" i="1"/>
  <c r="Y25" i="9"/>
  <c r="Y27" i="9"/>
  <c r="Y28" i="9"/>
  <c r="Z24" i="9"/>
  <c r="Z27" i="9"/>
  <c r="Z26" i="9"/>
  <c r="Z28" i="9"/>
  <c r="W56" i="9"/>
  <c r="W57" i="9"/>
  <c r="W29" i="9"/>
  <c r="W30" i="9"/>
  <c r="X22" i="9"/>
  <c r="X37" i="9"/>
  <c r="AB17" i="9"/>
  <c r="AA33" i="9"/>
  <c r="AA23" i="9"/>
  <c r="E26" i="4"/>
  <c r="F26" i="4"/>
  <c r="D26" i="4"/>
  <c r="G26" i="4"/>
  <c r="D24" i="4"/>
  <c r="I27" i="4"/>
  <c r="I22" i="4"/>
  <c r="K10" i="4"/>
  <c r="J15" i="4"/>
  <c r="J13" i="4"/>
  <c r="J11" i="4"/>
  <c r="G12" i="4"/>
  <c r="F16" i="4"/>
  <c r="U21" i="4"/>
  <c r="I20" i="4"/>
  <c r="I26" i="4"/>
  <c r="I23" i="4"/>
  <c r="E19" i="4"/>
  <c r="E17" i="4"/>
  <c r="I14" i="4"/>
  <c r="D12" i="1"/>
  <c r="D13" i="1"/>
  <c r="D10" i="1"/>
  <c r="D25" i="1"/>
  <c r="D14" i="1"/>
  <c r="E9" i="1"/>
  <c r="E14" i="1"/>
  <c r="Z38" i="9"/>
  <c r="Y22" i="9"/>
  <c r="Y37" i="9"/>
  <c r="X29" i="9"/>
  <c r="X30" i="9"/>
  <c r="Z25" i="9"/>
  <c r="AA24" i="9"/>
  <c r="AA27" i="9"/>
  <c r="AA26" i="9"/>
  <c r="AC17" i="9"/>
  <c r="AB33" i="9"/>
  <c r="AB23" i="9"/>
  <c r="Y38" i="9"/>
  <c r="X56" i="9"/>
  <c r="X57" i="9"/>
  <c r="D34" i="4"/>
  <c r="E24" i="4"/>
  <c r="E34" i="4"/>
  <c r="J27" i="4"/>
  <c r="J22" i="4"/>
  <c r="J14" i="4"/>
  <c r="H12" i="4"/>
  <c r="G16" i="4"/>
  <c r="L10" i="4"/>
  <c r="K15" i="4"/>
  <c r="K13" i="4"/>
  <c r="K11" i="4"/>
  <c r="F19" i="4"/>
  <c r="F17" i="4"/>
  <c r="J26" i="4"/>
  <c r="V21" i="4"/>
  <c r="J20" i="4"/>
  <c r="J23" i="4"/>
  <c r="F9" i="1"/>
  <c r="E12" i="1"/>
  <c r="E13" i="1"/>
  <c r="E10" i="1"/>
  <c r="D11" i="1"/>
  <c r="P20" i="1"/>
  <c r="D19" i="1"/>
  <c r="D22" i="1"/>
  <c r="D26" i="1"/>
  <c r="D21" i="1"/>
  <c r="AA28" i="9"/>
  <c r="Y56" i="9"/>
  <c r="Y57" i="9"/>
  <c r="AB24" i="9"/>
  <c r="AB26" i="9"/>
  <c r="AA25" i="9"/>
  <c r="Y29" i="9"/>
  <c r="Y30" i="9"/>
  <c r="AA38" i="9"/>
  <c r="AD17" i="9"/>
  <c r="AC33" i="9"/>
  <c r="AC23" i="9"/>
  <c r="Z22" i="9"/>
  <c r="Z37" i="9"/>
  <c r="K14" i="4"/>
  <c r="F24" i="4"/>
  <c r="F34" i="4"/>
  <c r="L15" i="4"/>
  <c r="L13" i="4"/>
  <c r="L11" i="4"/>
  <c r="M10" i="4"/>
  <c r="K26" i="4"/>
  <c r="K23" i="4"/>
  <c r="W21" i="4"/>
  <c r="K20" i="4"/>
  <c r="G19" i="4"/>
  <c r="G17" i="4"/>
  <c r="K27" i="4"/>
  <c r="K22" i="4"/>
  <c r="I12" i="4"/>
  <c r="H16" i="4"/>
  <c r="E19" i="1"/>
  <c r="E25" i="1"/>
  <c r="E22" i="1"/>
  <c r="Q20" i="1"/>
  <c r="E26" i="1"/>
  <c r="E21" i="1"/>
  <c r="D15" i="1"/>
  <c r="E11" i="1"/>
  <c r="E15" i="1"/>
  <c r="E16" i="1"/>
  <c r="F10" i="1"/>
  <c r="F12" i="1"/>
  <c r="F13" i="1"/>
  <c r="G9" i="1"/>
  <c r="F14" i="1"/>
  <c r="AB25" i="9"/>
  <c r="AB27" i="9"/>
  <c r="AB28" i="9"/>
  <c r="AB38" i="9"/>
  <c r="AE17" i="9"/>
  <c r="AD23" i="9"/>
  <c r="AD33" i="9"/>
  <c r="AA22" i="9"/>
  <c r="AA37" i="9"/>
  <c r="AC24" i="9"/>
  <c r="AC26" i="9"/>
  <c r="Z29" i="9"/>
  <c r="Z30" i="9"/>
  <c r="Z56" i="9"/>
  <c r="Z57" i="9"/>
  <c r="G24" i="4"/>
  <c r="G34" i="4"/>
  <c r="L26" i="4"/>
  <c r="L23" i="4"/>
  <c r="L20" i="4"/>
  <c r="X21" i="4"/>
  <c r="I16" i="4"/>
  <c r="J12" i="4"/>
  <c r="L27" i="4"/>
  <c r="L22" i="4"/>
  <c r="H19" i="4"/>
  <c r="H17" i="4"/>
  <c r="L14" i="4"/>
  <c r="M15" i="4"/>
  <c r="M13" i="4"/>
  <c r="M11" i="4"/>
  <c r="N10" i="4"/>
  <c r="F22" i="1"/>
  <c r="F11" i="1"/>
  <c r="H9" i="1"/>
  <c r="G10" i="1"/>
  <c r="G12" i="1"/>
  <c r="G13" i="1"/>
  <c r="G14" i="1"/>
  <c r="D16" i="1"/>
  <c r="D18" i="1"/>
  <c r="F26" i="1"/>
  <c r="F21" i="1"/>
  <c r="F25" i="1"/>
  <c r="F19" i="1"/>
  <c r="R20" i="1"/>
  <c r="AF17" i="9"/>
  <c r="AE33" i="9"/>
  <c r="AE23" i="9"/>
  <c r="AA29" i="9"/>
  <c r="AA30" i="9"/>
  <c r="AA56" i="9"/>
  <c r="AA57" i="9"/>
  <c r="AB22" i="9"/>
  <c r="AB37" i="9"/>
  <c r="AC25" i="9"/>
  <c r="AC27" i="9"/>
  <c r="AC28" i="9"/>
  <c r="AC38" i="9"/>
  <c r="AD24" i="9"/>
  <c r="AD27" i="9"/>
  <c r="AD25" i="9"/>
  <c r="AD26" i="9"/>
  <c r="M14" i="4"/>
  <c r="H24" i="4"/>
  <c r="H34" i="4"/>
  <c r="N15" i="4"/>
  <c r="N13" i="4"/>
  <c r="N14" i="4"/>
  <c r="N11" i="4"/>
  <c r="O10" i="4"/>
  <c r="M23" i="4"/>
  <c r="M20" i="4"/>
  <c r="M26" i="4"/>
  <c r="Y21" i="4"/>
  <c r="J16" i="4"/>
  <c r="K12" i="4"/>
  <c r="M27" i="4"/>
  <c r="M22" i="4"/>
  <c r="I19" i="4"/>
  <c r="I17" i="4"/>
  <c r="D23" i="1"/>
  <c r="D30" i="1"/>
  <c r="I9" i="1"/>
  <c r="H10" i="1"/>
  <c r="H14" i="1"/>
  <c r="H12" i="1"/>
  <c r="H13" i="1"/>
  <c r="E18" i="1"/>
  <c r="E23" i="1"/>
  <c r="E30" i="1"/>
  <c r="S20" i="1"/>
  <c r="G26" i="1"/>
  <c r="G21" i="1"/>
  <c r="F15" i="1"/>
  <c r="G11" i="1"/>
  <c r="G25" i="1"/>
  <c r="G19" i="1"/>
  <c r="G22" i="1"/>
  <c r="AD28" i="9"/>
  <c r="AD38" i="9"/>
  <c r="AC22" i="9"/>
  <c r="AC37" i="9"/>
  <c r="AB29" i="9"/>
  <c r="AB30" i="9"/>
  <c r="AD22" i="9"/>
  <c r="AD37" i="9"/>
  <c r="AG17" i="9"/>
  <c r="AF33" i="9"/>
  <c r="AF23" i="9"/>
  <c r="AE24" i="9"/>
  <c r="AE27" i="9"/>
  <c r="AE26" i="9"/>
  <c r="AB56" i="9"/>
  <c r="AB57" i="9"/>
  <c r="I24" i="4"/>
  <c r="I34" i="4"/>
  <c r="Z21" i="4"/>
  <c r="N23" i="4"/>
  <c r="N20" i="4"/>
  <c r="N26" i="4"/>
  <c r="J19" i="4"/>
  <c r="J17" i="4"/>
  <c r="N22" i="4"/>
  <c r="N27" i="4"/>
  <c r="P10" i="4"/>
  <c r="O13" i="4"/>
  <c r="O14" i="4"/>
  <c r="O11" i="4"/>
  <c r="O15" i="4"/>
  <c r="L12" i="4"/>
  <c r="K16" i="4"/>
  <c r="H11" i="1"/>
  <c r="G15" i="1"/>
  <c r="H22" i="1"/>
  <c r="F18" i="1"/>
  <c r="F16" i="1"/>
  <c r="H25" i="1"/>
  <c r="T20" i="1"/>
  <c r="H19" i="1"/>
  <c r="H26" i="1"/>
  <c r="H21" i="1"/>
  <c r="I12" i="1"/>
  <c r="I13" i="1"/>
  <c r="I14" i="1"/>
  <c r="J9" i="1"/>
  <c r="I10" i="1"/>
  <c r="AD56" i="9"/>
  <c r="AF24" i="9"/>
  <c r="AF26" i="9"/>
  <c r="AD29" i="9"/>
  <c r="AD30" i="9"/>
  <c r="AE28" i="9"/>
  <c r="AE38" i="9"/>
  <c r="AE25" i="9"/>
  <c r="AH17" i="9"/>
  <c r="AG33" i="9"/>
  <c r="AG23" i="9"/>
  <c r="AC29" i="9"/>
  <c r="AC30" i="9"/>
  <c r="AC56" i="9"/>
  <c r="AC57" i="9"/>
  <c r="AD57" i="9"/>
  <c r="P14" i="4"/>
  <c r="Q14" i="4"/>
  <c r="R14" i="4"/>
  <c r="S14" i="4"/>
  <c r="T14" i="4"/>
  <c r="U14" i="4"/>
  <c r="V14" i="4"/>
  <c r="W14" i="4"/>
  <c r="X14" i="4"/>
  <c r="Y14" i="4"/>
  <c r="Z14" i="4"/>
  <c r="AA14" i="4"/>
  <c r="J24" i="4"/>
  <c r="J34" i="4"/>
  <c r="O26" i="4"/>
  <c r="O23" i="4"/>
  <c r="O28" i="4"/>
  <c r="AA21" i="4"/>
  <c r="O20" i="4"/>
  <c r="K19" i="4"/>
  <c r="K17" i="4"/>
  <c r="O27" i="4"/>
  <c r="O22" i="4"/>
  <c r="M12" i="4"/>
  <c r="L16" i="4"/>
  <c r="P11" i="4"/>
  <c r="P15" i="4"/>
  <c r="Q10" i="4"/>
  <c r="F23" i="1"/>
  <c r="F30" i="1"/>
  <c r="I25" i="1"/>
  <c r="I19" i="1"/>
  <c r="I22" i="1"/>
  <c r="G18" i="1"/>
  <c r="G23" i="1"/>
  <c r="G30" i="1"/>
  <c r="G16" i="1"/>
  <c r="U20" i="1"/>
  <c r="I26" i="1"/>
  <c r="I21" i="1"/>
  <c r="J10" i="1"/>
  <c r="K9" i="1"/>
  <c r="J12" i="1"/>
  <c r="J13" i="1"/>
  <c r="J14" i="1"/>
  <c r="I11" i="1"/>
  <c r="H15" i="1"/>
  <c r="AE56" i="9"/>
  <c r="AE57" i="9"/>
  <c r="AF25" i="9"/>
  <c r="AF27" i="9"/>
  <c r="AF28" i="9"/>
  <c r="AF38" i="9"/>
  <c r="AE22" i="9"/>
  <c r="AE37" i="9"/>
  <c r="AI17" i="9"/>
  <c r="AH23" i="9"/>
  <c r="AH33" i="9"/>
  <c r="AG24" i="9"/>
  <c r="AG26" i="9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K24" i="4"/>
  <c r="K34" i="4"/>
  <c r="P26" i="4"/>
  <c r="AB21" i="4"/>
  <c r="P20" i="4"/>
  <c r="P23" i="4"/>
  <c r="L19" i="4"/>
  <c r="L17" i="4"/>
  <c r="Q15" i="4"/>
  <c r="Q11" i="4"/>
  <c r="R10" i="4"/>
  <c r="M16" i="4"/>
  <c r="N12" i="4"/>
  <c r="N3" i="4"/>
  <c r="J11" i="1"/>
  <c r="I15" i="1"/>
  <c r="V20" i="1"/>
  <c r="J26" i="1"/>
  <c r="J21" i="1"/>
  <c r="H16" i="1"/>
  <c r="H18" i="1"/>
  <c r="H23" i="1"/>
  <c r="H30" i="1"/>
  <c r="L9" i="1"/>
  <c r="L12" i="1"/>
  <c r="K12" i="1"/>
  <c r="K13" i="1"/>
  <c r="K10" i="1"/>
  <c r="K14" i="1"/>
  <c r="J25" i="1"/>
  <c r="J19" i="1"/>
  <c r="J22" i="1"/>
  <c r="AH25" i="9"/>
  <c r="AH24" i="9"/>
  <c r="AH27" i="9"/>
  <c r="AH26" i="9"/>
  <c r="AH28" i="9"/>
  <c r="AJ17" i="9"/>
  <c r="AI33" i="9"/>
  <c r="AI23" i="9"/>
  <c r="AE30" i="9"/>
  <c r="AE29" i="9"/>
  <c r="AG25" i="9"/>
  <c r="AG27" i="9"/>
  <c r="AG28" i="9"/>
  <c r="AG38" i="9"/>
  <c r="AF22" i="9"/>
  <c r="AF37" i="9"/>
  <c r="L13" i="1"/>
  <c r="C30" i="4"/>
  <c r="L24" i="4"/>
  <c r="L34" i="4"/>
  <c r="AC21" i="4"/>
  <c r="Q20" i="4"/>
  <c r="Q26" i="4"/>
  <c r="Q23" i="4"/>
  <c r="N16" i="4"/>
  <c r="O12" i="4"/>
  <c r="M19" i="4"/>
  <c r="M17" i="4"/>
  <c r="R15" i="4"/>
  <c r="R11" i="4"/>
  <c r="S10" i="4"/>
  <c r="L26" i="1"/>
  <c r="L21" i="1"/>
  <c r="W20" i="1"/>
  <c r="K25" i="1"/>
  <c r="K19" i="1"/>
  <c r="K22" i="1"/>
  <c r="I18" i="1"/>
  <c r="I23" i="1"/>
  <c r="I30" i="1"/>
  <c r="I16" i="1"/>
  <c r="L10" i="1"/>
  <c r="L14" i="1"/>
  <c r="M9" i="1"/>
  <c r="M12" i="1"/>
  <c r="K26" i="1"/>
  <c r="K21" i="1"/>
  <c r="K11" i="1"/>
  <c r="J15" i="1"/>
  <c r="AG22" i="9"/>
  <c r="AG37" i="9"/>
  <c r="AH22" i="9"/>
  <c r="AH37" i="9"/>
  <c r="AK17" i="9"/>
  <c r="AJ33" i="9"/>
  <c r="AJ23" i="9"/>
  <c r="AG56" i="9"/>
  <c r="AF30" i="9"/>
  <c r="AF29" i="9"/>
  <c r="AH38" i="9"/>
  <c r="AI24" i="9"/>
  <c r="AI27" i="9"/>
  <c r="AI25" i="9"/>
  <c r="AI26" i="9"/>
  <c r="AF56" i="9"/>
  <c r="AF57" i="9"/>
  <c r="C34" i="4"/>
  <c r="D35" i="4"/>
  <c r="E35" i="4"/>
  <c r="F35" i="4"/>
  <c r="G35" i="4"/>
  <c r="H35" i="4"/>
  <c r="I35" i="4"/>
  <c r="J35" i="4"/>
  <c r="K35" i="4"/>
  <c r="L35" i="4"/>
  <c r="M24" i="4"/>
  <c r="M34" i="4"/>
  <c r="S15" i="4"/>
  <c r="T10" i="4"/>
  <c r="S11" i="4"/>
  <c r="R23" i="4"/>
  <c r="R20" i="4"/>
  <c r="R26" i="4"/>
  <c r="AD21" i="4"/>
  <c r="O16" i="4"/>
  <c r="P12" i="4"/>
  <c r="N19" i="4"/>
  <c r="N17" i="4"/>
  <c r="M26" i="1"/>
  <c r="M21" i="1"/>
  <c r="M13" i="1"/>
  <c r="J18" i="1"/>
  <c r="J23" i="1"/>
  <c r="J30" i="1"/>
  <c r="J16" i="1"/>
  <c r="M10" i="1"/>
  <c r="N9" i="1"/>
  <c r="N12" i="1"/>
  <c r="M14" i="1"/>
  <c r="X20" i="1"/>
  <c r="L25" i="1"/>
  <c r="L22" i="1"/>
  <c r="L19" i="1"/>
  <c r="L11" i="1"/>
  <c r="K15" i="1"/>
  <c r="AJ24" i="9"/>
  <c r="AJ26" i="9"/>
  <c r="AH29" i="9"/>
  <c r="AH30" i="9"/>
  <c r="AI22" i="9"/>
  <c r="AI37" i="9"/>
  <c r="AG57" i="9"/>
  <c r="AH56" i="9"/>
  <c r="AI28" i="9"/>
  <c r="AI38" i="9"/>
  <c r="AL17" i="9"/>
  <c r="AK33" i="9"/>
  <c r="AK23" i="9"/>
  <c r="AG30" i="9"/>
  <c r="AG29" i="9"/>
  <c r="N13" i="1"/>
  <c r="M35" i="4"/>
  <c r="N24" i="4"/>
  <c r="N34" i="4"/>
  <c r="S26" i="4"/>
  <c r="S23" i="4"/>
  <c r="AE21" i="4"/>
  <c r="S20" i="4"/>
  <c r="Q12" i="4"/>
  <c r="P16" i="4"/>
  <c r="T11" i="4"/>
  <c r="U10" i="4"/>
  <c r="T15" i="4"/>
  <c r="O19" i="4"/>
  <c r="O17" i="4"/>
  <c r="N26" i="1"/>
  <c r="N21" i="1"/>
  <c r="K18" i="1"/>
  <c r="K23" i="1"/>
  <c r="K30" i="1"/>
  <c r="K16" i="1"/>
  <c r="M25" i="1"/>
  <c r="Y20" i="1"/>
  <c r="M22" i="1"/>
  <c r="M19" i="1"/>
  <c r="M11" i="1"/>
  <c r="L15" i="1"/>
  <c r="N10" i="1"/>
  <c r="N14" i="1"/>
  <c r="O9" i="1"/>
  <c r="O12" i="1"/>
  <c r="AI56" i="9"/>
  <c r="AK24" i="9"/>
  <c r="AK26" i="9"/>
  <c r="AH57" i="9"/>
  <c r="AM17" i="9"/>
  <c r="AL33" i="9"/>
  <c r="AL23" i="9"/>
  <c r="AI30" i="9"/>
  <c r="AI29" i="9"/>
  <c r="AJ25" i="9"/>
  <c r="AJ27" i="9"/>
  <c r="AJ28" i="9"/>
  <c r="AJ38" i="9"/>
  <c r="N35" i="4"/>
  <c r="O24" i="4"/>
  <c r="O34" i="4"/>
  <c r="U15" i="4"/>
  <c r="U11" i="4"/>
  <c r="V10" i="4"/>
  <c r="AF21" i="4"/>
  <c r="T26" i="4"/>
  <c r="T23" i="4"/>
  <c r="T20" i="4"/>
  <c r="P19" i="4"/>
  <c r="P17" i="4"/>
  <c r="Q16" i="4"/>
  <c r="R12" i="4"/>
  <c r="O26" i="1"/>
  <c r="O21" i="1"/>
  <c r="O13" i="1"/>
  <c r="P9" i="1"/>
  <c r="O10" i="1"/>
  <c r="O14" i="1"/>
  <c r="L18" i="1"/>
  <c r="L23" i="1"/>
  <c r="L30" i="1"/>
  <c r="L16" i="1"/>
  <c r="N11" i="1"/>
  <c r="M15" i="1"/>
  <c r="Z20" i="1"/>
  <c r="N25" i="1"/>
  <c r="N19" i="1"/>
  <c r="N22" i="1"/>
  <c r="AI57" i="9"/>
  <c r="AL24" i="9"/>
  <c r="AL27" i="9"/>
  <c r="AL26" i="9"/>
  <c r="AK25" i="9"/>
  <c r="AK27" i="9"/>
  <c r="AK28" i="9"/>
  <c r="AK38" i="9"/>
  <c r="AJ22" i="9"/>
  <c r="AJ37" i="9"/>
  <c r="AN17" i="9"/>
  <c r="AM33" i="9"/>
  <c r="AM23" i="9"/>
  <c r="O35" i="4"/>
  <c r="P24" i="4"/>
  <c r="P34" i="4"/>
  <c r="S12" i="4"/>
  <c r="R16" i="4"/>
  <c r="Q19" i="4"/>
  <c r="Q17" i="4"/>
  <c r="W10" i="4"/>
  <c r="V11" i="4"/>
  <c r="V15" i="4"/>
  <c r="U26" i="4"/>
  <c r="U23" i="4"/>
  <c r="AG21" i="4"/>
  <c r="U20" i="4"/>
  <c r="P13" i="1"/>
  <c r="Q13" i="1"/>
  <c r="R13" i="1"/>
  <c r="S13" i="1"/>
  <c r="T13" i="1"/>
  <c r="U13" i="1"/>
  <c r="V13" i="1"/>
  <c r="W13" i="1"/>
  <c r="X13" i="1"/>
  <c r="Y13" i="1"/>
  <c r="Z13" i="1"/>
  <c r="AA13" i="1"/>
  <c r="M18" i="1"/>
  <c r="M23" i="1"/>
  <c r="M30" i="1"/>
  <c r="M16" i="1"/>
  <c r="N15" i="1"/>
  <c r="O11" i="1"/>
  <c r="AA20" i="1"/>
  <c r="O25" i="1"/>
  <c r="O22" i="1"/>
  <c r="O19" i="1"/>
  <c r="P14" i="1"/>
  <c r="Q9" i="1"/>
  <c r="P10" i="1"/>
  <c r="AB20" i="1"/>
  <c r="AK22" i="9"/>
  <c r="AK37" i="9"/>
  <c r="AL28" i="9"/>
  <c r="AM24" i="9"/>
  <c r="AM27" i="9"/>
  <c r="AM26" i="9"/>
  <c r="AM28" i="9"/>
  <c r="AO17" i="9"/>
  <c r="AN33" i="9"/>
  <c r="AN23" i="9"/>
  <c r="AJ29" i="9"/>
  <c r="AJ30" i="9"/>
  <c r="AL25" i="9"/>
  <c r="AJ56" i="9"/>
  <c r="AJ57" i="9"/>
  <c r="P35" i="4"/>
  <c r="Q24" i="4"/>
  <c r="Q34" i="4"/>
  <c r="AH21" i="4"/>
  <c r="V20" i="4"/>
  <c r="V26" i="4"/>
  <c r="V23" i="4"/>
  <c r="R19" i="4"/>
  <c r="R17" i="4"/>
  <c r="W15" i="4"/>
  <c r="X10" i="4"/>
  <c r="W11" i="4"/>
  <c r="S16" i="4"/>
  <c r="T12" i="4"/>
  <c r="O27" i="1"/>
  <c r="N3" i="1"/>
  <c r="O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P22" i="1"/>
  <c r="P25" i="1"/>
  <c r="P19" i="1"/>
  <c r="N18" i="1"/>
  <c r="N23" i="1"/>
  <c r="N30" i="1"/>
  <c r="N16" i="1"/>
  <c r="Q10" i="1"/>
  <c r="AC20" i="1"/>
  <c r="R9" i="1"/>
  <c r="Q14" i="1"/>
  <c r="P11" i="1"/>
  <c r="O15" i="1"/>
  <c r="AP17" i="9"/>
  <c r="AO33" i="9"/>
  <c r="AO23" i="9"/>
  <c r="AK29" i="9"/>
  <c r="AK30" i="9"/>
  <c r="AM38" i="9"/>
  <c r="AM25" i="9"/>
  <c r="AL22" i="9"/>
  <c r="AL37" i="9"/>
  <c r="AN24" i="9"/>
  <c r="AN26" i="9"/>
  <c r="AL38" i="9"/>
  <c r="AK56" i="9"/>
  <c r="AK57" i="9"/>
  <c r="Q35" i="4"/>
  <c r="R24" i="4"/>
  <c r="R34" i="4"/>
  <c r="T16" i="4"/>
  <c r="U12" i="4"/>
  <c r="S19" i="4"/>
  <c r="S17" i="4"/>
  <c r="W26" i="4"/>
  <c r="W23" i="4"/>
  <c r="AI21" i="4"/>
  <c r="W20" i="4"/>
  <c r="X15" i="4"/>
  <c r="X11" i="4"/>
  <c r="Y10" i="4"/>
  <c r="R14" i="1"/>
  <c r="R10" i="1"/>
  <c r="AD20" i="1"/>
  <c r="S9" i="1"/>
  <c r="O18" i="1"/>
  <c r="O16" i="1"/>
  <c r="Q25" i="1"/>
  <c r="Q19" i="1"/>
  <c r="Q22" i="1"/>
  <c r="Q11" i="1"/>
  <c r="P15" i="1"/>
  <c r="AM56" i="9"/>
  <c r="AL56" i="9"/>
  <c r="AL57" i="9"/>
  <c r="AM57" i="9"/>
  <c r="AQ17" i="9"/>
  <c r="AP23" i="9"/>
  <c r="AP33" i="9"/>
  <c r="AL30" i="9"/>
  <c r="AL29" i="9"/>
  <c r="AN25" i="9"/>
  <c r="AN27" i="9"/>
  <c r="AN28" i="9"/>
  <c r="AN38" i="9"/>
  <c r="AM22" i="9"/>
  <c r="AM37" i="9"/>
  <c r="AO24" i="9"/>
  <c r="AO26" i="9"/>
  <c r="R35" i="4"/>
  <c r="S24" i="4"/>
  <c r="S34" i="4"/>
  <c r="Y15" i="4"/>
  <c r="Y11" i="4"/>
  <c r="Z10" i="4"/>
  <c r="X23" i="4"/>
  <c r="X20" i="4"/>
  <c r="AJ21" i="4"/>
  <c r="X26" i="4"/>
  <c r="U16" i="4"/>
  <c r="V12" i="4"/>
  <c r="T19" i="4"/>
  <c r="T17" i="4"/>
  <c r="O23" i="1"/>
  <c r="O30" i="1"/>
  <c r="P18" i="1"/>
  <c r="P16" i="1"/>
  <c r="S14" i="1"/>
  <c r="S10" i="1"/>
  <c r="AE20" i="1"/>
  <c r="T9" i="1"/>
  <c r="Q15" i="1"/>
  <c r="R11" i="1"/>
  <c r="R25" i="1"/>
  <c r="R19" i="1"/>
  <c r="R22" i="1"/>
  <c r="AM30" i="9"/>
  <c r="AM29" i="9"/>
  <c r="AP24" i="9"/>
  <c r="AP27" i="9"/>
  <c r="AP25" i="9"/>
  <c r="AP26" i="9"/>
  <c r="AN22" i="9"/>
  <c r="AN37" i="9"/>
  <c r="AR17" i="9"/>
  <c r="AQ33" i="9"/>
  <c r="AQ23" i="9"/>
  <c r="AO25" i="9"/>
  <c r="AO27" i="9"/>
  <c r="AO28" i="9"/>
  <c r="AO38" i="9"/>
  <c r="S35" i="4"/>
  <c r="T24" i="4"/>
  <c r="T34" i="4"/>
  <c r="Z15" i="4"/>
  <c r="AA10" i="4"/>
  <c r="Z11" i="4"/>
  <c r="V16" i="4"/>
  <c r="W12" i="4"/>
  <c r="AK21" i="4"/>
  <c r="Y20" i="4"/>
  <c r="Y26" i="4"/>
  <c r="Y23" i="4"/>
  <c r="U19" i="4"/>
  <c r="U17" i="4"/>
  <c r="P23" i="1"/>
  <c r="P30" i="1"/>
  <c r="S25" i="1"/>
  <c r="S19" i="1"/>
  <c r="S22" i="1"/>
  <c r="S11" i="1"/>
  <c r="R15" i="1"/>
  <c r="T10" i="1"/>
  <c r="AF20" i="1"/>
  <c r="U9" i="1"/>
  <c r="T14" i="1"/>
  <c r="Q18" i="1"/>
  <c r="Q23" i="1"/>
  <c r="Q30" i="1"/>
  <c r="Q16" i="1"/>
  <c r="AQ24" i="9"/>
  <c r="AQ27" i="9"/>
  <c r="AQ25" i="9"/>
  <c r="AQ26" i="9"/>
  <c r="AN29" i="9"/>
  <c r="AN30" i="9"/>
  <c r="AP22" i="9"/>
  <c r="AP37" i="9"/>
  <c r="AS17" i="9"/>
  <c r="AR33" i="9"/>
  <c r="AR23" i="9"/>
  <c r="AO22" i="9"/>
  <c r="AO37" i="9"/>
  <c r="AP28" i="9"/>
  <c r="AP38" i="9"/>
  <c r="AN56" i="9"/>
  <c r="AN57" i="9"/>
  <c r="T35" i="4"/>
  <c r="U24" i="4"/>
  <c r="U34" i="4"/>
  <c r="V19" i="4"/>
  <c r="V17" i="4"/>
  <c r="Z26" i="4"/>
  <c r="Z23" i="4"/>
  <c r="Z20" i="4"/>
  <c r="AL21" i="4"/>
  <c r="AB10" i="4"/>
  <c r="AA15" i="4"/>
  <c r="AA11" i="4"/>
  <c r="X12" i="4"/>
  <c r="W16" i="4"/>
  <c r="T25" i="1"/>
  <c r="T19" i="1"/>
  <c r="T22" i="1"/>
  <c r="R18" i="1"/>
  <c r="R16" i="1"/>
  <c r="S15" i="1"/>
  <c r="T11" i="1"/>
  <c r="U10" i="1"/>
  <c r="AG20" i="1"/>
  <c r="U14" i="1"/>
  <c r="V9" i="1"/>
  <c r="AT17" i="9"/>
  <c r="AS33" i="9"/>
  <c r="AS23" i="9"/>
  <c r="AO30" i="9"/>
  <c r="AO29" i="9"/>
  <c r="AR24" i="9"/>
  <c r="AR26" i="9"/>
  <c r="AP29" i="9"/>
  <c r="AP30" i="9"/>
  <c r="AQ22" i="9"/>
  <c r="AQ37" i="9"/>
  <c r="AP56" i="9"/>
  <c r="AQ28" i="9"/>
  <c r="AQ38" i="9"/>
  <c r="AO56" i="9"/>
  <c r="AO57" i="9"/>
  <c r="U35" i="4"/>
  <c r="V24" i="4"/>
  <c r="V34" i="4"/>
  <c r="W19" i="4"/>
  <c r="W17" i="4"/>
  <c r="AB15" i="4"/>
  <c r="AB11" i="4"/>
  <c r="AN21" i="4"/>
  <c r="AC10" i="4"/>
  <c r="Y12" i="4"/>
  <c r="X16" i="4"/>
  <c r="AA26" i="4"/>
  <c r="AA23" i="4"/>
  <c r="AA28" i="4"/>
  <c r="AM21" i="4"/>
  <c r="AA20" i="4"/>
  <c r="R23" i="1"/>
  <c r="R30" i="1"/>
  <c r="V14" i="1"/>
  <c r="W9" i="1"/>
  <c r="V10" i="1"/>
  <c r="AH20" i="1"/>
  <c r="S18" i="1"/>
  <c r="S23" i="1"/>
  <c r="S30" i="1"/>
  <c r="S16" i="1"/>
  <c r="U25" i="1"/>
  <c r="U19" i="1"/>
  <c r="U22" i="1"/>
  <c r="T15" i="1"/>
  <c r="U11" i="1"/>
  <c r="AP57" i="9"/>
  <c r="AQ29" i="9"/>
  <c r="AQ30" i="9"/>
  <c r="AR25" i="9"/>
  <c r="AR27" i="9"/>
  <c r="AR28" i="9"/>
  <c r="AR38" i="9"/>
  <c r="AS24" i="9"/>
  <c r="AS26" i="9"/>
  <c r="AQ56" i="9"/>
  <c r="AQ57" i="9"/>
  <c r="AU17" i="9"/>
  <c r="AT23" i="9"/>
  <c r="AT33" i="9"/>
  <c r="V35" i="4"/>
  <c r="W24" i="4"/>
  <c r="W34" i="4"/>
  <c r="X19" i="4"/>
  <c r="X17" i="4"/>
  <c r="Y16" i="4"/>
  <c r="Z12" i="4"/>
  <c r="N4" i="4"/>
  <c r="O4" i="4"/>
  <c r="AC15" i="4"/>
  <c r="AC11" i="4"/>
  <c r="AO21" i="4"/>
  <c r="AD10" i="4"/>
  <c r="AB26" i="4"/>
  <c r="AB23" i="4"/>
  <c r="AB20" i="4"/>
  <c r="V11" i="1"/>
  <c r="U15" i="1"/>
  <c r="V25" i="1"/>
  <c r="V19" i="1"/>
  <c r="V22" i="1"/>
  <c r="T18" i="1"/>
  <c r="T23" i="1"/>
  <c r="T30" i="1"/>
  <c r="T16" i="1"/>
  <c r="W14" i="1"/>
  <c r="X9" i="1"/>
  <c r="W10" i="1"/>
  <c r="AI20" i="1"/>
  <c r="AR22" i="9"/>
  <c r="AR37" i="9"/>
  <c r="AT24" i="9"/>
  <c r="AT27" i="9"/>
  <c r="AT25" i="9"/>
  <c r="AT26" i="9"/>
  <c r="AS25" i="9"/>
  <c r="AS27" i="9"/>
  <c r="AS28" i="9"/>
  <c r="AS38" i="9"/>
  <c r="AV17" i="9"/>
  <c r="AU33" i="9"/>
  <c r="AU23" i="9"/>
  <c r="W35" i="4"/>
  <c r="P3" i="4"/>
  <c r="X24" i="4"/>
  <c r="X34" i="4"/>
  <c r="X35" i="4"/>
  <c r="Y19" i="4"/>
  <c r="Y17" i="4"/>
  <c r="AD15" i="4"/>
  <c r="AD11" i="4"/>
  <c r="AP21" i="4"/>
  <c r="AE10" i="4"/>
  <c r="AC23" i="4"/>
  <c r="AC20" i="4"/>
  <c r="AC26" i="4"/>
  <c r="Z16" i="4"/>
  <c r="AA12" i="4"/>
  <c r="W25" i="1"/>
  <c r="W19" i="1"/>
  <c r="W22" i="1"/>
  <c r="X10" i="1"/>
  <c r="AJ20" i="1"/>
  <c r="Y9" i="1"/>
  <c r="X14" i="1"/>
  <c r="U18" i="1"/>
  <c r="U23" i="1"/>
  <c r="U30" i="1"/>
  <c r="U16" i="1"/>
  <c r="W11" i="1"/>
  <c r="V15" i="1"/>
  <c r="AS56" i="9"/>
  <c r="AW17" i="9"/>
  <c r="AV33" i="9"/>
  <c r="AV23" i="9"/>
  <c r="AS22" i="9"/>
  <c r="AS37" i="9"/>
  <c r="AR56" i="9"/>
  <c r="AR57" i="9"/>
  <c r="AS57" i="9"/>
  <c r="AU24" i="9"/>
  <c r="AU27" i="9"/>
  <c r="AU25" i="9"/>
  <c r="AU26" i="9"/>
  <c r="AT22" i="9"/>
  <c r="AT37" i="9"/>
  <c r="AT28" i="9"/>
  <c r="AT38" i="9"/>
  <c r="AR29" i="9"/>
  <c r="AR30" i="9"/>
  <c r="Y24" i="4"/>
  <c r="Y34" i="4"/>
  <c r="Y35" i="4"/>
  <c r="AA16" i="4"/>
  <c r="AB12" i="4"/>
  <c r="Z19" i="4"/>
  <c r="Z17" i="4"/>
  <c r="AF10" i="4"/>
  <c r="AE11" i="4"/>
  <c r="AQ21" i="4"/>
  <c r="AE15" i="4"/>
  <c r="AD20" i="4"/>
  <c r="AD26" i="4"/>
  <c r="AD23" i="4"/>
  <c r="V18" i="1"/>
  <c r="V23" i="1"/>
  <c r="V30" i="1"/>
  <c r="V16" i="1"/>
  <c r="W15" i="1"/>
  <c r="X11" i="1"/>
  <c r="Y10" i="1"/>
  <c r="AK20" i="1"/>
  <c r="Y14" i="1"/>
  <c r="Z9" i="1"/>
  <c r="X25" i="1"/>
  <c r="X19" i="1"/>
  <c r="X22" i="1"/>
  <c r="AU22" i="9"/>
  <c r="AU37" i="9"/>
  <c r="AV24" i="9"/>
  <c r="AV26" i="9"/>
  <c r="AS29" i="9"/>
  <c r="AS30" i="9"/>
  <c r="AT29" i="9"/>
  <c r="AT30" i="9"/>
  <c r="AT56" i="9"/>
  <c r="AT57" i="9"/>
  <c r="AU28" i="9"/>
  <c r="AU38" i="9"/>
  <c r="AX17" i="9"/>
  <c r="AW33" i="9"/>
  <c r="AW23" i="9"/>
  <c r="Z24" i="4"/>
  <c r="Z34" i="4"/>
  <c r="Z35" i="4"/>
  <c r="AE26" i="4"/>
  <c r="AE23" i="4"/>
  <c r="AE20" i="4"/>
  <c r="AC12" i="4"/>
  <c r="AB16" i="4"/>
  <c r="AF11" i="4"/>
  <c r="AR21" i="4"/>
  <c r="AG10" i="4"/>
  <c r="AF15" i="4"/>
  <c r="AA19" i="4"/>
  <c r="AA17" i="4"/>
  <c r="W16" i="1"/>
  <c r="W18" i="1"/>
  <c r="W23" i="1"/>
  <c r="W30" i="1"/>
  <c r="Y19" i="1"/>
  <c r="Y25" i="1"/>
  <c r="Y22" i="1"/>
  <c r="AA9" i="1"/>
  <c r="Z14" i="1"/>
  <c r="Z10" i="1"/>
  <c r="AL20" i="1"/>
  <c r="Y11" i="1"/>
  <c r="X15" i="1"/>
  <c r="AY17" i="9"/>
  <c r="AX23" i="9"/>
  <c r="AX33" i="9"/>
  <c r="AV25" i="9"/>
  <c r="AV27" i="9"/>
  <c r="AV28" i="9"/>
  <c r="AV38" i="9"/>
  <c r="AU56" i="9"/>
  <c r="AU57" i="9"/>
  <c r="AW24" i="9"/>
  <c r="AW26" i="9"/>
  <c r="AU30" i="9"/>
  <c r="AU29" i="9"/>
  <c r="AA24" i="4"/>
  <c r="AA34" i="4"/>
  <c r="AA35" i="4"/>
  <c r="AG15" i="4"/>
  <c r="AG11" i="4"/>
  <c r="AS21" i="4"/>
  <c r="AH10" i="4"/>
  <c r="AF26" i="4"/>
  <c r="AF20" i="4"/>
  <c r="AF23" i="4"/>
  <c r="AB19" i="4"/>
  <c r="AB17" i="4"/>
  <c r="AC16" i="4"/>
  <c r="AD12" i="4"/>
  <c r="X18" i="1"/>
  <c r="X23" i="1"/>
  <c r="X30" i="1"/>
  <c r="X16" i="1"/>
  <c r="Y15" i="1"/>
  <c r="Z11" i="1"/>
  <c r="AA14" i="1"/>
  <c r="AA10" i="1"/>
  <c r="AM20" i="1"/>
  <c r="AB9" i="1"/>
  <c r="Z19" i="1"/>
  <c r="Z25" i="1"/>
  <c r="Z22" i="1"/>
  <c r="AW25" i="9"/>
  <c r="AW27" i="9"/>
  <c r="AX24" i="9"/>
  <c r="AX27" i="9"/>
  <c r="AX26" i="9"/>
  <c r="AZ17" i="9"/>
  <c r="AY33" i="9"/>
  <c r="AY23" i="9"/>
  <c r="AW28" i="9"/>
  <c r="AV22" i="9"/>
  <c r="AV37" i="9"/>
  <c r="AB24" i="4"/>
  <c r="AB34" i="4"/>
  <c r="AB35" i="4"/>
  <c r="AD16" i="4"/>
  <c r="AE12" i="4"/>
  <c r="AH15" i="4"/>
  <c r="AI10" i="4"/>
  <c r="AH11" i="4"/>
  <c r="AT21" i="4"/>
  <c r="AC19" i="4"/>
  <c r="AC17" i="4"/>
  <c r="AG26" i="4"/>
  <c r="AG23" i="4"/>
  <c r="AG20" i="4"/>
  <c r="AA11" i="1"/>
  <c r="Z15" i="1"/>
  <c r="AC9" i="1"/>
  <c r="AB14" i="1"/>
  <c r="AB10" i="1"/>
  <c r="Y16" i="1"/>
  <c r="Y18" i="1"/>
  <c r="Y23" i="1"/>
  <c r="Y30" i="1"/>
  <c r="AA19" i="1"/>
  <c r="AA25" i="1"/>
  <c r="AA22" i="1"/>
  <c r="AW22" i="9"/>
  <c r="AW37" i="9"/>
  <c r="AV29" i="9"/>
  <c r="AV30" i="9"/>
  <c r="BA17" i="9"/>
  <c r="AZ33" i="9"/>
  <c r="AZ23" i="9"/>
  <c r="AW38" i="9"/>
  <c r="AX28" i="9"/>
  <c r="AV56" i="9"/>
  <c r="AV57" i="9"/>
  <c r="AY24" i="9"/>
  <c r="AY27" i="9"/>
  <c r="AY25" i="9"/>
  <c r="AY26" i="9"/>
  <c r="AX25" i="9"/>
  <c r="AC24" i="4"/>
  <c r="AC34" i="4"/>
  <c r="AC35" i="4"/>
  <c r="AI15" i="4"/>
  <c r="AJ10" i="4"/>
  <c r="AI11" i="4"/>
  <c r="AU21" i="4"/>
  <c r="AE16" i="4"/>
  <c r="AF12" i="4"/>
  <c r="AH23" i="4"/>
  <c r="AH20" i="4"/>
  <c r="AH26" i="4"/>
  <c r="AD19" i="4"/>
  <c r="AD17" i="4"/>
  <c r="AA27" i="1"/>
  <c r="N4" i="1"/>
  <c r="AD9" i="1"/>
  <c r="AC14" i="1"/>
  <c r="AC10" i="1"/>
  <c r="Z18" i="1"/>
  <c r="Z23" i="1"/>
  <c r="Z30" i="1"/>
  <c r="Z16" i="1"/>
  <c r="AB19" i="1"/>
  <c r="AB25" i="1"/>
  <c r="AB22" i="1"/>
  <c r="AA15" i="1"/>
  <c r="AB11" i="1"/>
  <c r="AY28" i="9"/>
  <c r="AY38" i="9"/>
  <c r="AX38" i="9"/>
  <c r="BB17" i="9"/>
  <c r="BA33" i="9"/>
  <c r="BA23" i="9"/>
  <c r="AW29" i="9"/>
  <c r="AW30" i="9"/>
  <c r="AX22" i="9"/>
  <c r="AX37" i="9"/>
  <c r="AY22" i="9"/>
  <c r="AY37" i="9"/>
  <c r="AW56" i="9"/>
  <c r="AW57" i="9"/>
  <c r="AZ24" i="9"/>
  <c r="AZ26" i="9"/>
  <c r="AD24" i="4"/>
  <c r="AD34" i="4"/>
  <c r="AD35" i="4"/>
  <c r="AI26" i="4"/>
  <c r="AI23" i="4"/>
  <c r="AI20" i="4"/>
  <c r="AG12" i="4"/>
  <c r="AF16" i="4"/>
  <c r="AJ11" i="4"/>
  <c r="AV21" i="4"/>
  <c r="AJ15" i="4"/>
  <c r="AK10" i="4"/>
  <c r="AE19" i="4"/>
  <c r="AE17" i="4"/>
  <c r="AC19" i="1"/>
  <c r="AC25" i="1"/>
  <c r="AC22" i="1"/>
  <c r="AB15" i="1"/>
  <c r="AC11" i="1"/>
  <c r="AA16" i="1"/>
  <c r="AA18" i="1"/>
  <c r="AD14" i="1"/>
  <c r="AE9" i="1"/>
  <c r="AD10" i="1"/>
  <c r="AX29" i="9"/>
  <c r="AX30" i="9"/>
  <c r="BC17" i="9"/>
  <c r="BB33" i="9"/>
  <c r="BB23" i="9"/>
  <c r="AY30" i="9"/>
  <c r="AY29" i="9"/>
  <c r="AX56" i="9"/>
  <c r="AX57" i="9"/>
  <c r="AZ25" i="9"/>
  <c r="AZ27" i="9"/>
  <c r="AZ28" i="9"/>
  <c r="AZ38" i="9"/>
  <c r="AZ44" i="9"/>
  <c r="AZ46" i="9"/>
  <c r="AZ47" i="9"/>
  <c r="BA24" i="9"/>
  <c r="BA26" i="9"/>
  <c r="AY56" i="9"/>
  <c r="AE24" i="4"/>
  <c r="AE34" i="4"/>
  <c r="AE35" i="4"/>
  <c r="AK15" i="4"/>
  <c r="AK11" i="4"/>
  <c r="AW21" i="4"/>
  <c r="AL10" i="4"/>
  <c r="AG16" i="4"/>
  <c r="AH12" i="4"/>
  <c r="AJ23" i="4"/>
  <c r="AJ26" i="4"/>
  <c r="AJ20" i="4"/>
  <c r="AF19" i="4"/>
  <c r="AF17" i="4"/>
  <c r="AA23" i="1"/>
  <c r="AA30" i="1"/>
  <c r="AD19" i="1"/>
  <c r="AD25" i="1"/>
  <c r="AD22" i="1"/>
  <c r="AE14" i="1"/>
  <c r="AE10" i="1"/>
  <c r="AF9" i="1"/>
  <c r="AD11" i="1"/>
  <c r="AC15" i="1"/>
  <c r="AB16" i="1"/>
  <c r="AB18" i="1"/>
  <c r="AY57" i="9"/>
  <c r="BD17" i="9"/>
  <c r="BC33" i="9"/>
  <c r="BC23" i="9"/>
  <c r="AZ22" i="9"/>
  <c r="AZ37" i="9"/>
  <c r="BB24" i="9"/>
  <c r="BB27" i="9"/>
  <c r="BB25" i="9"/>
  <c r="BB26" i="9"/>
  <c r="BA25" i="9"/>
  <c r="BA27" i="9"/>
  <c r="BA28" i="9"/>
  <c r="BA38" i="9"/>
  <c r="BA44" i="9"/>
  <c r="BA46" i="9"/>
  <c r="BA47" i="9"/>
  <c r="AF24" i="4"/>
  <c r="AF34" i="4"/>
  <c r="AF35" i="4"/>
  <c r="AG19" i="4"/>
  <c r="AG17" i="4"/>
  <c r="AL15" i="4"/>
  <c r="AM10" i="4"/>
  <c r="AN10" i="4"/>
  <c r="AL11" i="4"/>
  <c r="AX21" i="4"/>
  <c r="AK26" i="4"/>
  <c r="AK20" i="4"/>
  <c r="AK23" i="4"/>
  <c r="AI12" i="4"/>
  <c r="AH16" i="4"/>
  <c r="AB23" i="1"/>
  <c r="AB30" i="1"/>
  <c r="AC18" i="1"/>
  <c r="AC23" i="1"/>
  <c r="AC30" i="1"/>
  <c r="AC16" i="1"/>
  <c r="AF10" i="1"/>
  <c r="AG9" i="1"/>
  <c r="AF14" i="1"/>
  <c r="AE11" i="1"/>
  <c r="AD15" i="1"/>
  <c r="AE19" i="1"/>
  <c r="AE25" i="1"/>
  <c r="AE22" i="1"/>
  <c r="BB28" i="9"/>
  <c r="BB38" i="9"/>
  <c r="BB44" i="9"/>
  <c r="BB46" i="9"/>
  <c r="BB47" i="9"/>
  <c r="BA22" i="9"/>
  <c r="BA37" i="9"/>
  <c r="AZ29" i="9"/>
  <c r="AZ30" i="9"/>
  <c r="BB22" i="9"/>
  <c r="BB37" i="9"/>
  <c r="BC24" i="9"/>
  <c r="BC27" i="9"/>
  <c r="BC26" i="9"/>
  <c r="AZ56" i="9"/>
  <c r="AZ57" i="9"/>
  <c r="BE17" i="9"/>
  <c r="BD33" i="9"/>
  <c r="BD23" i="9"/>
  <c r="AN11" i="4"/>
  <c r="AN15" i="4"/>
  <c r="AO10" i="4"/>
  <c r="AG24" i="4"/>
  <c r="AG34" i="4"/>
  <c r="AG35" i="4"/>
  <c r="AM15" i="4"/>
  <c r="AM11" i="4"/>
  <c r="AY21" i="4"/>
  <c r="AH19" i="4"/>
  <c r="AH17" i="4"/>
  <c r="AI16" i="4"/>
  <c r="AJ12" i="4"/>
  <c r="AL20" i="4"/>
  <c r="AL26" i="4"/>
  <c r="AL23" i="4"/>
  <c r="AD18" i="1"/>
  <c r="AD23" i="1"/>
  <c r="AD30" i="1"/>
  <c r="AD16" i="1"/>
  <c r="AF19" i="1"/>
  <c r="AF25" i="1"/>
  <c r="AF22" i="1"/>
  <c r="AE15" i="1"/>
  <c r="AF11" i="1"/>
  <c r="AG14" i="1"/>
  <c r="AG10" i="1"/>
  <c r="AH9" i="1"/>
  <c r="BB56" i="9"/>
  <c r="BF17" i="9"/>
  <c r="BE33" i="9"/>
  <c r="BE23" i="9"/>
  <c r="BC25" i="9"/>
  <c r="BA29" i="9"/>
  <c r="BA30" i="9"/>
  <c r="BD24" i="9"/>
  <c r="BD26" i="9"/>
  <c r="BC28" i="9"/>
  <c r="BC38" i="9"/>
  <c r="BC44" i="9"/>
  <c r="BC46" i="9"/>
  <c r="BC47" i="9"/>
  <c r="BB29" i="9"/>
  <c r="BB30" i="9"/>
  <c r="BA56" i="9"/>
  <c r="BA57" i="9"/>
  <c r="BB57" i="9"/>
  <c r="AN20" i="4"/>
  <c r="AN26" i="4"/>
  <c r="AZ21" i="4"/>
  <c r="AP10" i="4"/>
  <c r="AO15" i="4"/>
  <c r="AO11" i="4"/>
  <c r="AH24" i="4"/>
  <c r="AH34" i="4"/>
  <c r="AH35" i="4"/>
  <c r="AJ16" i="4"/>
  <c r="AK12" i="4"/>
  <c r="AI19" i="4"/>
  <c r="AI17" i="4"/>
  <c r="AM26" i="4"/>
  <c r="AM23" i="4"/>
  <c r="AM20" i="4"/>
  <c r="AG11" i="1"/>
  <c r="AF15" i="1"/>
  <c r="AI9" i="1"/>
  <c r="AH14" i="1"/>
  <c r="AH10" i="1"/>
  <c r="AE18" i="1"/>
  <c r="AE23" i="1"/>
  <c r="AE30" i="1"/>
  <c r="AE16" i="1"/>
  <c r="AG19" i="1"/>
  <c r="AG25" i="1"/>
  <c r="AG22" i="1"/>
  <c r="BE24" i="9"/>
  <c r="BE26" i="9"/>
  <c r="BD25" i="9"/>
  <c r="BD27" i="9"/>
  <c r="BD28" i="9"/>
  <c r="BD38" i="9"/>
  <c r="BD44" i="9"/>
  <c r="BD46" i="9"/>
  <c r="BD47" i="9"/>
  <c r="BC22" i="9"/>
  <c r="BC37" i="9"/>
  <c r="BG17" i="9"/>
  <c r="BF33" i="9"/>
  <c r="BF23" i="9"/>
  <c r="AP15" i="4"/>
  <c r="AQ10" i="4"/>
  <c r="AP11" i="4"/>
  <c r="AO20" i="4"/>
  <c r="AO26" i="4"/>
  <c r="BA21" i="4"/>
  <c r="AM28" i="4"/>
  <c r="AN23" i="4"/>
  <c r="AO23" i="4"/>
  <c r="AI24" i="4"/>
  <c r="AI34" i="4"/>
  <c r="AI35" i="4"/>
  <c r="N5" i="4"/>
  <c r="O5" i="4"/>
  <c r="AK16" i="4"/>
  <c r="AL12" i="4"/>
  <c r="AJ19" i="4"/>
  <c r="AJ17" i="4"/>
  <c r="AF18" i="1"/>
  <c r="AF23" i="1"/>
  <c r="AF30" i="1"/>
  <c r="AF16" i="1"/>
  <c r="AH19" i="1"/>
  <c r="AH25" i="1"/>
  <c r="AH22" i="1"/>
  <c r="AG15" i="1"/>
  <c r="AH11" i="1"/>
  <c r="AI14" i="1"/>
  <c r="AI10" i="1"/>
  <c r="AJ9" i="1"/>
  <c r="BD22" i="9"/>
  <c r="BD37" i="9"/>
  <c r="BE25" i="9"/>
  <c r="BE27" i="9"/>
  <c r="BE28" i="9"/>
  <c r="BE38" i="9"/>
  <c r="BE44" i="9"/>
  <c r="BE46" i="9"/>
  <c r="BE47" i="9"/>
  <c r="BF24" i="9"/>
  <c r="BF27" i="9"/>
  <c r="BF26" i="9"/>
  <c r="BF28" i="9"/>
  <c r="BC29" i="9"/>
  <c r="BC30" i="9"/>
  <c r="BH17" i="9"/>
  <c r="BG33" i="9"/>
  <c r="BG23" i="9"/>
  <c r="BC56" i="9"/>
  <c r="BC57" i="9"/>
  <c r="AQ15" i="4"/>
  <c r="AR10" i="4"/>
  <c r="AQ11" i="4"/>
  <c r="AP20" i="4"/>
  <c r="AP26" i="4"/>
  <c r="BB21" i="4"/>
  <c r="AP23" i="4"/>
  <c r="AQ23" i="4"/>
  <c r="AJ24" i="4"/>
  <c r="AJ34" i="4"/>
  <c r="AJ35" i="4"/>
  <c r="AL16" i="4"/>
  <c r="AM12" i="4"/>
  <c r="AN12" i="4"/>
  <c r="AK19" i="4"/>
  <c r="AK17" i="4"/>
  <c r="AH15" i="1"/>
  <c r="AI11" i="1"/>
  <c r="AJ10" i="1"/>
  <c r="AJ14" i="1"/>
  <c r="AK9" i="1"/>
  <c r="AG18" i="1"/>
  <c r="AG23" i="1"/>
  <c r="AG30" i="1"/>
  <c r="AG16" i="1"/>
  <c r="AI19" i="1"/>
  <c r="AI25" i="1"/>
  <c r="AI22" i="1"/>
  <c r="BI17" i="9"/>
  <c r="BH33" i="9"/>
  <c r="BH23" i="9"/>
  <c r="BF25" i="9"/>
  <c r="BD29" i="9"/>
  <c r="BD30" i="9"/>
  <c r="BG24" i="9"/>
  <c r="BG27" i="9"/>
  <c r="BG26" i="9"/>
  <c r="BG28" i="9"/>
  <c r="BE22" i="9"/>
  <c r="BE37" i="9"/>
  <c r="BD56" i="9"/>
  <c r="BD57" i="9"/>
  <c r="AQ20" i="4"/>
  <c r="AQ26" i="4"/>
  <c r="BC21" i="4"/>
  <c r="AR11" i="4"/>
  <c r="AR15" i="4"/>
  <c r="AS10" i="4"/>
  <c r="AN16" i="4"/>
  <c r="AO12" i="4"/>
  <c r="AM16" i="4"/>
  <c r="AK24" i="4"/>
  <c r="AK34" i="4"/>
  <c r="AK35" i="4"/>
  <c r="AL19" i="4"/>
  <c r="AL17" i="4"/>
  <c r="AJ19" i="1"/>
  <c r="AJ25" i="1"/>
  <c r="AJ22" i="1"/>
  <c r="AI15" i="1"/>
  <c r="AJ11" i="1"/>
  <c r="AL9" i="1"/>
  <c r="AK14" i="1"/>
  <c r="AK10" i="1"/>
  <c r="AH18" i="1"/>
  <c r="AH23" i="1"/>
  <c r="AH30" i="1"/>
  <c r="AH16" i="1"/>
  <c r="BE29" i="9"/>
  <c r="BE30" i="9"/>
  <c r="BG38" i="9"/>
  <c r="BG44" i="9"/>
  <c r="BG46" i="9"/>
  <c r="BG47" i="9"/>
  <c r="BF22" i="9"/>
  <c r="BF37" i="9"/>
  <c r="BF38" i="9"/>
  <c r="BF44" i="9"/>
  <c r="BF46" i="9"/>
  <c r="BF47" i="9"/>
  <c r="BJ17" i="9"/>
  <c r="BI33" i="9"/>
  <c r="BI23" i="9"/>
  <c r="BG25" i="9"/>
  <c r="BH24" i="9"/>
  <c r="BH26" i="9"/>
  <c r="BE56" i="9"/>
  <c r="BE57" i="9"/>
  <c r="AS15" i="4"/>
  <c r="AS11" i="4"/>
  <c r="AT10" i="4"/>
  <c r="AR20" i="4"/>
  <c r="AR26" i="4"/>
  <c r="BD21" i="4"/>
  <c r="AR23" i="4"/>
  <c r="AS23" i="4"/>
  <c r="AM19" i="4"/>
  <c r="AM24" i="4"/>
  <c r="AM34" i="4"/>
  <c r="AM17" i="4"/>
  <c r="AO16" i="4"/>
  <c r="AP12" i="4"/>
  <c r="AN19" i="4"/>
  <c r="AN17" i="4"/>
  <c r="AL24" i="4"/>
  <c r="AL34" i="4"/>
  <c r="AL35" i="4"/>
  <c r="AK19" i="1"/>
  <c r="AK25" i="1"/>
  <c r="AK22" i="1"/>
  <c r="AI18" i="1"/>
  <c r="AI23" i="1"/>
  <c r="AI30" i="1"/>
  <c r="AI16" i="1"/>
  <c r="AL10" i="1"/>
  <c r="AM9" i="1"/>
  <c r="AL14" i="1"/>
  <c r="AK11" i="1"/>
  <c r="AJ15" i="1"/>
  <c r="BG22" i="9"/>
  <c r="BG37" i="9"/>
  <c r="BF56" i="9"/>
  <c r="BF57" i="9"/>
  <c r="BH25" i="9"/>
  <c r="BH27" i="9"/>
  <c r="BI24" i="9"/>
  <c r="BI26" i="9"/>
  <c r="BK17" i="9"/>
  <c r="BJ23" i="9"/>
  <c r="BJ33" i="9"/>
  <c r="BH28" i="9"/>
  <c r="BF29" i="9"/>
  <c r="BF30" i="9"/>
  <c r="AT11" i="4"/>
  <c r="AU10" i="4"/>
  <c r="AT15" i="4"/>
  <c r="AS20" i="4"/>
  <c r="AS26" i="4"/>
  <c r="BE21" i="4"/>
  <c r="AM35" i="4"/>
  <c r="AN24" i="4"/>
  <c r="AN34" i="4"/>
  <c r="AP16" i="4"/>
  <c r="AQ12" i="4"/>
  <c r="AO19" i="4"/>
  <c r="AO24" i="4"/>
  <c r="AO34" i="4"/>
  <c r="AO17" i="4"/>
  <c r="AL11" i="1"/>
  <c r="AK15" i="1"/>
  <c r="AM14" i="1"/>
  <c r="AM10" i="1"/>
  <c r="AJ18" i="1"/>
  <c r="AJ23" i="1"/>
  <c r="AJ30" i="1"/>
  <c r="AJ16" i="1"/>
  <c r="AL19" i="1"/>
  <c r="AL25" i="1"/>
  <c r="AL22" i="1"/>
  <c r="BH22" i="9"/>
  <c r="BH37" i="9"/>
  <c r="BH38" i="9"/>
  <c r="BH44" i="9"/>
  <c r="BH46" i="9"/>
  <c r="BH47" i="9"/>
  <c r="BK33" i="9"/>
  <c r="BK23" i="9"/>
  <c r="BI25" i="9"/>
  <c r="BI27" i="9"/>
  <c r="BI28" i="9"/>
  <c r="BI38" i="9"/>
  <c r="BI44" i="9"/>
  <c r="BI46" i="9"/>
  <c r="BI47" i="9"/>
  <c r="BG56" i="9"/>
  <c r="BG57" i="9"/>
  <c r="BG29" i="9"/>
  <c r="BG30" i="9"/>
  <c r="BJ24" i="9"/>
  <c r="BJ27" i="9"/>
  <c r="BJ25" i="9"/>
  <c r="BJ26" i="9"/>
  <c r="AV10" i="4"/>
  <c r="AU11" i="4"/>
  <c r="AU15" i="4"/>
  <c r="AT26" i="4"/>
  <c r="AT20" i="4"/>
  <c r="BF21" i="4"/>
  <c r="AT23" i="4"/>
  <c r="AN35" i="4"/>
  <c r="AO35" i="4"/>
  <c r="AR12" i="4"/>
  <c r="AQ16" i="4"/>
  <c r="AP19" i="4"/>
  <c r="AP17" i="4"/>
  <c r="AK16" i="1"/>
  <c r="AK18" i="1"/>
  <c r="AK23" i="1"/>
  <c r="AK30" i="1"/>
  <c r="AM11" i="1"/>
  <c r="AL15" i="1"/>
  <c r="AM19" i="1"/>
  <c r="AM25" i="1"/>
  <c r="AM22" i="1"/>
  <c r="BK25" i="9"/>
  <c r="BK24" i="9"/>
  <c r="BK27" i="9"/>
  <c r="BK26" i="9"/>
  <c r="BK28" i="9"/>
  <c r="BJ22" i="9"/>
  <c r="BJ37" i="9"/>
  <c r="BH56" i="9"/>
  <c r="BH57" i="9"/>
  <c r="BI22" i="9"/>
  <c r="BI37" i="9"/>
  <c r="BH29" i="9"/>
  <c r="BH30" i="9"/>
  <c r="BJ28" i="9"/>
  <c r="BJ38" i="9"/>
  <c r="BJ44" i="9"/>
  <c r="BJ46" i="9"/>
  <c r="BJ47" i="9"/>
  <c r="AU26" i="4"/>
  <c r="AU20" i="4"/>
  <c r="BG21" i="4"/>
  <c r="AU23" i="4"/>
  <c r="AV11" i="4"/>
  <c r="AV15" i="4"/>
  <c r="AW10" i="4"/>
  <c r="N5" i="1"/>
  <c r="AM27" i="1"/>
  <c r="AP24" i="4"/>
  <c r="AP34" i="4"/>
  <c r="AP35" i="4"/>
  <c r="AQ19" i="4"/>
  <c r="AQ24" i="4"/>
  <c r="AQ34" i="4"/>
  <c r="AQ17" i="4"/>
  <c r="AS12" i="4"/>
  <c r="AR16" i="4"/>
  <c r="AM15" i="1"/>
  <c r="AL18" i="1"/>
  <c r="AL23" i="1"/>
  <c r="AL30" i="1"/>
  <c r="AL16" i="1"/>
  <c r="AM16" i="1"/>
  <c r="BK22" i="9"/>
  <c r="BK37" i="9"/>
  <c r="BI30" i="9"/>
  <c r="BI29" i="9"/>
  <c r="BJ29" i="9"/>
  <c r="BJ30" i="9"/>
  <c r="BK38" i="9"/>
  <c r="BK44" i="9"/>
  <c r="BK46" i="9"/>
  <c r="BK47" i="9"/>
  <c r="BJ56" i="9"/>
  <c r="BI56" i="9"/>
  <c r="BI57" i="9"/>
  <c r="AV23" i="4"/>
  <c r="AV20" i="4"/>
  <c r="AV26" i="4"/>
  <c r="BH21" i="4"/>
  <c r="AW15" i="4"/>
  <c r="AW11" i="4"/>
  <c r="AX10" i="4"/>
  <c r="AQ35" i="4"/>
  <c r="AR19" i="4"/>
  <c r="AR24" i="4"/>
  <c r="AR34" i="4"/>
  <c r="AR17" i="4"/>
  <c r="AS16" i="4"/>
  <c r="AT12" i="4"/>
  <c r="AM18" i="1"/>
  <c r="BJ57" i="9"/>
  <c r="BK29" i="9"/>
  <c r="BK30" i="9"/>
  <c r="BK56" i="9"/>
  <c r="AX11" i="4"/>
  <c r="AY10" i="4"/>
  <c r="AX15" i="4"/>
  <c r="AW23" i="4"/>
  <c r="AX23" i="4"/>
  <c r="AW26" i="4"/>
  <c r="AW20" i="4"/>
  <c r="BI21" i="4"/>
  <c r="AR35" i="4"/>
  <c r="AU12" i="4"/>
  <c r="AT16" i="4"/>
  <c r="AS19" i="4"/>
  <c r="AS24" i="4"/>
  <c r="AS34" i="4"/>
  <c r="AS17" i="4"/>
  <c r="AM23" i="1"/>
  <c r="AM30" i="1"/>
  <c r="BK57" i="9"/>
  <c r="C53" i="9"/>
  <c r="AY11" i="4"/>
  <c r="AZ10" i="4"/>
  <c r="AY15" i="4"/>
  <c r="AX20" i="4"/>
  <c r="AX26" i="4"/>
  <c r="BJ21" i="4"/>
  <c r="AS35" i="4"/>
  <c r="AT17" i="4"/>
  <c r="AT19" i="4"/>
  <c r="AU16" i="4"/>
  <c r="AV12" i="4"/>
  <c r="C33" i="1"/>
  <c r="I3" i="1"/>
  <c r="C34" i="1"/>
  <c r="I4" i="1"/>
  <c r="AZ11" i="4"/>
  <c r="AZ15" i="4"/>
  <c r="BA10" i="4"/>
  <c r="AY26" i="4"/>
  <c r="AY20" i="4"/>
  <c r="BK21" i="4"/>
  <c r="AY23" i="4"/>
  <c r="AY28" i="4"/>
  <c r="AT24" i="4"/>
  <c r="AT34" i="4"/>
  <c r="AT35" i="4"/>
  <c r="AW12" i="4"/>
  <c r="AV16" i="4"/>
  <c r="AU19" i="4"/>
  <c r="AU24" i="4"/>
  <c r="AU34" i="4"/>
  <c r="AU17" i="4"/>
  <c r="AZ20" i="4"/>
  <c r="AZ26" i="4"/>
  <c r="AZ23" i="4"/>
  <c r="BA15" i="4"/>
  <c r="BA11" i="4"/>
  <c r="BB10" i="4"/>
  <c r="AU35" i="4"/>
  <c r="AV19" i="4"/>
  <c r="AV24" i="4"/>
  <c r="AV34" i="4"/>
  <c r="AV17" i="4"/>
  <c r="AW16" i="4"/>
  <c r="AX12" i="4"/>
  <c r="BA23" i="4"/>
  <c r="BC10" i="4"/>
  <c r="BB11" i="4"/>
  <c r="BB15" i="4"/>
  <c r="BA26" i="4"/>
  <c r="BA20" i="4"/>
  <c r="AV35" i="4"/>
  <c r="AY12" i="4"/>
  <c r="AX16" i="4"/>
  <c r="AW19" i="4"/>
  <c r="AW24" i="4"/>
  <c r="AW34" i="4"/>
  <c r="AW17" i="4"/>
  <c r="BC11" i="4"/>
  <c r="BD10" i="4"/>
  <c r="BC15" i="4"/>
  <c r="BB23" i="4"/>
  <c r="BB26" i="4"/>
  <c r="BB20" i="4"/>
  <c r="AW35" i="4"/>
  <c r="AX19" i="4"/>
  <c r="AX24" i="4"/>
  <c r="AX34" i="4"/>
  <c r="AX17" i="4"/>
  <c r="AY16" i="4"/>
  <c r="AZ12" i="4"/>
  <c r="BC26" i="4"/>
  <c r="BC20" i="4"/>
  <c r="BC23" i="4"/>
  <c r="BD23" i="4"/>
  <c r="BD15" i="4"/>
  <c r="BE10" i="4"/>
  <c r="BD11" i="4"/>
  <c r="AX35" i="4"/>
  <c r="AY17" i="4"/>
  <c r="AY19" i="4"/>
  <c r="BA12" i="4"/>
  <c r="AZ16" i="4"/>
  <c r="BD26" i="4"/>
  <c r="BD20" i="4"/>
  <c r="BE15" i="4"/>
  <c r="BF10" i="4"/>
  <c r="BE11" i="4"/>
  <c r="AY24" i="4"/>
  <c r="AY34" i="4"/>
  <c r="AY35" i="4"/>
  <c r="BA16" i="4"/>
  <c r="BB12" i="4"/>
  <c r="AZ19" i="4"/>
  <c r="AZ17" i="4"/>
  <c r="BE20" i="4"/>
  <c r="BE26" i="4"/>
  <c r="BG10" i="4"/>
  <c r="BF15" i="4"/>
  <c r="BF11" i="4"/>
  <c r="BE23" i="4"/>
  <c r="AZ24" i="4"/>
  <c r="AZ34" i="4"/>
  <c r="AZ35" i="4"/>
  <c r="BC12" i="4"/>
  <c r="BB16" i="4"/>
  <c r="BA19" i="4"/>
  <c r="BA24" i="4"/>
  <c r="BA34" i="4"/>
  <c r="BA17" i="4"/>
  <c r="BF26" i="4"/>
  <c r="BF20" i="4"/>
  <c r="BH10" i="4"/>
  <c r="BG15" i="4"/>
  <c r="BG11" i="4"/>
  <c r="BF23" i="4"/>
  <c r="BA35" i="4"/>
  <c r="BB19" i="4"/>
  <c r="BB24" i="4"/>
  <c r="BB34" i="4"/>
  <c r="BB17" i="4"/>
  <c r="BC16" i="4"/>
  <c r="BD12" i="4"/>
  <c r="BG23" i="4"/>
  <c r="BG26" i="4"/>
  <c r="BG20" i="4"/>
  <c r="BH11" i="4"/>
  <c r="BH15" i="4"/>
  <c r="BI10" i="4"/>
  <c r="BB35" i="4"/>
  <c r="BE12" i="4"/>
  <c r="BD16" i="4"/>
  <c r="BC19" i="4"/>
  <c r="BC24" i="4"/>
  <c r="BC34" i="4"/>
  <c r="BC17" i="4"/>
  <c r="BH26" i="4"/>
  <c r="BH20" i="4"/>
  <c r="BH23" i="4"/>
  <c r="BI23" i="4"/>
  <c r="BJ10" i="4"/>
  <c r="BI15" i="4"/>
  <c r="BI11" i="4"/>
  <c r="BC35" i="4"/>
  <c r="BD19" i="4"/>
  <c r="BD17" i="4"/>
  <c r="BE16" i="4"/>
  <c r="BF12" i="4"/>
  <c r="BK10" i="4"/>
  <c r="BJ11" i="4"/>
  <c r="BJ15" i="4"/>
  <c r="BJ23" i="4"/>
  <c r="BI26" i="4"/>
  <c r="BI20" i="4"/>
  <c r="BD24" i="4"/>
  <c r="BD34" i="4"/>
  <c r="BD35" i="4"/>
  <c r="BF16" i="4"/>
  <c r="BG12" i="4"/>
  <c r="BE19" i="4"/>
  <c r="BE24" i="4"/>
  <c r="BE34" i="4"/>
  <c r="BE17" i="4"/>
  <c r="BJ26" i="4"/>
  <c r="BJ20" i="4"/>
  <c r="BK15" i="4"/>
  <c r="BK11" i="4"/>
  <c r="BE35" i="4"/>
  <c r="BG16" i="4"/>
  <c r="BH12" i="4"/>
  <c r="BF17" i="4"/>
  <c r="BF19" i="4"/>
  <c r="BK26" i="4"/>
  <c r="BK20" i="4"/>
  <c r="BK23" i="4"/>
  <c r="BK28" i="4"/>
  <c r="BF24" i="4"/>
  <c r="BF34" i="4"/>
  <c r="BF35" i="4"/>
  <c r="BI12" i="4"/>
  <c r="BH16" i="4"/>
  <c r="BG19" i="4"/>
  <c r="BG24" i="4"/>
  <c r="BG34" i="4"/>
  <c r="BG17" i="4"/>
  <c r="BG35" i="4"/>
  <c r="BH19" i="4"/>
  <c r="BH24" i="4"/>
  <c r="BH34" i="4"/>
  <c r="BH17" i="4"/>
  <c r="BJ12" i="4"/>
  <c r="BI16" i="4"/>
  <c r="BH35" i="4"/>
  <c r="BI19" i="4"/>
  <c r="BI24" i="4"/>
  <c r="BI34" i="4"/>
  <c r="BI17" i="4"/>
  <c r="BK12" i="4"/>
  <c r="BJ16" i="4"/>
  <c r="BI35" i="4"/>
  <c r="BJ19" i="4"/>
  <c r="BJ24" i="4"/>
  <c r="BJ34" i="4"/>
  <c r="BJ17" i="4"/>
  <c r="BK16" i="4"/>
  <c r="BJ35" i="4"/>
  <c r="BK19" i="4"/>
  <c r="BK17" i="4"/>
  <c r="BK24" i="4"/>
  <c r="BK34" i="4"/>
  <c r="C38" i="4"/>
  <c r="I4" i="4"/>
  <c r="BK35" i="4"/>
  <c r="C39" i="4"/>
  <c r="I5" i="4"/>
  <c r="C37" i="4"/>
  <c r="I3" i="4"/>
  <c r="X38" i="28" l="1"/>
  <c r="X44" i="28" s="1"/>
  <c r="X46" i="28" s="1"/>
  <c r="X47" i="28" s="1"/>
  <c r="X37" i="28"/>
  <c r="X56" i="28" s="1"/>
  <c r="X22" i="28"/>
  <c r="W29" i="28"/>
  <c r="W30" i="28" s="1"/>
  <c r="Y25" i="28"/>
  <c r="W56" i="28"/>
  <c r="W57" i="28" s="1"/>
  <c r="X57" i="28" s="1"/>
  <c r="AA33" i="28"/>
  <c r="AA23" i="28"/>
  <c r="AB17" i="28"/>
  <c r="Y28" i="28"/>
  <c r="Z26" i="28"/>
  <c r="Z24" i="28"/>
  <c r="Z27" i="28" s="1"/>
  <c r="U56" i="26"/>
  <c r="E42" i="9"/>
  <c r="D44" i="9"/>
  <c r="D46" i="9" s="1"/>
  <c r="D47" i="9" s="1"/>
  <c r="C40" i="9"/>
  <c r="E11" i="16"/>
  <c r="C39" i="26"/>
  <c r="C39" i="20"/>
  <c r="C44" i="20" s="1"/>
  <c r="C47" i="20" s="1"/>
  <c r="C48" i="20" s="1"/>
  <c r="C39" i="9"/>
  <c r="C12" i="24"/>
  <c r="C22" i="24" s="1"/>
  <c r="C31" i="24"/>
  <c r="F7" i="25"/>
  <c r="F13" i="25"/>
  <c r="C11" i="24" s="1"/>
  <c r="E7" i="25"/>
  <c r="E16" i="25"/>
  <c r="E13" i="25"/>
  <c r="F14" i="25"/>
  <c r="F16" i="25" s="1"/>
  <c r="C13" i="24" s="1"/>
  <c r="D24" i="20"/>
  <c r="D27" i="20" s="1"/>
  <c r="E28" i="20"/>
  <c r="E38" i="20" s="1"/>
  <c r="E37" i="20"/>
  <c r="U57" i="26"/>
  <c r="W28" i="26"/>
  <c r="G30" i="24"/>
  <c r="G35" i="24" s="1"/>
  <c r="F25" i="20"/>
  <c r="F27" i="20"/>
  <c r="D28" i="20"/>
  <c r="G18" i="20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G17" i="20"/>
  <c r="E29" i="20"/>
  <c r="E30" i="20" s="1"/>
  <c r="E44" i="20"/>
  <c r="E46" i="20" s="1"/>
  <c r="E47" i="20" s="1"/>
  <c r="E56" i="20"/>
  <c r="F26" i="20"/>
  <c r="G9" i="20"/>
  <c r="H9" i="20" s="1"/>
  <c r="I9" i="20" s="1"/>
  <c r="J9" i="20" s="1"/>
  <c r="K9" i="20" s="1"/>
  <c r="L9" i="20" s="1"/>
  <c r="M9" i="20" s="1"/>
  <c r="N9" i="20" s="1"/>
  <c r="O9" i="20" s="1"/>
  <c r="D25" i="20"/>
  <c r="U29" i="26"/>
  <c r="U30" i="26" s="1"/>
  <c r="V38" i="26"/>
  <c r="V44" i="26" s="1"/>
  <c r="V46" i="26" s="1"/>
  <c r="V47" i="26" s="1"/>
  <c r="V37" i="26"/>
  <c r="V22" i="26"/>
  <c r="W25" i="26"/>
  <c r="Y33" i="26"/>
  <c r="Y23" i="26"/>
  <c r="Z17" i="26"/>
  <c r="X26" i="26"/>
  <c r="X24" i="26"/>
  <c r="X27" i="26" s="1"/>
  <c r="F35" i="24"/>
  <c r="X29" i="28" l="1"/>
  <c r="X30" i="28" s="1"/>
  <c r="Z25" i="28"/>
  <c r="AB33" i="28"/>
  <c r="AB23" i="28"/>
  <c r="AC17" i="28"/>
  <c r="Y38" i="28"/>
  <c r="Y44" i="28" s="1"/>
  <c r="Y46" i="28" s="1"/>
  <c r="Y47" i="28" s="1"/>
  <c r="Y37" i="28"/>
  <c r="Y56" i="28" s="1"/>
  <c r="Y57" i="28" s="1"/>
  <c r="Y22" i="28"/>
  <c r="Z28" i="28"/>
  <c r="AA24" i="28"/>
  <c r="AA27" i="28" s="1"/>
  <c r="AA26" i="28"/>
  <c r="AA28" i="28" s="1"/>
  <c r="E44" i="9"/>
  <c r="E46" i="9" s="1"/>
  <c r="E47" i="9" s="1"/>
  <c r="F42" i="9"/>
  <c r="C10" i="24"/>
  <c r="C16" i="24" s="1"/>
  <c r="F17" i="25"/>
  <c r="E17" i="25"/>
  <c r="C23" i="24"/>
  <c r="D23" i="24" s="1"/>
  <c r="E23" i="24" s="1"/>
  <c r="F23" i="24" s="1"/>
  <c r="G23" i="24" s="1"/>
  <c r="D16" i="24"/>
  <c r="F28" i="20"/>
  <c r="V56" i="26"/>
  <c r="V57" i="26" s="1"/>
  <c r="D38" i="20"/>
  <c r="D37" i="20"/>
  <c r="D22" i="20"/>
  <c r="H17" i="20"/>
  <c r="G23" i="20"/>
  <c r="G33" i="20"/>
  <c r="F22" i="20"/>
  <c r="F38" i="20"/>
  <c r="F44" i="20" s="1"/>
  <c r="F46" i="20" s="1"/>
  <c r="F47" i="20" s="1"/>
  <c r="F37" i="20"/>
  <c r="E13" i="24"/>
  <c r="Y26" i="26"/>
  <c r="Y28" i="26" s="1"/>
  <c r="Y24" i="26"/>
  <c r="Y27" i="26" s="1"/>
  <c r="V29" i="26"/>
  <c r="V30" i="26" s="1"/>
  <c r="X25" i="26"/>
  <c r="Z33" i="26"/>
  <c r="Z23" i="26"/>
  <c r="AA17" i="26"/>
  <c r="X28" i="26"/>
  <c r="W38" i="26"/>
  <c r="W44" i="26" s="1"/>
  <c r="W46" i="26" s="1"/>
  <c r="W47" i="26" s="1"/>
  <c r="W37" i="26"/>
  <c r="W22" i="26"/>
  <c r="AC33" i="28" l="1"/>
  <c r="AC23" i="28"/>
  <c r="AD17" i="28"/>
  <c r="AA25" i="28"/>
  <c r="Y29" i="28"/>
  <c r="Y30" i="28" s="1"/>
  <c r="AB26" i="28"/>
  <c r="AB24" i="28"/>
  <c r="AB27" i="28" s="1"/>
  <c r="Z38" i="28"/>
  <c r="Z44" i="28" s="1"/>
  <c r="Z46" i="28" s="1"/>
  <c r="Z47" i="28" s="1"/>
  <c r="Z37" i="28"/>
  <c r="Z22" i="28"/>
  <c r="G42" i="9"/>
  <c r="F44" i="9"/>
  <c r="F46" i="9" s="1"/>
  <c r="F47" i="9" s="1"/>
  <c r="AA41" i="9"/>
  <c r="C26" i="24"/>
  <c r="O41" i="9"/>
  <c r="C41" i="26"/>
  <c r="C44" i="26" s="1"/>
  <c r="C47" i="26" s="1"/>
  <c r="C48" i="26" s="1"/>
  <c r="D48" i="26" s="1"/>
  <c r="E48" i="26" s="1"/>
  <c r="F48" i="26" s="1"/>
  <c r="G48" i="26" s="1"/>
  <c r="H48" i="26" s="1"/>
  <c r="I48" i="26" s="1"/>
  <c r="J48" i="26" s="1"/>
  <c r="K48" i="26" s="1"/>
  <c r="L48" i="26" s="1"/>
  <c r="M48" i="26" s="1"/>
  <c r="N48" i="26" s="1"/>
  <c r="C41" i="9"/>
  <c r="C44" i="9" s="1"/>
  <c r="C47" i="9" s="1"/>
  <c r="C48" i="9" s="1"/>
  <c r="D48" i="9" s="1"/>
  <c r="E48" i="9" s="1"/>
  <c r="F48" i="9" s="1"/>
  <c r="D56" i="20"/>
  <c r="D57" i="20" s="1"/>
  <c r="E57" i="20" s="1"/>
  <c r="W56" i="26"/>
  <c r="W57" i="26" s="1"/>
  <c r="Y25" i="26"/>
  <c r="Y37" i="26" s="1"/>
  <c r="H33" i="20"/>
  <c r="H23" i="20"/>
  <c r="I17" i="20"/>
  <c r="F29" i="20"/>
  <c r="F30" i="20" s="1"/>
  <c r="D29" i="20"/>
  <c r="D30" i="20" s="1"/>
  <c r="F56" i="20"/>
  <c r="F57" i="20" s="1"/>
  <c r="G26" i="20"/>
  <c r="G24" i="20"/>
  <c r="G27" i="20" s="1"/>
  <c r="E16" i="24"/>
  <c r="E26" i="24"/>
  <c r="F13" i="24"/>
  <c r="X37" i="26"/>
  <c r="X38" i="26"/>
  <c r="X44" i="26" s="1"/>
  <c r="X46" i="26" s="1"/>
  <c r="X47" i="26" s="1"/>
  <c r="X22" i="26"/>
  <c r="Y38" i="26"/>
  <c r="Y44" i="26" s="1"/>
  <c r="Y46" i="26" s="1"/>
  <c r="Y47" i="26" s="1"/>
  <c r="Z26" i="26"/>
  <c r="Z24" i="26"/>
  <c r="Z27" i="26" s="1"/>
  <c r="W29" i="26"/>
  <c r="W30" i="26" s="1"/>
  <c r="AA33" i="26"/>
  <c r="AB17" i="26"/>
  <c r="AA23" i="26"/>
  <c r="Z29" i="28" l="1"/>
  <c r="Z30" i="28" s="1"/>
  <c r="Z56" i="28"/>
  <c r="Z57" i="28" s="1"/>
  <c r="AB25" i="28"/>
  <c r="AA38" i="28"/>
  <c r="AA37" i="28"/>
  <c r="AA56" i="28" s="1"/>
  <c r="AA22" i="28"/>
  <c r="AC26" i="28"/>
  <c r="AC24" i="28"/>
  <c r="AC27" i="28" s="1"/>
  <c r="AB28" i="28"/>
  <c r="AD33" i="28"/>
  <c r="AE17" i="28"/>
  <c r="AD23" i="28"/>
  <c r="Y22" i="26"/>
  <c r="Y30" i="26" s="1"/>
  <c r="H42" i="9"/>
  <c r="G44" i="9"/>
  <c r="G46" i="9" s="1"/>
  <c r="G47" i="9" s="1"/>
  <c r="G48" i="9" s="1"/>
  <c r="G25" i="20"/>
  <c r="I23" i="20"/>
  <c r="I33" i="20"/>
  <c r="J17" i="20"/>
  <c r="G28" i="20"/>
  <c r="H26" i="20"/>
  <c r="H24" i="20"/>
  <c r="H27" i="20" s="1"/>
  <c r="G13" i="24"/>
  <c r="G16" i="24" s="1"/>
  <c r="AM41" i="9"/>
  <c r="F16" i="24"/>
  <c r="AY41" i="26"/>
  <c r="F26" i="24"/>
  <c r="AB23" i="26"/>
  <c r="AB33" i="26"/>
  <c r="AC17" i="26"/>
  <c r="Y56" i="26"/>
  <c r="X56" i="26"/>
  <c r="X57" i="26" s="1"/>
  <c r="Z25" i="26"/>
  <c r="Y29" i="26"/>
  <c r="AA24" i="26"/>
  <c r="AA27" i="26" s="1"/>
  <c r="AA26" i="26"/>
  <c r="Z28" i="26"/>
  <c r="X29" i="26"/>
  <c r="X30" i="26"/>
  <c r="AE33" i="28" l="1"/>
  <c r="AE23" i="28"/>
  <c r="AF17" i="28"/>
  <c r="AC25" i="28"/>
  <c r="AC28" i="28"/>
  <c r="AB38" i="28"/>
  <c r="AB44" i="28" s="1"/>
  <c r="AB46" i="28" s="1"/>
  <c r="AB47" i="28" s="1"/>
  <c r="AB37" i="28"/>
  <c r="AB56" i="28" s="1"/>
  <c r="AB22" i="28"/>
  <c r="AD26" i="28"/>
  <c r="AD24" i="28"/>
  <c r="AD27" i="28" s="1"/>
  <c r="AA29" i="28"/>
  <c r="AA30" i="28" s="1"/>
  <c r="AA57" i="28"/>
  <c r="AB57" i="28" s="1"/>
  <c r="I42" i="9"/>
  <c r="H44" i="9"/>
  <c r="H46" i="9" s="1"/>
  <c r="H47" i="9" s="1"/>
  <c r="H48" i="9" s="1"/>
  <c r="AY41" i="9"/>
  <c r="Y57" i="26"/>
  <c r="H25" i="20"/>
  <c r="H37" i="20" s="1"/>
  <c r="J23" i="20"/>
  <c r="J33" i="20"/>
  <c r="K17" i="20"/>
  <c r="G38" i="20"/>
  <c r="G44" i="20" s="1"/>
  <c r="G46" i="20" s="1"/>
  <c r="G47" i="20" s="1"/>
  <c r="G37" i="20"/>
  <c r="G22" i="20"/>
  <c r="H28" i="20"/>
  <c r="H38" i="20" s="1"/>
  <c r="H44" i="20" s="1"/>
  <c r="H46" i="20" s="1"/>
  <c r="H47" i="20" s="1"/>
  <c r="I24" i="20"/>
  <c r="I27" i="20" s="1"/>
  <c r="I26" i="20"/>
  <c r="G26" i="24"/>
  <c r="Z38" i="26"/>
  <c r="Z44" i="26" s="1"/>
  <c r="Z46" i="26" s="1"/>
  <c r="Z47" i="26" s="1"/>
  <c r="Z37" i="26"/>
  <c r="Z22" i="26"/>
  <c r="AC23" i="26"/>
  <c r="AC33" i="26"/>
  <c r="AD17" i="26"/>
  <c r="AA25" i="26"/>
  <c r="AB24" i="26"/>
  <c r="AB27" i="26" s="1"/>
  <c r="AB26" i="26"/>
  <c r="AA28" i="26"/>
  <c r="AF33" i="28" l="1"/>
  <c r="AG17" i="28"/>
  <c r="AF23" i="28"/>
  <c r="AD25" i="28"/>
  <c r="AD28" i="28"/>
  <c r="AC57" i="28"/>
  <c r="AE24" i="28"/>
  <c r="AE27" i="28" s="1"/>
  <c r="AE26" i="28"/>
  <c r="AE28" i="28" s="1"/>
  <c r="AB30" i="28"/>
  <c r="AB29" i="28"/>
  <c r="AC38" i="28"/>
  <c r="AC44" i="28" s="1"/>
  <c r="AC46" i="28" s="1"/>
  <c r="AC47" i="28" s="1"/>
  <c r="AC37" i="28"/>
  <c r="AC56" i="28" s="1"/>
  <c r="AC22" i="28"/>
  <c r="I44" i="9"/>
  <c r="I46" i="9" s="1"/>
  <c r="I47" i="9" s="1"/>
  <c r="I48" i="9" s="1"/>
  <c r="J42" i="9"/>
  <c r="H22" i="20"/>
  <c r="I25" i="20"/>
  <c r="I37" i="20" s="1"/>
  <c r="G56" i="20"/>
  <c r="G57" i="20" s="1"/>
  <c r="Z56" i="26"/>
  <c r="Z57" i="26" s="1"/>
  <c r="I28" i="20"/>
  <c r="H56" i="20"/>
  <c r="G29" i="20"/>
  <c r="G30" i="20" s="1"/>
  <c r="I22" i="20"/>
  <c r="H57" i="20"/>
  <c r="J26" i="20"/>
  <c r="J24" i="20"/>
  <c r="J27" i="20" s="1"/>
  <c r="H29" i="20"/>
  <c r="H30" i="20" s="1"/>
  <c r="L17" i="20"/>
  <c r="K23" i="20"/>
  <c r="K33" i="20"/>
  <c r="AB25" i="26"/>
  <c r="AC26" i="26"/>
  <c r="AC24" i="26"/>
  <c r="AC27" i="26" s="1"/>
  <c r="AB28" i="26"/>
  <c r="AA38" i="26"/>
  <c r="AA37" i="26"/>
  <c r="AA56" i="26" s="1"/>
  <c r="AA57" i="26" s="1"/>
  <c r="AA22" i="26"/>
  <c r="Z29" i="26"/>
  <c r="Z30" i="26" s="1"/>
  <c r="AD33" i="26"/>
  <c r="AD23" i="26"/>
  <c r="AE17" i="26"/>
  <c r="AC29" i="28" l="1"/>
  <c r="AC30" i="28" s="1"/>
  <c r="AG33" i="28"/>
  <c r="AG23" i="28"/>
  <c r="AH17" i="28"/>
  <c r="AF26" i="28"/>
  <c r="AF28" i="28" s="1"/>
  <c r="AF24" i="28"/>
  <c r="AF27" i="28" s="1"/>
  <c r="AE25" i="28"/>
  <c r="AD37" i="28"/>
  <c r="AD22" i="28"/>
  <c r="AD38" i="28"/>
  <c r="AD44" i="28" s="1"/>
  <c r="AD46" i="28" s="1"/>
  <c r="AD47" i="28" s="1"/>
  <c r="J44" i="9"/>
  <c r="J46" i="9" s="1"/>
  <c r="J47" i="9" s="1"/>
  <c r="K42" i="9"/>
  <c r="I38" i="20"/>
  <c r="I44" i="20" s="1"/>
  <c r="I46" i="20" s="1"/>
  <c r="I47" i="20" s="1"/>
  <c r="I56" i="20"/>
  <c r="L33" i="20"/>
  <c r="L23" i="20"/>
  <c r="M17" i="20"/>
  <c r="J25" i="20"/>
  <c r="I29" i="20"/>
  <c r="I30" i="20" s="1"/>
  <c r="K26" i="20"/>
  <c r="K24" i="20"/>
  <c r="K27" i="20" s="1"/>
  <c r="J28" i="20"/>
  <c r="I57" i="20"/>
  <c r="AD26" i="26"/>
  <c r="AD24" i="26"/>
  <c r="AD27" i="26" s="1"/>
  <c r="AA29" i="26"/>
  <c r="AA30" i="26" s="1"/>
  <c r="AC25" i="26"/>
  <c r="AC28" i="26"/>
  <c r="AE33" i="26"/>
  <c r="AF17" i="26"/>
  <c r="AE23" i="26"/>
  <c r="AB38" i="26"/>
  <c r="AB44" i="26" s="1"/>
  <c r="AB46" i="26" s="1"/>
  <c r="AB47" i="26" s="1"/>
  <c r="AB37" i="26"/>
  <c r="AB22" i="26"/>
  <c r="AH33" i="28" l="1"/>
  <c r="AH23" i="28"/>
  <c r="AI17" i="28"/>
  <c r="AD29" i="28"/>
  <c r="AD30" i="28"/>
  <c r="AG26" i="28"/>
  <c r="AG28" i="28" s="1"/>
  <c r="AG25" i="28"/>
  <c r="AG24" i="28"/>
  <c r="AG27" i="28" s="1"/>
  <c r="AE37" i="28"/>
  <c r="AE38" i="28"/>
  <c r="AE44" i="28" s="1"/>
  <c r="AE46" i="28" s="1"/>
  <c r="AE47" i="28" s="1"/>
  <c r="AE22" i="28"/>
  <c r="AD56" i="28"/>
  <c r="AD57" i="28" s="1"/>
  <c r="AF25" i="28"/>
  <c r="L42" i="9"/>
  <c r="K44" i="9"/>
  <c r="K46" i="9" s="1"/>
  <c r="K47" i="9" s="1"/>
  <c r="J48" i="9"/>
  <c r="K25" i="20"/>
  <c r="AB56" i="26"/>
  <c r="AB57" i="26" s="1"/>
  <c r="L24" i="20"/>
  <c r="L27" i="20" s="1"/>
  <c r="L25" i="20"/>
  <c r="L26" i="20"/>
  <c r="J22" i="20"/>
  <c r="J37" i="20"/>
  <c r="J38" i="20"/>
  <c r="J44" i="20" s="1"/>
  <c r="J46" i="20" s="1"/>
  <c r="J47" i="20" s="1"/>
  <c r="K22" i="20"/>
  <c r="K37" i="20"/>
  <c r="K28" i="20"/>
  <c r="K38" i="20" s="1"/>
  <c r="K44" i="20" s="1"/>
  <c r="K46" i="20" s="1"/>
  <c r="K47" i="20" s="1"/>
  <c r="N17" i="20"/>
  <c r="M23" i="20"/>
  <c r="M33" i="20"/>
  <c r="AE26" i="26"/>
  <c r="AE24" i="26"/>
  <c r="AE27" i="26" s="1"/>
  <c r="AB29" i="26"/>
  <c r="AB30" i="26" s="1"/>
  <c r="AF33" i="26"/>
  <c r="AF23" i="26"/>
  <c r="AG17" i="26"/>
  <c r="AC37" i="26"/>
  <c r="AC22" i="26"/>
  <c r="AC38" i="26"/>
  <c r="AC44" i="26" s="1"/>
  <c r="AC46" i="26" s="1"/>
  <c r="AC47" i="26" s="1"/>
  <c r="AD25" i="26"/>
  <c r="AD28" i="26"/>
  <c r="AF38" i="28" l="1"/>
  <c r="AF44" i="28" s="1"/>
  <c r="AF46" i="28" s="1"/>
  <c r="AF47" i="28" s="1"/>
  <c r="AF37" i="28"/>
  <c r="AF56" i="28" s="1"/>
  <c r="AF22" i="28"/>
  <c r="AE56" i="28"/>
  <c r="AE29" i="28"/>
  <c r="AE30" i="28" s="1"/>
  <c r="AG38" i="28"/>
  <c r="AG44" i="28" s="1"/>
  <c r="AG46" i="28" s="1"/>
  <c r="AG47" i="28" s="1"/>
  <c r="AG37" i="28"/>
  <c r="AG56" i="28" s="1"/>
  <c r="AG22" i="28"/>
  <c r="AI33" i="28"/>
  <c r="AI23" i="28"/>
  <c r="AJ17" i="28"/>
  <c r="AH26" i="28"/>
  <c r="AH28" i="28" s="1"/>
  <c r="AH25" i="28"/>
  <c r="AH24" i="28"/>
  <c r="AH27" i="28" s="1"/>
  <c r="AE57" i="28"/>
  <c r="AF57" i="28" s="1"/>
  <c r="AG57" i="28" s="1"/>
  <c r="AE25" i="26"/>
  <c r="K48" i="9"/>
  <c r="M42" i="9"/>
  <c r="L44" i="9"/>
  <c r="L46" i="9" s="1"/>
  <c r="L47" i="9" s="1"/>
  <c r="J56" i="20"/>
  <c r="J57" i="20" s="1"/>
  <c r="AE28" i="26"/>
  <c r="AC56" i="26"/>
  <c r="AC57" i="26" s="1"/>
  <c r="M24" i="20"/>
  <c r="M27" i="20" s="1"/>
  <c r="M26" i="20"/>
  <c r="K29" i="20"/>
  <c r="K30" i="20" s="1"/>
  <c r="J29" i="20"/>
  <c r="J30" i="20" s="1"/>
  <c r="L37" i="20"/>
  <c r="L22" i="20"/>
  <c r="N23" i="20"/>
  <c r="N33" i="20"/>
  <c r="O17" i="20"/>
  <c r="K56" i="20"/>
  <c r="K57" i="20" s="1"/>
  <c r="L28" i="20"/>
  <c r="L38" i="20" s="1"/>
  <c r="L44" i="20" s="1"/>
  <c r="L46" i="20" s="1"/>
  <c r="L47" i="20" s="1"/>
  <c r="AC29" i="26"/>
  <c r="AC30" i="26" s="1"/>
  <c r="AE38" i="26"/>
  <c r="AE44" i="26" s="1"/>
  <c r="AE46" i="26" s="1"/>
  <c r="AE47" i="26" s="1"/>
  <c r="AE37" i="26"/>
  <c r="AE22" i="26"/>
  <c r="AD37" i="26"/>
  <c r="AD22" i="26"/>
  <c r="AD38" i="26"/>
  <c r="AD44" i="26" s="1"/>
  <c r="AD46" i="26" s="1"/>
  <c r="AD47" i="26" s="1"/>
  <c r="AG23" i="26"/>
  <c r="AG33" i="26"/>
  <c r="AH17" i="26"/>
  <c r="AF24" i="26"/>
  <c r="AF27" i="26" s="1"/>
  <c r="AF26" i="26"/>
  <c r="AG29" i="28" l="1"/>
  <c r="AG30" i="28" s="1"/>
  <c r="AJ33" i="28"/>
  <c r="AK17" i="28"/>
  <c r="AJ23" i="28"/>
  <c r="AH38" i="28"/>
  <c r="AH44" i="28" s="1"/>
  <c r="AH46" i="28" s="1"/>
  <c r="AH47" i="28" s="1"/>
  <c r="AH37" i="28"/>
  <c r="AH56" i="28" s="1"/>
  <c r="AH57" i="28" s="1"/>
  <c r="AH22" i="28"/>
  <c r="AF30" i="28"/>
  <c r="AF29" i="28"/>
  <c r="AI26" i="28"/>
  <c r="AI24" i="28"/>
  <c r="AI27" i="28" s="1"/>
  <c r="M44" i="9"/>
  <c r="M46" i="9" s="1"/>
  <c r="M47" i="9" s="1"/>
  <c r="N42" i="9"/>
  <c r="L48" i="9"/>
  <c r="AF25" i="26"/>
  <c r="AE56" i="26"/>
  <c r="L56" i="20"/>
  <c r="L57" i="20" s="1"/>
  <c r="M28" i="20"/>
  <c r="P17" i="20"/>
  <c r="O33" i="20"/>
  <c r="O23" i="20"/>
  <c r="N24" i="20"/>
  <c r="N27" i="20" s="1"/>
  <c r="N26" i="20"/>
  <c r="L29" i="20"/>
  <c r="L30" i="20"/>
  <c r="M25" i="20"/>
  <c r="AG26" i="26"/>
  <c r="AG24" i="26"/>
  <c r="AG27" i="26" s="1"/>
  <c r="AE29" i="26"/>
  <c r="AE30" i="26" s="1"/>
  <c r="AF37" i="26"/>
  <c r="AF22" i="26"/>
  <c r="AH33" i="26"/>
  <c r="AH23" i="26"/>
  <c r="AI17" i="26"/>
  <c r="AD29" i="26"/>
  <c r="AD30" i="26" s="1"/>
  <c r="AF28" i="26"/>
  <c r="AF38" i="26" s="1"/>
  <c r="AF44" i="26" s="1"/>
  <c r="AF46" i="26" s="1"/>
  <c r="AF47" i="26" s="1"/>
  <c r="AD56" i="26"/>
  <c r="AD57" i="26" s="1"/>
  <c r="AE57" i="26" s="1"/>
  <c r="AI28" i="28" l="1"/>
  <c r="AJ26" i="28"/>
  <c r="AJ24" i="28"/>
  <c r="AJ27" i="28" s="1"/>
  <c r="AI25" i="28"/>
  <c r="AH29" i="28"/>
  <c r="AH30" i="28"/>
  <c r="AK33" i="28"/>
  <c r="AK23" i="28"/>
  <c r="AL17" i="28"/>
  <c r="M48" i="9"/>
  <c r="O42" i="9"/>
  <c r="N44" i="9"/>
  <c r="N46" i="9" s="1"/>
  <c r="N47" i="9" s="1"/>
  <c r="N25" i="20"/>
  <c r="P33" i="20"/>
  <c r="P23" i="20"/>
  <c r="Q17" i="20"/>
  <c r="M38" i="20"/>
  <c r="M44" i="20" s="1"/>
  <c r="M46" i="20" s="1"/>
  <c r="M47" i="20" s="1"/>
  <c r="M37" i="20"/>
  <c r="M56" i="20" s="1"/>
  <c r="M57" i="20" s="1"/>
  <c r="M22" i="20"/>
  <c r="O26" i="20"/>
  <c r="O24" i="20"/>
  <c r="O27" i="20" s="1"/>
  <c r="N37" i="20"/>
  <c r="N22" i="20"/>
  <c r="N28" i="20"/>
  <c r="N38" i="20" s="1"/>
  <c r="N44" i="20" s="1"/>
  <c r="N46" i="20" s="1"/>
  <c r="N47" i="20" s="1"/>
  <c r="AF56" i="26"/>
  <c r="AF57" i="26" s="1"/>
  <c r="AH24" i="26"/>
  <c r="AH27" i="26" s="1"/>
  <c r="AH26" i="26"/>
  <c r="AG25" i="26"/>
  <c r="AI33" i="26"/>
  <c r="AJ17" i="26"/>
  <c r="AI23" i="26"/>
  <c r="AG28" i="26"/>
  <c r="AF29" i="26"/>
  <c r="AF30" i="26" s="1"/>
  <c r="AJ25" i="28" l="1"/>
  <c r="AK26" i="28"/>
  <c r="AK24" i="28"/>
  <c r="AK27" i="28" s="1"/>
  <c r="AI38" i="28"/>
  <c r="AI44" i="28" s="1"/>
  <c r="AI46" i="28" s="1"/>
  <c r="AI47" i="28" s="1"/>
  <c r="AI37" i="28"/>
  <c r="AI22" i="28"/>
  <c r="AL33" i="28"/>
  <c r="AL23" i="28"/>
  <c r="AM17" i="28"/>
  <c r="AJ28" i="28"/>
  <c r="N48" i="9"/>
  <c r="P42" i="9"/>
  <c r="O44" i="9"/>
  <c r="O46" i="9" s="1"/>
  <c r="O47" i="9" s="1"/>
  <c r="AH25" i="26"/>
  <c r="AH22" i="26" s="1"/>
  <c r="N29" i="20"/>
  <c r="N30" i="20" s="1"/>
  <c r="O25" i="20"/>
  <c r="Q23" i="20"/>
  <c r="Q33" i="20"/>
  <c r="R17" i="20"/>
  <c r="N56" i="20"/>
  <c r="N57" i="20" s="1"/>
  <c r="M29" i="20"/>
  <c r="M30" i="20" s="1"/>
  <c r="P26" i="20"/>
  <c r="P24" i="20"/>
  <c r="P27" i="20" s="1"/>
  <c r="O28" i="20"/>
  <c r="AJ33" i="26"/>
  <c r="AK17" i="26"/>
  <c r="AJ23" i="26"/>
  <c r="AH28" i="26"/>
  <c r="AH38" i="26" s="1"/>
  <c r="AH44" i="26" s="1"/>
  <c r="AH46" i="26" s="1"/>
  <c r="AH47" i="26" s="1"/>
  <c r="AG38" i="26"/>
  <c r="AG44" i="26" s="1"/>
  <c r="AG46" i="26" s="1"/>
  <c r="AG47" i="26" s="1"/>
  <c r="AG22" i="26"/>
  <c r="AG37" i="26"/>
  <c r="AI26" i="26"/>
  <c r="AI24" i="26"/>
  <c r="AI27" i="26" s="1"/>
  <c r="AH37" i="26"/>
  <c r="AM33" i="28" l="1"/>
  <c r="AM23" i="28"/>
  <c r="AN17" i="28"/>
  <c r="AI29" i="28"/>
  <c r="AI30" i="28" s="1"/>
  <c r="AK25" i="28"/>
  <c r="AL26" i="28"/>
  <c r="AL28" i="28" s="1"/>
  <c r="AL25" i="28"/>
  <c r="AL24" i="28"/>
  <c r="AL27" i="28" s="1"/>
  <c r="AI56" i="28"/>
  <c r="AI57" i="28" s="1"/>
  <c r="AK28" i="28"/>
  <c r="AJ38" i="28"/>
  <c r="AJ44" i="28" s="1"/>
  <c r="AJ46" i="28" s="1"/>
  <c r="AJ47" i="28" s="1"/>
  <c r="AJ37" i="28"/>
  <c r="AJ56" i="28" s="1"/>
  <c r="AJ22" i="28"/>
  <c r="Q42" i="9"/>
  <c r="P44" i="9"/>
  <c r="P46" i="9" s="1"/>
  <c r="P47" i="9" s="1"/>
  <c r="O48" i="9"/>
  <c r="P48" i="9" s="1"/>
  <c r="AG56" i="26"/>
  <c r="AG57" i="26" s="1"/>
  <c r="O22" i="20"/>
  <c r="O38" i="20"/>
  <c r="O37" i="20"/>
  <c r="P28" i="20"/>
  <c r="S17" i="20"/>
  <c r="R23" i="20"/>
  <c r="R33" i="20"/>
  <c r="P25" i="20"/>
  <c r="Q26" i="20"/>
  <c r="Q24" i="20"/>
  <c r="Q27" i="20" s="1"/>
  <c r="AG29" i="26"/>
  <c r="AG30" i="26" s="1"/>
  <c r="AJ26" i="26"/>
  <c r="AJ24" i="26"/>
  <c r="AJ27" i="26" s="1"/>
  <c r="AK23" i="26"/>
  <c r="AK33" i="26"/>
  <c r="AL17" i="26"/>
  <c r="AI28" i="26"/>
  <c r="AH29" i="26"/>
  <c r="AH30" i="26" s="1"/>
  <c r="AI25" i="26"/>
  <c r="AH56" i="26"/>
  <c r="AH57" i="26" s="1"/>
  <c r="AJ29" i="28" l="1"/>
  <c r="AJ30" i="28" s="1"/>
  <c r="AL38" i="28"/>
  <c r="AL44" i="28" s="1"/>
  <c r="AL46" i="28" s="1"/>
  <c r="AL47" i="28" s="1"/>
  <c r="AL37" i="28"/>
  <c r="AL22" i="28"/>
  <c r="AN33" i="28"/>
  <c r="AO17" i="28"/>
  <c r="AN23" i="28"/>
  <c r="AJ57" i="28"/>
  <c r="AK37" i="28"/>
  <c r="AK38" i="28"/>
  <c r="AK44" i="28" s="1"/>
  <c r="AK46" i="28" s="1"/>
  <c r="AK47" i="28" s="1"/>
  <c r="AK22" i="28"/>
  <c r="AM26" i="28"/>
  <c r="AM24" i="28"/>
  <c r="AM27" i="28" s="1"/>
  <c r="AM25" i="28"/>
  <c r="R42" i="9"/>
  <c r="Q44" i="9"/>
  <c r="Q46" i="9" s="1"/>
  <c r="Q47" i="9" s="1"/>
  <c r="Q48" i="9" s="1"/>
  <c r="AJ28" i="26"/>
  <c r="Q25" i="20"/>
  <c r="O56" i="20"/>
  <c r="O57" i="20" s="1"/>
  <c r="Q28" i="20"/>
  <c r="R24" i="20"/>
  <c r="R27" i="20" s="1"/>
  <c r="R26" i="20"/>
  <c r="P38" i="20"/>
  <c r="P44" i="20" s="1"/>
  <c r="P46" i="20" s="1"/>
  <c r="P47" i="20" s="1"/>
  <c r="P37" i="20"/>
  <c r="P56" i="20" s="1"/>
  <c r="P22" i="20"/>
  <c r="T17" i="20"/>
  <c r="S33" i="20"/>
  <c r="S23" i="20"/>
  <c r="O29" i="20"/>
  <c r="O30" i="20" s="1"/>
  <c r="D31" i="20" s="1"/>
  <c r="AK26" i="26"/>
  <c r="AK24" i="26"/>
  <c r="AK27" i="26" s="1"/>
  <c r="AI38" i="26"/>
  <c r="AI44" i="26" s="1"/>
  <c r="AI46" i="26" s="1"/>
  <c r="AI47" i="26" s="1"/>
  <c r="AI37" i="26"/>
  <c r="AI22" i="26"/>
  <c r="AL33" i="26"/>
  <c r="AL23" i="26"/>
  <c r="AM17" i="26"/>
  <c r="AJ25" i="26"/>
  <c r="AM38" i="28" l="1"/>
  <c r="AM44" i="28" s="1"/>
  <c r="AM46" i="28" s="1"/>
  <c r="AM47" i="28" s="1"/>
  <c r="AM37" i="28"/>
  <c r="AM56" i="28" s="1"/>
  <c r="AM22" i="28"/>
  <c r="AM28" i="28"/>
  <c r="AL29" i="28"/>
  <c r="AL30" i="28" s="1"/>
  <c r="AO33" i="28"/>
  <c r="AO23" i="28"/>
  <c r="AP17" i="28"/>
  <c r="AK56" i="28"/>
  <c r="AK57" i="28" s="1"/>
  <c r="AL57" i="28" s="1"/>
  <c r="AM57" i="28" s="1"/>
  <c r="AK29" i="28"/>
  <c r="AK30" i="28" s="1"/>
  <c r="AN26" i="28"/>
  <c r="AN28" i="28" s="1"/>
  <c r="AN24" i="28"/>
  <c r="AN27" i="28" s="1"/>
  <c r="AL56" i="28"/>
  <c r="S42" i="9"/>
  <c r="R44" i="9"/>
  <c r="R46" i="9" s="1"/>
  <c r="R47" i="9" s="1"/>
  <c r="R48" i="9" s="1"/>
  <c r="AI56" i="26"/>
  <c r="AI57" i="26" s="1"/>
  <c r="D32" i="20"/>
  <c r="F4" i="21"/>
  <c r="G4" i="21" s="1"/>
  <c r="S24" i="20"/>
  <c r="S27" i="20" s="1"/>
  <c r="S26" i="20"/>
  <c r="U17" i="20"/>
  <c r="T33" i="20"/>
  <c r="T23" i="20"/>
  <c r="R28" i="20"/>
  <c r="P57" i="20"/>
  <c r="P29" i="20"/>
  <c r="P30" i="20"/>
  <c r="R25" i="20"/>
  <c r="Q22" i="20"/>
  <c r="Q38" i="20"/>
  <c r="Q44" i="20" s="1"/>
  <c r="Q46" i="20" s="1"/>
  <c r="Q47" i="20" s="1"/>
  <c r="Q37" i="20"/>
  <c r="Q56" i="20" s="1"/>
  <c r="AM33" i="26"/>
  <c r="AN17" i="26"/>
  <c r="AM23" i="26"/>
  <c r="AK25" i="26"/>
  <c r="AK28" i="26"/>
  <c r="AI29" i="26"/>
  <c r="AI30" i="26" s="1"/>
  <c r="AL24" i="26"/>
  <c r="AL27" i="26" s="1"/>
  <c r="AL26" i="26"/>
  <c r="AJ37" i="26"/>
  <c r="AJ38" i="26"/>
  <c r="AJ44" i="26" s="1"/>
  <c r="AJ46" i="26" s="1"/>
  <c r="AJ47" i="26" s="1"/>
  <c r="AJ22" i="26"/>
  <c r="AM29" i="28" l="1"/>
  <c r="AM30" i="28" s="1"/>
  <c r="AP33" i="28"/>
  <c r="AP23" i="28"/>
  <c r="AQ17" i="28"/>
  <c r="AO26" i="28"/>
  <c r="AO28" i="28" s="1"/>
  <c r="AO24" i="28"/>
  <c r="AO27" i="28" s="1"/>
  <c r="AN25" i="28"/>
  <c r="T42" i="9"/>
  <c r="S44" i="9"/>
  <c r="S46" i="9" s="1"/>
  <c r="S47" i="9" s="1"/>
  <c r="S48" i="9" s="1"/>
  <c r="S28" i="20"/>
  <c r="AL28" i="26"/>
  <c r="S25" i="20"/>
  <c r="Q29" i="20"/>
  <c r="Q30" i="20" s="1"/>
  <c r="Q57" i="20"/>
  <c r="V17" i="20"/>
  <c r="U23" i="20"/>
  <c r="U33" i="20"/>
  <c r="R38" i="20"/>
  <c r="R44" i="20" s="1"/>
  <c r="R46" i="20" s="1"/>
  <c r="R47" i="20" s="1"/>
  <c r="R37" i="20"/>
  <c r="R22" i="20"/>
  <c r="F12" i="21"/>
  <c r="G12" i="21" s="1"/>
  <c r="H4" i="21"/>
  <c r="T26" i="20"/>
  <c r="T24" i="20"/>
  <c r="T27" i="20" s="1"/>
  <c r="AN33" i="26"/>
  <c r="AN23" i="26"/>
  <c r="AO17" i="26"/>
  <c r="AJ29" i="26"/>
  <c r="AJ30" i="26" s="1"/>
  <c r="AL25" i="26"/>
  <c r="AK22" i="26"/>
  <c r="AK38" i="26"/>
  <c r="AK44" i="26" s="1"/>
  <c r="AK46" i="26" s="1"/>
  <c r="AK47" i="26" s="1"/>
  <c r="AK37" i="26"/>
  <c r="AJ56" i="26"/>
  <c r="AJ57" i="26" s="1"/>
  <c r="AM24" i="26"/>
  <c r="AM27" i="26" s="1"/>
  <c r="AM26" i="26"/>
  <c r="AN38" i="28" l="1"/>
  <c r="AN44" i="28" s="1"/>
  <c r="AN46" i="28" s="1"/>
  <c r="AN47" i="28" s="1"/>
  <c r="AN37" i="28"/>
  <c r="AN56" i="28" s="1"/>
  <c r="AN57" i="28" s="1"/>
  <c r="AN22" i="28"/>
  <c r="AQ33" i="28"/>
  <c r="AQ23" i="28"/>
  <c r="AR17" i="28"/>
  <c r="AP26" i="28"/>
  <c r="AP28" i="28" s="1"/>
  <c r="AP25" i="28"/>
  <c r="AP24" i="28"/>
  <c r="AP27" i="28" s="1"/>
  <c r="AO25" i="28"/>
  <c r="U42" i="9"/>
  <c r="T44" i="9"/>
  <c r="T46" i="9" s="1"/>
  <c r="T47" i="9" s="1"/>
  <c r="T48" i="9" s="1"/>
  <c r="AK56" i="26"/>
  <c r="AK57" i="26" s="1"/>
  <c r="AM25" i="26"/>
  <c r="AM37" i="26" s="1"/>
  <c r="AM28" i="26"/>
  <c r="T25" i="20"/>
  <c r="T28" i="20"/>
  <c r="R29" i="20"/>
  <c r="R30" i="20" s="1"/>
  <c r="U24" i="20"/>
  <c r="U27" i="20" s="1"/>
  <c r="U26" i="20"/>
  <c r="C30" i="24"/>
  <c r="I4" i="21"/>
  <c r="D42" i="20"/>
  <c r="D44" i="20" s="1"/>
  <c r="D46" i="20" s="1"/>
  <c r="D47" i="20" s="1"/>
  <c r="R56" i="20"/>
  <c r="R57" i="20" s="1"/>
  <c r="V23" i="20"/>
  <c r="V33" i="20"/>
  <c r="W17" i="20"/>
  <c r="S37" i="20"/>
  <c r="S22" i="20"/>
  <c r="S38" i="20"/>
  <c r="S44" i="20" s="1"/>
  <c r="S46" i="20" s="1"/>
  <c r="S47" i="20" s="1"/>
  <c r="AL38" i="26"/>
  <c r="AL44" i="26" s="1"/>
  <c r="AL46" i="26" s="1"/>
  <c r="AL47" i="26" s="1"/>
  <c r="AL37" i="26"/>
  <c r="AL22" i="26"/>
  <c r="AN26" i="26"/>
  <c r="AN24" i="26"/>
  <c r="AN27" i="26" s="1"/>
  <c r="AK29" i="26"/>
  <c r="AK30" i="26" s="1"/>
  <c r="AO33" i="26"/>
  <c r="AO23" i="26"/>
  <c r="AP17" i="26"/>
  <c r="C35" i="24" l="1"/>
  <c r="AN29" i="28"/>
  <c r="AN30" i="28" s="1"/>
  <c r="AO38" i="28"/>
  <c r="AO44" i="28" s="1"/>
  <c r="AO46" i="28" s="1"/>
  <c r="AO47" i="28" s="1"/>
  <c r="AO37" i="28"/>
  <c r="AO56" i="28" s="1"/>
  <c r="AO57" i="28" s="1"/>
  <c r="AP57" i="28" s="1"/>
  <c r="AO22" i="28"/>
  <c r="AR33" i="28"/>
  <c r="AR23" i="28"/>
  <c r="AS17" i="28"/>
  <c r="AP38" i="28"/>
  <c r="AP44" i="28" s="1"/>
  <c r="AP46" i="28" s="1"/>
  <c r="AP47" i="28" s="1"/>
  <c r="AP37" i="28"/>
  <c r="AP56" i="28" s="1"/>
  <c r="AP22" i="28"/>
  <c r="AQ24" i="28"/>
  <c r="AQ27" i="28" s="1"/>
  <c r="AQ25" i="28"/>
  <c r="AQ26" i="28"/>
  <c r="AQ28" i="28" s="1"/>
  <c r="AM22" i="26"/>
  <c r="AM38" i="26"/>
  <c r="AM44" i="26" s="1"/>
  <c r="AM46" i="26" s="1"/>
  <c r="AM47" i="26" s="1"/>
  <c r="U44" i="9"/>
  <c r="U46" i="9" s="1"/>
  <c r="U47" i="9" s="1"/>
  <c r="U48" i="9" s="1"/>
  <c r="V42" i="9"/>
  <c r="AL56" i="26"/>
  <c r="AL57" i="26" s="1"/>
  <c r="U28" i="20"/>
  <c r="X17" i="20"/>
  <c r="W23" i="20"/>
  <c r="W33" i="20"/>
  <c r="D48" i="20"/>
  <c r="E48" i="20" s="1"/>
  <c r="F48" i="20" s="1"/>
  <c r="G48" i="20" s="1"/>
  <c r="H48" i="20" s="1"/>
  <c r="I48" i="20" s="1"/>
  <c r="J48" i="20" s="1"/>
  <c r="K48" i="20" s="1"/>
  <c r="L48" i="20" s="1"/>
  <c r="M48" i="20" s="1"/>
  <c r="N48" i="20" s="1"/>
  <c r="U25" i="20"/>
  <c r="T37" i="20"/>
  <c r="T38" i="20"/>
  <c r="T44" i="20" s="1"/>
  <c r="T46" i="20" s="1"/>
  <c r="T47" i="20" s="1"/>
  <c r="T22" i="20"/>
  <c r="S29" i="20"/>
  <c r="S30" i="20" s="1"/>
  <c r="V24" i="20"/>
  <c r="V27" i="20" s="1"/>
  <c r="V26" i="20"/>
  <c r="S56" i="20"/>
  <c r="S57" i="20" s="1"/>
  <c r="AO26" i="26"/>
  <c r="AO24" i="26"/>
  <c r="AO27" i="26" s="1"/>
  <c r="AN25" i="26"/>
  <c r="AN28" i="26"/>
  <c r="AP33" i="26"/>
  <c r="AP23" i="26"/>
  <c r="AQ17" i="26"/>
  <c r="AL29" i="26"/>
  <c r="AL30" i="26" s="1"/>
  <c r="AM29" i="26"/>
  <c r="AM30" i="26" s="1"/>
  <c r="AS33" i="28" l="1"/>
  <c r="AS23" i="28"/>
  <c r="AT17" i="28"/>
  <c r="AR26" i="28"/>
  <c r="AR24" i="28"/>
  <c r="AR27" i="28" s="1"/>
  <c r="AP29" i="28"/>
  <c r="AP30" i="28" s="1"/>
  <c r="AQ37" i="28"/>
  <c r="AQ56" i="28" s="1"/>
  <c r="AQ57" i="28" s="1"/>
  <c r="AQ22" i="28"/>
  <c r="AQ38" i="28"/>
  <c r="AQ44" i="28" s="1"/>
  <c r="AQ46" i="28" s="1"/>
  <c r="AQ47" i="28" s="1"/>
  <c r="AO29" i="28"/>
  <c r="AO30" i="28" s="1"/>
  <c r="AM56" i="26"/>
  <c r="AM57" i="26" s="1"/>
  <c r="W42" i="9"/>
  <c r="V44" i="9"/>
  <c r="V46" i="9" s="1"/>
  <c r="V47" i="9" s="1"/>
  <c r="V48" i="9" s="1"/>
  <c r="AO25" i="26"/>
  <c r="V28" i="20"/>
  <c r="T29" i="20"/>
  <c r="T30" i="20"/>
  <c r="U38" i="20"/>
  <c r="U44" i="20" s="1"/>
  <c r="U46" i="20" s="1"/>
  <c r="U47" i="20" s="1"/>
  <c r="U37" i="20"/>
  <c r="U56" i="20" s="1"/>
  <c r="U22" i="20"/>
  <c r="W26" i="20"/>
  <c r="W24" i="20"/>
  <c r="W27" i="20" s="1"/>
  <c r="X33" i="20"/>
  <c r="X23" i="20"/>
  <c r="Y17" i="20"/>
  <c r="T56" i="20"/>
  <c r="T57" i="20" s="1"/>
  <c r="U57" i="20" s="1"/>
  <c r="V25" i="20"/>
  <c r="AQ33" i="26"/>
  <c r="AR17" i="26"/>
  <c r="AQ23" i="26"/>
  <c r="AN37" i="26"/>
  <c r="AN38" i="26"/>
  <c r="AN44" i="26" s="1"/>
  <c r="AN46" i="26" s="1"/>
  <c r="AN47" i="26" s="1"/>
  <c r="AN22" i="26"/>
  <c r="AO28" i="26"/>
  <c r="AO38" i="26" s="1"/>
  <c r="AO44" i="26" s="1"/>
  <c r="AO46" i="26" s="1"/>
  <c r="AO47" i="26" s="1"/>
  <c r="AO22" i="26"/>
  <c r="AO37" i="26"/>
  <c r="AP26" i="26"/>
  <c r="AP24" i="26"/>
  <c r="AP27" i="26" s="1"/>
  <c r="AS26" i="28" l="1"/>
  <c r="AS28" i="28" s="1"/>
  <c r="AS25" i="28"/>
  <c r="AS24" i="28"/>
  <c r="AS27" i="28" s="1"/>
  <c r="AR28" i="28"/>
  <c r="AR25" i="28"/>
  <c r="AQ30" i="28"/>
  <c r="AQ29" i="28"/>
  <c r="AT23" i="28"/>
  <c r="AU17" i="28"/>
  <c r="AT33" i="28"/>
  <c r="W44" i="9"/>
  <c r="W46" i="9" s="1"/>
  <c r="W47" i="9" s="1"/>
  <c r="W48" i="9" s="1"/>
  <c r="X42" i="9"/>
  <c r="W25" i="20"/>
  <c r="AN56" i="26"/>
  <c r="AN57" i="26" s="1"/>
  <c r="V37" i="20"/>
  <c r="V22" i="20"/>
  <c r="V38" i="20"/>
  <c r="V44" i="20" s="1"/>
  <c r="V46" i="20" s="1"/>
  <c r="V47" i="20" s="1"/>
  <c r="X24" i="20"/>
  <c r="X27" i="20" s="1"/>
  <c r="X26" i="20"/>
  <c r="W37" i="20"/>
  <c r="W22" i="20"/>
  <c r="U29" i="20"/>
  <c r="U30" i="20" s="1"/>
  <c r="Y23" i="20"/>
  <c r="Y33" i="20"/>
  <c r="Z17" i="20"/>
  <c r="W28" i="20"/>
  <c r="W38" i="20" s="1"/>
  <c r="W44" i="20" s="1"/>
  <c r="W46" i="20" s="1"/>
  <c r="W47" i="20" s="1"/>
  <c r="AO29" i="26"/>
  <c r="AO30" i="26" s="1"/>
  <c r="AQ24" i="26"/>
  <c r="AQ27" i="26" s="1"/>
  <c r="AQ26" i="26"/>
  <c r="AP25" i="26"/>
  <c r="AP28" i="26"/>
  <c r="AN29" i="26"/>
  <c r="AN30" i="26" s="1"/>
  <c r="AR33" i="26"/>
  <c r="AR23" i="26"/>
  <c r="AS17" i="26"/>
  <c r="AO56" i="26"/>
  <c r="AU33" i="28" l="1"/>
  <c r="AV17" i="28"/>
  <c r="AU23" i="28"/>
  <c r="AS37" i="28"/>
  <c r="AS56" i="28" s="1"/>
  <c r="AS22" i="28"/>
  <c r="AS38" i="28"/>
  <c r="AS44" i="28" s="1"/>
  <c r="AS46" i="28" s="1"/>
  <c r="AS47" i="28" s="1"/>
  <c r="AT26" i="28"/>
  <c r="AT28" i="28" s="1"/>
  <c r="AT25" i="28"/>
  <c r="AT24" i="28"/>
  <c r="AT27" i="28" s="1"/>
  <c r="AR38" i="28"/>
  <c r="AR44" i="28" s="1"/>
  <c r="AR46" i="28" s="1"/>
  <c r="AR47" i="28" s="1"/>
  <c r="AR37" i="28"/>
  <c r="AR56" i="28" s="1"/>
  <c r="AR57" i="28" s="1"/>
  <c r="AR22" i="28"/>
  <c r="Y42" i="9"/>
  <c r="X44" i="9"/>
  <c r="X46" i="9" s="1"/>
  <c r="X47" i="9" s="1"/>
  <c r="X48" i="9" s="1"/>
  <c r="AO57" i="26"/>
  <c r="AQ25" i="26"/>
  <c r="AQ37" i="26" s="1"/>
  <c r="X28" i="20"/>
  <c r="V29" i="20"/>
  <c r="V30" i="20" s="1"/>
  <c r="Z33" i="20"/>
  <c r="AA17" i="20"/>
  <c r="Z23" i="20"/>
  <c r="W56" i="20"/>
  <c r="Y24" i="20"/>
  <c r="Y27" i="20" s="1"/>
  <c r="Y26" i="20"/>
  <c r="W29" i="20"/>
  <c r="W30" i="20"/>
  <c r="X25" i="20"/>
  <c r="V56" i="20"/>
  <c r="V57" i="20" s="1"/>
  <c r="AR24" i="26"/>
  <c r="AR27" i="26" s="1"/>
  <c r="AR26" i="26"/>
  <c r="AQ22" i="26"/>
  <c r="AP38" i="26"/>
  <c r="AP44" i="26" s="1"/>
  <c r="AP46" i="26" s="1"/>
  <c r="AP47" i="26" s="1"/>
  <c r="AP37" i="26"/>
  <c r="AP22" i="26"/>
  <c r="AQ28" i="26"/>
  <c r="AQ38" i="26" s="1"/>
  <c r="AQ44" i="26" s="1"/>
  <c r="AQ46" i="26" s="1"/>
  <c r="AQ47" i="26" s="1"/>
  <c r="AS23" i="26"/>
  <c r="AS33" i="26"/>
  <c r="AT17" i="26"/>
  <c r="AR29" i="28" l="1"/>
  <c r="AR30" i="28" s="1"/>
  <c r="AS57" i="28"/>
  <c r="AU25" i="28"/>
  <c r="AU26" i="28"/>
  <c r="AU24" i="28"/>
  <c r="AU27" i="28" s="1"/>
  <c r="AT38" i="28"/>
  <c r="AT44" i="28" s="1"/>
  <c r="AT46" i="28" s="1"/>
  <c r="AT47" i="28" s="1"/>
  <c r="AT37" i="28"/>
  <c r="AT56" i="28" s="1"/>
  <c r="AT22" i="28"/>
  <c r="AV33" i="28"/>
  <c r="AW17" i="28"/>
  <c r="AV23" i="28"/>
  <c r="AS29" i="28"/>
  <c r="AS30" i="28" s="1"/>
  <c r="Z42" i="9"/>
  <c r="Y44" i="9"/>
  <c r="Y46" i="9" s="1"/>
  <c r="Y47" i="9" s="1"/>
  <c r="Y48" i="9" s="1"/>
  <c r="W57" i="20"/>
  <c r="AP56" i="26"/>
  <c r="AP57" i="26" s="1"/>
  <c r="AR25" i="26"/>
  <c r="AR22" i="26" s="1"/>
  <c r="AR28" i="26"/>
  <c r="AB17" i="20"/>
  <c r="AA23" i="20"/>
  <c r="AA33" i="20"/>
  <c r="Y25" i="20"/>
  <c r="X22" i="20"/>
  <c r="X38" i="20"/>
  <c r="X44" i="20" s="1"/>
  <c r="X46" i="20" s="1"/>
  <c r="X47" i="20" s="1"/>
  <c r="X37" i="20"/>
  <c r="Y28" i="20"/>
  <c r="Z26" i="20"/>
  <c r="Z24" i="20"/>
  <c r="Z27" i="20" s="1"/>
  <c r="AP29" i="26"/>
  <c r="AP30" i="26" s="1"/>
  <c r="AS26" i="26"/>
  <c r="AS24" i="26"/>
  <c r="AS27" i="26" s="1"/>
  <c r="AT33" i="26"/>
  <c r="AT23" i="26"/>
  <c r="AU17" i="26"/>
  <c r="AR37" i="26"/>
  <c r="AQ29" i="26"/>
  <c r="AQ30" i="26" s="1"/>
  <c r="AQ56" i="26"/>
  <c r="AQ57" i="26" s="1"/>
  <c r="AU37" i="28" l="1"/>
  <c r="AU22" i="28"/>
  <c r="AT57" i="28"/>
  <c r="AW33" i="28"/>
  <c r="AW23" i="28"/>
  <c r="AX17" i="28"/>
  <c r="AV26" i="28"/>
  <c r="AV24" i="28"/>
  <c r="AV27" i="28" s="1"/>
  <c r="AT29" i="28"/>
  <c r="AT30" i="28"/>
  <c r="AU28" i="28"/>
  <c r="AU38" i="28" s="1"/>
  <c r="AU44" i="28" s="1"/>
  <c r="AU46" i="28" s="1"/>
  <c r="AU47" i="28" s="1"/>
  <c r="Z44" i="9"/>
  <c r="Z46" i="9" s="1"/>
  <c r="Z47" i="9" s="1"/>
  <c r="Z48" i="9" s="1"/>
  <c r="AA42" i="9"/>
  <c r="Z25" i="20"/>
  <c r="Z28" i="20"/>
  <c r="AR38" i="26"/>
  <c r="AR44" i="26" s="1"/>
  <c r="AR46" i="26" s="1"/>
  <c r="AR47" i="26" s="1"/>
  <c r="X29" i="20"/>
  <c r="X30" i="20" s="1"/>
  <c r="Y22" i="20"/>
  <c r="Y38" i="20"/>
  <c r="Y44" i="20" s="1"/>
  <c r="Y46" i="20" s="1"/>
  <c r="Y47" i="20" s="1"/>
  <c r="Y37" i="20"/>
  <c r="AA26" i="20"/>
  <c r="AA24" i="20"/>
  <c r="AA27" i="20" s="1"/>
  <c r="AA25" i="20"/>
  <c r="Z38" i="20"/>
  <c r="Z44" i="20" s="1"/>
  <c r="Z46" i="20" s="1"/>
  <c r="Z47" i="20" s="1"/>
  <c r="Z37" i="20"/>
  <c r="Z22" i="20"/>
  <c r="X56" i="20"/>
  <c r="X57" i="20" s="1"/>
  <c r="AB33" i="20"/>
  <c r="AB23" i="20"/>
  <c r="AC17" i="20"/>
  <c r="AR29" i="26"/>
  <c r="AR30" i="26" s="1"/>
  <c r="AU33" i="26"/>
  <c r="AV17" i="26"/>
  <c r="AU23" i="26"/>
  <c r="AS25" i="26"/>
  <c r="AR56" i="26"/>
  <c r="AR57" i="26" s="1"/>
  <c r="AT26" i="26"/>
  <c r="AT24" i="26"/>
  <c r="AT27" i="26" s="1"/>
  <c r="AS28" i="26"/>
  <c r="AW26" i="28" l="1"/>
  <c r="AW24" i="28"/>
  <c r="AW27" i="28" s="1"/>
  <c r="AU29" i="28"/>
  <c r="AU30" i="28" s="1"/>
  <c r="AV25" i="28"/>
  <c r="AU56" i="28"/>
  <c r="AV28" i="28"/>
  <c r="AU57" i="28"/>
  <c r="AX33" i="28"/>
  <c r="AX23" i="28"/>
  <c r="AY17" i="28"/>
  <c r="AB42" i="9"/>
  <c r="AA44" i="9"/>
  <c r="AA46" i="9" s="1"/>
  <c r="AA47" i="9" s="1"/>
  <c r="AA48" i="9" s="1"/>
  <c r="Z56" i="20"/>
  <c r="AT28" i="26"/>
  <c r="AA37" i="20"/>
  <c r="AA22" i="20"/>
  <c r="AC33" i="20"/>
  <c r="AD17" i="20"/>
  <c r="AC23" i="20"/>
  <c r="Z29" i="20"/>
  <c r="Z30" i="20" s="1"/>
  <c r="Y29" i="20"/>
  <c r="Y30" i="20" s="1"/>
  <c r="AB26" i="20"/>
  <c r="AB24" i="20"/>
  <c r="AB27" i="20" s="1"/>
  <c r="AA28" i="20"/>
  <c r="AA38" i="20" s="1"/>
  <c r="Y56" i="20"/>
  <c r="Y57" i="20" s="1"/>
  <c r="Z57" i="20" s="1"/>
  <c r="AT25" i="26"/>
  <c r="AS37" i="26"/>
  <c r="AS22" i="26"/>
  <c r="AS38" i="26"/>
  <c r="AS44" i="26" s="1"/>
  <c r="AS46" i="26" s="1"/>
  <c r="AS47" i="26" s="1"/>
  <c r="AU26" i="26"/>
  <c r="AU24" i="26"/>
  <c r="AU27" i="26" s="1"/>
  <c r="AV33" i="26"/>
  <c r="AV23" i="26"/>
  <c r="AW17" i="26"/>
  <c r="AY33" i="28" l="1"/>
  <c r="AZ17" i="28"/>
  <c r="AY23" i="28"/>
  <c r="AW28" i="28"/>
  <c r="AV38" i="28"/>
  <c r="AV44" i="28" s="1"/>
  <c r="AV46" i="28" s="1"/>
  <c r="AV47" i="28" s="1"/>
  <c r="AV37" i="28"/>
  <c r="AV56" i="28" s="1"/>
  <c r="AV57" i="28" s="1"/>
  <c r="AV22" i="28"/>
  <c r="AW25" i="28"/>
  <c r="AX26" i="28"/>
  <c r="AX28" i="28" s="1"/>
  <c r="AX25" i="28"/>
  <c r="AX24" i="28"/>
  <c r="AX27" i="28" s="1"/>
  <c r="AC42" i="9"/>
  <c r="AB44" i="9"/>
  <c r="AB46" i="9" s="1"/>
  <c r="AB47" i="9" s="1"/>
  <c r="AB48" i="9" s="1"/>
  <c r="AS56" i="26"/>
  <c r="AS57" i="26" s="1"/>
  <c r="AB28" i="20"/>
  <c r="AA29" i="20"/>
  <c r="AA30" i="20"/>
  <c r="P31" i="20" s="1"/>
  <c r="AC26" i="20"/>
  <c r="AC24" i="20"/>
  <c r="AC27" i="20" s="1"/>
  <c r="AE17" i="20"/>
  <c r="AD23" i="20"/>
  <c r="AD33" i="20"/>
  <c r="AA56" i="20"/>
  <c r="AA57" i="20" s="1"/>
  <c r="AB25" i="20"/>
  <c r="AS29" i="26"/>
  <c r="AS30" i="26" s="1"/>
  <c r="AW23" i="26"/>
  <c r="AW33" i="26"/>
  <c r="AX17" i="26"/>
  <c r="AU25" i="26"/>
  <c r="AU28" i="26"/>
  <c r="AT37" i="26"/>
  <c r="AT38" i="26"/>
  <c r="AT44" i="26" s="1"/>
  <c r="AT46" i="26" s="1"/>
  <c r="AT47" i="26" s="1"/>
  <c r="AT22" i="26"/>
  <c r="AV24" i="26"/>
  <c r="AV27" i="26" s="1"/>
  <c r="AV26" i="26"/>
  <c r="AX38" i="28" l="1"/>
  <c r="AX44" i="28" s="1"/>
  <c r="AX46" i="28" s="1"/>
  <c r="AX47" i="28" s="1"/>
  <c r="AX22" i="28"/>
  <c r="AX37" i="28"/>
  <c r="AX56" i="28" s="1"/>
  <c r="AW38" i="28"/>
  <c r="AW44" i="28" s="1"/>
  <c r="AW46" i="28" s="1"/>
  <c r="AW47" i="28" s="1"/>
  <c r="AW37" i="28"/>
  <c r="AW56" i="28" s="1"/>
  <c r="AW57" i="28" s="1"/>
  <c r="AX57" i="28" s="1"/>
  <c r="AW22" i="28"/>
  <c r="AZ33" i="28"/>
  <c r="BA17" i="28"/>
  <c r="AZ23" i="28"/>
  <c r="AV29" i="28"/>
  <c r="AV30" i="28" s="1"/>
  <c r="AY26" i="28"/>
  <c r="AY24" i="28"/>
  <c r="AY27" i="28" s="1"/>
  <c r="AC44" i="9"/>
  <c r="AC46" i="9" s="1"/>
  <c r="AC47" i="9" s="1"/>
  <c r="AC48" i="9" s="1"/>
  <c r="AD42" i="9"/>
  <c r="AC25" i="20"/>
  <c r="AT56" i="26"/>
  <c r="AT57" i="26" s="1"/>
  <c r="AF17" i="20"/>
  <c r="AE33" i="20"/>
  <c r="AE23" i="20"/>
  <c r="P32" i="20"/>
  <c r="F5" i="21"/>
  <c r="G5" i="21" s="1"/>
  <c r="AB22" i="20"/>
  <c r="AB38" i="20"/>
  <c r="AB44" i="20" s="1"/>
  <c r="AB46" i="20" s="1"/>
  <c r="AB47" i="20" s="1"/>
  <c r="AB37" i="20"/>
  <c r="AC37" i="20"/>
  <c r="AC22" i="20"/>
  <c r="AD26" i="20"/>
  <c r="AD24" i="20"/>
  <c r="AD27" i="20" s="1"/>
  <c r="AC28" i="20"/>
  <c r="AC38" i="20" s="1"/>
  <c r="AC44" i="20" s="1"/>
  <c r="AC46" i="20" s="1"/>
  <c r="AC47" i="20" s="1"/>
  <c r="AV28" i="26"/>
  <c r="AT29" i="26"/>
  <c r="AT30" i="26" s="1"/>
  <c r="AU38" i="26"/>
  <c r="AU44" i="26" s="1"/>
  <c r="AU46" i="26" s="1"/>
  <c r="AU47" i="26" s="1"/>
  <c r="AU37" i="26"/>
  <c r="AU22" i="26"/>
  <c r="AX33" i="26"/>
  <c r="AX23" i="26"/>
  <c r="AY17" i="26"/>
  <c r="AV25" i="26"/>
  <c r="AW26" i="26"/>
  <c r="AW24" i="26"/>
  <c r="AW27" i="26" s="1"/>
  <c r="AW29" i="28" l="1"/>
  <c r="AW30" i="28" s="1"/>
  <c r="AZ26" i="28"/>
  <c r="AZ24" i="28"/>
  <c r="AZ27" i="28" s="1"/>
  <c r="AY28" i="28"/>
  <c r="AX29" i="28"/>
  <c r="AX30" i="28"/>
  <c r="BA33" i="28"/>
  <c r="BA23" i="28"/>
  <c r="BB17" i="28"/>
  <c r="AY25" i="28"/>
  <c r="AD44" i="9"/>
  <c r="AD46" i="9" s="1"/>
  <c r="AD47" i="9" s="1"/>
  <c r="AD48" i="9" s="1"/>
  <c r="AE42" i="9"/>
  <c r="AU56" i="26"/>
  <c r="AU57" i="26" s="1"/>
  <c r="AE24" i="20"/>
  <c r="AE27" i="20" s="1"/>
  <c r="AE26" i="20"/>
  <c r="AC56" i="20"/>
  <c r="AB29" i="20"/>
  <c r="AB30" i="20" s="1"/>
  <c r="AD25" i="20"/>
  <c r="AD28" i="20"/>
  <c r="F13" i="21"/>
  <c r="G13" i="21" s="1"/>
  <c r="H5" i="21"/>
  <c r="AG17" i="20"/>
  <c r="AF33" i="20"/>
  <c r="AF23" i="20"/>
  <c r="AC29" i="20"/>
  <c r="AC30" i="20" s="1"/>
  <c r="AB56" i="20"/>
  <c r="AB57" i="20" s="1"/>
  <c r="AU29" i="26"/>
  <c r="AU30" i="26" s="1"/>
  <c r="AW25" i="26"/>
  <c r="AY33" i="26"/>
  <c r="AZ17" i="26"/>
  <c r="AY23" i="26"/>
  <c r="AW28" i="26"/>
  <c r="AX24" i="26"/>
  <c r="AX27" i="26" s="1"/>
  <c r="AX26" i="26"/>
  <c r="AV38" i="26"/>
  <c r="AV44" i="26" s="1"/>
  <c r="AV46" i="26" s="1"/>
  <c r="AV47" i="26" s="1"/>
  <c r="AV37" i="26"/>
  <c r="AV56" i="26" s="1"/>
  <c r="AV57" i="26" s="1"/>
  <c r="AV22" i="26"/>
  <c r="BA26" i="28" l="1"/>
  <c r="BA24" i="28"/>
  <c r="BA27" i="28" s="1"/>
  <c r="AY38" i="28"/>
  <c r="AY44" i="28" s="1"/>
  <c r="AY46" i="28" s="1"/>
  <c r="AY47" i="28" s="1"/>
  <c r="AY37" i="28"/>
  <c r="AY22" i="28"/>
  <c r="AZ25" i="28"/>
  <c r="BB23" i="28"/>
  <c r="BB33" i="28"/>
  <c r="BC17" i="28"/>
  <c r="AZ28" i="28"/>
  <c r="AF42" i="9"/>
  <c r="AE44" i="9"/>
  <c r="AE46" i="9" s="1"/>
  <c r="AE47" i="9" s="1"/>
  <c r="AE48" i="9" s="1"/>
  <c r="AE28" i="20"/>
  <c r="AC57" i="20"/>
  <c r="AG33" i="20"/>
  <c r="AH17" i="20"/>
  <c r="AG23" i="20"/>
  <c r="AD37" i="20"/>
  <c r="AD38" i="20"/>
  <c r="AD44" i="20" s="1"/>
  <c r="AD46" i="20" s="1"/>
  <c r="AD47" i="20" s="1"/>
  <c r="AD22" i="20"/>
  <c r="I5" i="21"/>
  <c r="D30" i="24"/>
  <c r="O42" i="20"/>
  <c r="O44" i="20" s="1"/>
  <c r="O46" i="20" s="1"/>
  <c r="O47" i="20" s="1"/>
  <c r="AF26" i="20"/>
  <c r="AF24" i="20"/>
  <c r="AF27" i="20" s="1"/>
  <c r="AE25" i="20"/>
  <c r="AX25" i="26"/>
  <c r="AY26" i="26"/>
  <c r="AY24" i="26"/>
  <c r="AY27" i="26" s="1"/>
  <c r="AV29" i="26"/>
  <c r="AV30" i="26" s="1"/>
  <c r="AX28" i="26"/>
  <c r="AZ33" i="26"/>
  <c r="BA17" i="26"/>
  <c r="AZ23" i="26"/>
  <c r="AW38" i="26"/>
  <c r="AW44" i="26" s="1"/>
  <c r="AW46" i="26" s="1"/>
  <c r="AW47" i="26" s="1"/>
  <c r="AW22" i="26"/>
  <c r="AW37" i="26"/>
  <c r="AW56" i="26" s="1"/>
  <c r="AW57" i="26" s="1"/>
  <c r="D35" i="24" l="1"/>
  <c r="BC33" i="28"/>
  <c r="BC23" i="28"/>
  <c r="BD17" i="28"/>
  <c r="AY29" i="28"/>
  <c r="AY30" i="28" s="1"/>
  <c r="AZ38" i="28"/>
  <c r="AZ44" i="28" s="1"/>
  <c r="AZ46" i="28" s="1"/>
  <c r="AZ47" i="28" s="1"/>
  <c r="AZ37" i="28"/>
  <c r="AZ56" i="28" s="1"/>
  <c r="AZ22" i="28"/>
  <c r="AY56" i="28"/>
  <c r="AY57" i="28" s="1"/>
  <c r="BA25" i="28"/>
  <c r="BB26" i="28"/>
  <c r="BB28" i="28" s="1"/>
  <c r="BB24" i="28"/>
  <c r="BB27" i="28" s="1"/>
  <c r="BA28" i="28"/>
  <c r="AF44" i="9"/>
  <c r="AF46" i="9" s="1"/>
  <c r="AF47" i="9" s="1"/>
  <c r="AF48" i="9" s="1"/>
  <c r="AG42" i="9"/>
  <c r="AY28" i="26"/>
  <c r="AG24" i="20"/>
  <c r="AG27" i="20" s="1"/>
  <c r="AG26" i="20"/>
  <c r="AG25" i="20"/>
  <c r="AF28" i="20"/>
  <c r="AD29" i="20"/>
  <c r="AD30" i="20" s="1"/>
  <c r="AI17" i="20"/>
  <c r="AH23" i="20"/>
  <c r="AH33" i="20"/>
  <c r="O48" i="20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E38" i="20"/>
  <c r="AE44" i="20" s="1"/>
  <c r="AE46" i="20" s="1"/>
  <c r="AE47" i="20" s="1"/>
  <c r="AE22" i="20"/>
  <c r="AE37" i="20"/>
  <c r="AF25" i="20"/>
  <c r="AD56" i="20"/>
  <c r="AD57" i="20" s="1"/>
  <c r="AZ26" i="26"/>
  <c r="AZ24" i="26"/>
  <c r="AZ27" i="26" s="1"/>
  <c r="AW29" i="26"/>
  <c r="AW30" i="26" s="1"/>
  <c r="BA23" i="26"/>
  <c r="BA33" i="26"/>
  <c r="BB17" i="26"/>
  <c r="AX37" i="26"/>
  <c r="AX38" i="26"/>
  <c r="AX44" i="26" s="1"/>
  <c r="AX46" i="26" s="1"/>
  <c r="AX47" i="26" s="1"/>
  <c r="AX22" i="26"/>
  <c r="AY25" i="26"/>
  <c r="BA37" i="28" l="1"/>
  <c r="BA38" i="28"/>
  <c r="BA44" i="28" s="1"/>
  <c r="BA46" i="28" s="1"/>
  <c r="BA47" i="28" s="1"/>
  <c r="BA22" i="28"/>
  <c r="BC25" i="28"/>
  <c r="BC24" i="28"/>
  <c r="BC27" i="28" s="1"/>
  <c r="BC26" i="28"/>
  <c r="BC28" i="28" s="1"/>
  <c r="AZ29" i="28"/>
  <c r="AZ30" i="28" s="1"/>
  <c r="BD33" i="28"/>
  <c r="BD23" i="28"/>
  <c r="BE17" i="28"/>
  <c r="AZ57" i="28"/>
  <c r="BB25" i="28"/>
  <c r="AH42" i="9"/>
  <c r="AG44" i="9"/>
  <c r="AG46" i="9" s="1"/>
  <c r="AG47" i="9" s="1"/>
  <c r="AG48" i="9" s="1"/>
  <c r="AZ25" i="26"/>
  <c r="AZ37" i="26" s="1"/>
  <c r="AE56" i="20"/>
  <c r="AE57" i="20" s="1"/>
  <c r="AH26" i="20"/>
  <c r="AH24" i="20"/>
  <c r="AH27" i="20" s="1"/>
  <c r="AE29" i="20"/>
  <c r="AE30" i="20" s="1"/>
  <c r="AI33" i="20"/>
  <c r="AI23" i="20"/>
  <c r="AJ17" i="20"/>
  <c r="AG37" i="20"/>
  <c r="AG22" i="20"/>
  <c r="AG28" i="20"/>
  <c r="AG38" i="20" s="1"/>
  <c r="AG44" i="20" s="1"/>
  <c r="AG46" i="20" s="1"/>
  <c r="AG47" i="20" s="1"/>
  <c r="AF38" i="20"/>
  <c r="AF44" i="20" s="1"/>
  <c r="AF46" i="20" s="1"/>
  <c r="AF47" i="20" s="1"/>
  <c r="AF37" i="20"/>
  <c r="AF22" i="20"/>
  <c r="AX56" i="26"/>
  <c r="AX57" i="26" s="1"/>
  <c r="AZ28" i="26"/>
  <c r="AZ38" i="26" s="1"/>
  <c r="AZ44" i="26" s="1"/>
  <c r="AZ46" i="26" s="1"/>
  <c r="AZ47" i="26" s="1"/>
  <c r="BA26" i="26"/>
  <c r="BA24" i="26"/>
  <c r="BA27" i="26" s="1"/>
  <c r="AY38" i="26"/>
  <c r="AY44" i="26" s="1"/>
  <c r="AY46" i="26" s="1"/>
  <c r="AY47" i="26" s="1"/>
  <c r="AY37" i="26"/>
  <c r="AY22" i="26"/>
  <c r="BB23" i="26"/>
  <c r="BB33" i="26"/>
  <c r="BC17" i="26"/>
  <c r="AX29" i="26"/>
  <c r="AX30" i="26" s="1"/>
  <c r="BE33" i="28" l="1"/>
  <c r="BE23" i="28"/>
  <c r="BF17" i="28"/>
  <c r="BD26" i="28"/>
  <c r="BD28" i="28" s="1"/>
  <c r="BD24" i="28"/>
  <c r="BD27" i="28" s="1"/>
  <c r="BA29" i="28"/>
  <c r="BA30" i="28" s="1"/>
  <c r="BB38" i="28"/>
  <c r="BB44" i="28" s="1"/>
  <c r="BB46" i="28" s="1"/>
  <c r="BB47" i="28" s="1"/>
  <c r="BB37" i="28"/>
  <c r="BB56" i="28" s="1"/>
  <c r="BB22" i="28"/>
  <c r="BC38" i="28"/>
  <c r="BC44" i="28" s="1"/>
  <c r="BC46" i="28" s="1"/>
  <c r="BC47" i="28" s="1"/>
  <c r="BC37" i="28"/>
  <c r="BC56" i="28" s="1"/>
  <c r="BC22" i="28"/>
  <c r="BA57" i="28"/>
  <c r="BB57" i="28" s="1"/>
  <c r="BC57" i="28" s="1"/>
  <c r="BA56" i="28"/>
  <c r="AZ22" i="26"/>
  <c r="AH44" i="9"/>
  <c r="AH46" i="9" s="1"/>
  <c r="AH47" i="9" s="1"/>
  <c r="AH48" i="9" s="1"/>
  <c r="AI42" i="9"/>
  <c r="AH25" i="20"/>
  <c r="AH28" i="20"/>
  <c r="BA25" i="26"/>
  <c r="BA37" i="26" s="1"/>
  <c r="AJ33" i="20"/>
  <c r="AJ23" i="20"/>
  <c r="AK17" i="20"/>
  <c r="AF29" i="20"/>
  <c r="AF30" i="20" s="1"/>
  <c r="AG29" i="20"/>
  <c r="AG30" i="20" s="1"/>
  <c r="AI26" i="20"/>
  <c r="AI24" i="20"/>
  <c r="AI27" i="20" s="1"/>
  <c r="AH22" i="20"/>
  <c r="AH38" i="20"/>
  <c r="AH44" i="20" s="1"/>
  <c r="AH46" i="20" s="1"/>
  <c r="AH47" i="20" s="1"/>
  <c r="AH37" i="20"/>
  <c r="AF56" i="20"/>
  <c r="AF57" i="20" s="1"/>
  <c r="AG57" i="20" s="1"/>
  <c r="AG56" i="20"/>
  <c r="BA22" i="26"/>
  <c r="AY29" i="26"/>
  <c r="AY30" i="26" s="1"/>
  <c r="AZ29" i="26"/>
  <c r="AZ30" i="26" s="1"/>
  <c r="BC33" i="26"/>
  <c r="BD17" i="26"/>
  <c r="BC23" i="26"/>
  <c r="AY56" i="26"/>
  <c r="BA28" i="26"/>
  <c r="BA38" i="26" s="1"/>
  <c r="BA44" i="26" s="1"/>
  <c r="BA46" i="26" s="1"/>
  <c r="BA47" i="26" s="1"/>
  <c r="AZ56" i="26"/>
  <c r="BB24" i="26"/>
  <c r="BB27" i="26" s="1"/>
  <c r="BB26" i="26"/>
  <c r="BB28" i="26" s="1"/>
  <c r="AY57" i="26"/>
  <c r="BC29" i="28" l="1"/>
  <c r="BC30" i="28" s="1"/>
  <c r="BF23" i="28"/>
  <c r="BF33" i="28"/>
  <c r="BG17" i="28"/>
  <c r="BE26" i="28"/>
  <c r="BE28" i="28" s="1"/>
  <c r="BE25" i="28"/>
  <c r="BE24" i="28"/>
  <c r="BE27" i="28" s="1"/>
  <c r="BB29" i="28"/>
  <c r="BB30" i="28" s="1"/>
  <c r="BD25" i="28"/>
  <c r="AI44" i="9"/>
  <c r="AI46" i="9" s="1"/>
  <c r="AI47" i="9" s="1"/>
  <c r="AI48" i="9" s="1"/>
  <c r="AJ42" i="9"/>
  <c r="AZ57" i="26"/>
  <c r="BB25" i="26"/>
  <c r="BB38" i="26" s="1"/>
  <c r="BB44" i="26" s="1"/>
  <c r="BB46" i="26" s="1"/>
  <c r="BB47" i="26" s="1"/>
  <c r="BA56" i="26"/>
  <c r="AJ26" i="20"/>
  <c r="AJ24" i="20"/>
  <c r="AJ27" i="20" s="1"/>
  <c r="AH56" i="20"/>
  <c r="AH57" i="20" s="1"/>
  <c r="AI25" i="20"/>
  <c r="AI28" i="20"/>
  <c r="AH29" i="20"/>
  <c r="AH30" i="20" s="1"/>
  <c r="AK33" i="20"/>
  <c r="AL17" i="20"/>
  <c r="AK23" i="20"/>
  <c r="BC24" i="26"/>
  <c r="BC27" i="26" s="1"/>
  <c r="BC26" i="26"/>
  <c r="BB22" i="26"/>
  <c r="BD33" i="26"/>
  <c r="BD23" i="26"/>
  <c r="BE17" i="26"/>
  <c r="BA29" i="26"/>
  <c r="BA30" i="26" s="1"/>
  <c r="BE38" i="28" l="1"/>
  <c r="BE44" i="28" s="1"/>
  <c r="BE46" i="28" s="1"/>
  <c r="BE47" i="28" s="1"/>
  <c r="BE37" i="28"/>
  <c r="BE22" i="28"/>
  <c r="BF26" i="28"/>
  <c r="BF28" i="28" s="1"/>
  <c r="BF25" i="28"/>
  <c r="BF24" i="28"/>
  <c r="BF27" i="28" s="1"/>
  <c r="BG33" i="28"/>
  <c r="BG23" i="28"/>
  <c r="BH17" i="28"/>
  <c r="BD38" i="28"/>
  <c r="BD44" i="28" s="1"/>
  <c r="BD46" i="28" s="1"/>
  <c r="BD47" i="28" s="1"/>
  <c r="BD37" i="28"/>
  <c r="BD56" i="28" s="1"/>
  <c r="BD57" i="28" s="1"/>
  <c r="BD22" i="28"/>
  <c r="BB37" i="26"/>
  <c r="BA57" i="26"/>
  <c r="AK42" i="9"/>
  <c r="AJ44" i="9"/>
  <c r="AJ46" i="9" s="1"/>
  <c r="AJ47" i="9" s="1"/>
  <c r="AJ48" i="9" s="1"/>
  <c r="BB56" i="26"/>
  <c r="BB57" i="26"/>
  <c r="BC25" i="26"/>
  <c r="BC38" i="26" s="1"/>
  <c r="BC44" i="26" s="1"/>
  <c r="BC46" i="26" s="1"/>
  <c r="BC47" i="26" s="1"/>
  <c r="BC28" i="26"/>
  <c r="AJ28" i="20"/>
  <c r="AL33" i="20"/>
  <c r="AM17" i="20"/>
  <c r="AL23" i="20"/>
  <c r="AI37" i="20"/>
  <c r="AI22" i="20"/>
  <c r="AI38" i="20"/>
  <c r="AI44" i="20" s="1"/>
  <c r="AI46" i="20" s="1"/>
  <c r="AI47" i="20" s="1"/>
  <c r="AJ25" i="20"/>
  <c r="AK26" i="20"/>
  <c r="AK24" i="20"/>
  <c r="AK27" i="20" s="1"/>
  <c r="BD26" i="26"/>
  <c r="BD24" i="26"/>
  <c r="BD27" i="26" s="1"/>
  <c r="BC22" i="26"/>
  <c r="BB29" i="26"/>
  <c r="BB30" i="26" s="1"/>
  <c r="BE33" i="26"/>
  <c r="BE23" i="26"/>
  <c r="BF17" i="26"/>
  <c r="BE29" i="28" l="1"/>
  <c r="BE30" i="28" s="1"/>
  <c r="BG24" i="28"/>
  <c r="BG27" i="28" s="1"/>
  <c r="BG26" i="28"/>
  <c r="BE56" i="28"/>
  <c r="BE57" i="28" s="1"/>
  <c r="BF57" i="28" s="1"/>
  <c r="BD29" i="28"/>
  <c r="BD30" i="28" s="1"/>
  <c r="BH33" i="28"/>
  <c r="BH23" i="28"/>
  <c r="BI17" i="28"/>
  <c r="BF38" i="28"/>
  <c r="BF44" i="28" s="1"/>
  <c r="BF46" i="28" s="1"/>
  <c r="BF47" i="28" s="1"/>
  <c r="BF37" i="28"/>
  <c r="BF56" i="28" s="1"/>
  <c r="BF22" i="28"/>
  <c r="AL42" i="9"/>
  <c r="AK44" i="9"/>
  <c r="AK46" i="9" s="1"/>
  <c r="AK47" i="9" s="1"/>
  <c r="AK48" i="9" s="1"/>
  <c r="AI56" i="20"/>
  <c r="AI57" i="20" s="1"/>
  <c r="BC37" i="26"/>
  <c r="BC56" i="26" s="1"/>
  <c r="BC57" i="26" s="1"/>
  <c r="AI29" i="20"/>
  <c r="AI30" i="20"/>
  <c r="AN17" i="20"/>
  <c r="AM33" i="20"/>
  <c r="AM23" i="20"/>
  <c r="AK28" i="20"/>
  <c r="AJ38" i="20"/>
  <c r="AJ44" i="20" s="1"/>
  <c r="AJ46" i="20" s="1"/>
  <c r="AJ47" i="20" s="1"/>
  <c r="AJ37" i="20"/>
  <c r="AJ22" i="20"/>
  <c r="AK25" i="20"/>
  <c r="AL26" i="20"/>
  <c r="AL24" i="20"/>
  <c r="AL27" i="20" s="1"/>
  <c r="BC29" i="26"/>
  <c r="BC30" i="26" s="1"/>
  <c r="BD25" i="26"/>
  <c r="BD28" i="26"/>
  <c r="BF33" i="26"/>
  <c r="BG17" i="26"/>
  <c r="BF23" i="26"/>
  <c r="BE26" i="26"/>
  <c r="BE24" i="26"/>
  <c r="BE27" i="26" s="1"/>
  <c r="BG25" i="28" l="1"/>
  <c r="BI33" i="28"/>
  <c r="BI23" i="28"/>
  <c r="BJ17" i="28"/>
  <c r="BG28" i="28"/>
  <c r="BF29" i="28"/>
  <c r="BF30" i="28" s="1"/>
  <c r="BH26" i="28"/>
  <c r="BH28" i="28" s="1"/>
  <c r="BH25" i="28"/>
  <c r="BH24" i="28"/>
  <c r="BH27" i="28" s="1"/>
  <c r="AL44" i="9"/>
  <c r="AL46" i="9" s="1"/>
  <c r="AL47" i="9" s="1"/>
  <c r="AL48" i="9" s="1"/>
  <c r="AM42" i="9"/>
  <c r="AL28" i="20"/>
  <c r="AK22" i="20"/>
  <c r="AK38" i="20"/>
  <c r="AK44" i="20" s="1"/>
  <c r="AK46" i="20" s="1"/>
  <c r="AK47" i="20" s="1"/>
  <c r="AK37" i="20"/>
  <c r="AK56" i="20" s="1"/>
  <c r="AN33" i="20"/>
  <c r="AN23" i="20"/>
  <c r="AO17" i="20"/>
  <c r="AL25" i="20"/>
  <c r="AJ29" i="20"/>
  <c r="AJ30" i="20" s="1"/>
  <c r="AJ56" i="20"/>
  <c r="AJ57" i="20" s="1"/>
  <c r="AM24" i="20"/>
  <c r="AM27" i="20" s="1"/>
  <c r="AM26" i="20"/>
  <c r="BE25" i="26"/>
  <c r="BE28" i="26"/>
  <c r="BF26" i="26"/>
  <c r="BF24" i="26"/>
  <c r="BF27" i="26" s="1"/>
  <c r="BD37" i="26"/>
  <c r="BD38" i="26"/>
  <c r="BD44" i="26" s="1"/>
  <c r="BD46" i="26" s="1"/>
  <c r="BD47" i="26" s="1"/>
  <c r="BD22" i="26"/>
  <c r="BG33" i="26"/>
  <c r="BH17" i="26"/>
  <c r="BG23" i="26"/>
  <c r="BH38" i="28" l="1"/>
  <c r="BH44" i="28" s="1"/>
  <c r="BH46" i="28" s="1"/>
  <c r="BH47" i="28" s="1"/>
  <c r="BH37" i="28"/>
  <c r="BH56" i="28" s="1"/>
  <c r="BH22" i="28"/>
  <c r="BJ23" i="28"/>
  <c r="BJ33" i="28"/>
  <c r="BK17" i="28"/>
  <c r="BG37" i="28"/>
  <c r="BG38" i="28"/>
  <c r="BG44" i="28" s="1"/>
  <c r="BG46" i="28" s="1"/>
  <c r="BG47" i="28" s="1"/>
  <c r="BG22" i="28"/>
  <c r="BI26" i="28"/>
  <c r="BI24" i="28"/>
  <c r="BI27" i="28" s="1"/>
  <c r="AN42" i="9"/>
  <c r="AM44" i="9"/>
  <c r="AM46" i="9" s="1"/>
  <c r="AM47" i="9" s="1"/>
  <c r="AM48" i="9" s="1"/>
  <c r="BF28" i="26"/>
  <c r="AK57" i="20"/>
  <c r="AM25" i="20"/>
  <c r="AL38" i="20"/>
  <c r="AL44" i="20" s="1"/>
  <c r="AL46" i="20" s="1"/>
  <c r="AL47" i="20" s="1"/>
  <c r="AL37" i="20"/>
  <c r="AL22" i="20"/>
  <c r="AP17" i="20"/>
  <c r="AO23" i="20"/>
  <c r="AO33" i="20"/>
  <c r="AM28" i="20"/>
  <c r="AN26" i="20"/>
  <c r="AN24" i="20"/>
  <c r="AN27" i="20" s="1"/>
  <c r="AK29" i="20"/>
  <c r="AK30" i="20" s="1"/>
  <c r="BH33" i="26"/>
  <c r="BH23" i="26"/>
  <c r="BI17" i="26"/>
  <c r="BD56" i="26"/>
  <c r="BD57" i="26" s="1"/>
  <c r="BG24" i="26"/>
  <c r="BG27" i="26" s="1"/>
  <c r="BG26" i="26"/>
  <c r="BE22" i="26"/>
  <c r="BE37" i="26"/>
  <c r="BE38" i="26"/>
  <c r="BE44" i="26" s="1"/>
  <c r="BE46" i="26" s="1"/>
  <c r="BE47" i="26" s="1"/>
  <c r="BD29" i="26"/>
  <c r="BD30" i="26" s="1"/>
  <c r="BF25" i="26"/>
  <c r="BJ26" i="28" l="1"/>
  <c r="BJ24" i="28"/>
  <c r="BJ27" i="28" s="1"/>
  <c r="BI25" i="28"/>
  <c r="BH30" i="28"/>
  <c r="BH29" i="28"/>
  <c r="BI28" i="28"/>
  <c r="BK33" i="28"/>
  <c r="BK23" i="28"/>
  <c r="BG56" i="28"/>
  <c r="BG57" i="28" s="1"/>
  <c r="BH57" i="28" s="1"/>
  <c r="BG29" i="28"/>
  <c r="BG30" i="28" s="1"/>
  <c r="AO42" i="9"/>
  <c r="AN44" i="9"/>
  <c r="AN46" i="9" s="1"/>
  <c r="AN47" i="9" s="1"/>
  <c r="AN48" i="9" s="1"/>
  <c r="AL56" i="20"/>
  <c r="AL57" i="20" s="1"/>
  <c r="AN28" i="20"/>
  <c r="AN25" i="20"/>
  <c r="AN38" i="20" s="1"/>
  <c r="AN44" i="20" s="1"/>
  <c r="AN46" i="20" s="1"/>
  <c r="AN47" i="20" s="1"/>
  <c r="AO26" i="20"/>
  <c r="AO24" i="20"/>
  <c r="AO27" i="20" s="1"/>
  <c r="AN22" i="20"/>
  <c r="AP33" i="20"/>
  <c r="AQ17" i="20"/>
  <c r="AP23" i="20"/>
  <c r="AL29" i="20"/>
  <c r="AL30" i="20" s="1"/>
  <c r="AM37" i="20"/>
  <c r="AM38" i="20"/>
  <c r="AM22" i="20"/>
  <c r="BF38" i="26"/>
  <c r="BF44" i="26" s="1"/>
  <c r="BF46" i="26" s="1"/>
  <c r="BF47" i="26" s="1"/>
  <c r="BF22" i="26"/>
  <c r="BF37" i="26"/>
  <c r="BG28" i="26"/>
  <c r="BI23" i="26"/>
  <c r="BI33" i="26"/>
  <c r="BJ17" i="26"/>
  <c r="BE56" i="26"/>
  <c r="BE29" i="26"/>
  <c r="BE30" i="26" s="1"/>
  <c r="BH24" i="26"/>
  <c r="BH27" i="26" s="1"/>
  <c r="BH26" i="26"/>
  <c r="BE57" i="26"/>
  <c r="BG25" i="26"/>
  <c r="BI37" i="28" l="1"/>
  <c r="BI22" i="28"/>
  <c r="BI38" i="28"/>
  <c r="BI44" i="28" s="1"/>
  <c r="BI46" i="28" s="1"/>
  <c r="BI47" i="28" s="1"/>
  <c r="BJ25" i="28"/>
  <c r="BK24" i="28"/>
  <c r="BK27" i="28" s="1"/>
  <c r="BK26" i="28"/>
  <c r="BJ28" i="28"/>
  <c r="BF56" i="26"/>
  <c r="AO44" i="9"/>
  <c r="AO46" i="9" s="1"/>
  <c r="AO47" i="9" s="1"/>
  <c r="AO48" i="9" s="1"/>
  <c r="AP42" i="9"/>
  <c r="AN37" i="20"/>
  <c r="AN56" i="20"/>
  <c r="AN29" i="20"/>
  <c r="AN30" i="20" s="1"/>
  <c r="AO28" i="20"/>
  <c r="AM29" i="20"/>
  <c r="AM30" i="20" s="1"/>
  <c r="AB31" i="20" s="1"/>
  <c r="AM56" i="20"/>
  <c r="AM57" i="20" s="1"/>
  <c r="AN57" i="20" s="1"/>
  <c r="AP26" i="20"/>
  <c r="AP24" i="20"/>
  <c r="AP27" i="20" s="1"/>
  <c r="AO25" i="20"/>
  <c r="AR17" i="20"/>
  <c r="AQ23" i="20"/>
  <c r="AQ33" i="20"/>
  <c r="BF29" i="26"/>
  <c r="BF30" i="26" s="1"/>
  <c r="BF57" i="26"/>
  <c r="BH25" i="26"/>
  <c r="BI26" i="26"/>
  <c r="BI24" i="26"/>
  <c r="BI27" i="26" s="1"/>
  <c r="BG38" i="26"/>
  <c r="BG44" i="26" s="1"/>
  <c r="BG46" i="26" s="1"/>
  <c r="BG47" i="26" s="1"/>
  <c r="BG37" i="26"/>
  <c r="BG22" i="26"/>
  <c r="BJ33" i="26"/>
  <c r="BJ23" i="26"/>
  <c r="BK17" i="26"/>
  <c r="BH28" i="26"/>
  <c r="BI29" i="28" l="1"/>
  <c r="BI30" i="28" s="1"/>
  <c r="BJ38" i="28"/>
  <c r="BJ44" i="28" s="1"/>
  <c r="BJ46" i="28" s="1"/>
  <c r="BJ47" i="28" s="1"/>
  <c r="BJ37" i="28"/>
  <c r="BJ22" i="28"/>
  <c r="BK25" i="28"/>
  <c r="BK28" i="28"/>
  <c r="BI56" i="28"/>
  <c r="BI57" i="28" s="1"/>
  <c r="BI25" i="26"/>
  <c r="AQ42" i="9"/>
  <c r="AP44" i="9"/>
  <c r="AP46" i="9" s="1"/>
  <c r="AP47" i="9" s="1"/>
  <c r="AP48" i="9" s="1"/>
  <c r="BG56" i="26"/>
  <c r="BI28" i="26"/>
  <c r="BI38" i="26" s="1"/>
  <c r="BI44" i="26" s="1"/>
  <c r="BI46" i="26" s="1"/>
  <c r="BI47" i="26" s="1"/>
  <c r="AO38" i="20"/>
  <c r="AO44" i="20" s="1"/>
  <c r="AO46" i="20" s="1"/>
  <c r="AO47" i="20" s="1"/>
  <c r="AO37" i="20"/>
  <c r="AO22" i="20"/>
  <c r="AQ26" i="20"/>
  <c r="AQ24" i="20"/>
  <c r="AQ27" i="20" s="1"/>
  <c r="AP28" i="20"/>
  <c r="AB32" i="20"/>
  <c r="F6" i="21"/>
  <c r="G6" i="21" s="1"/>
  <c r="AR33" i="20"/>
  <c r="AR23" i="20"/>
  <c r="AS17" i="20"/>
  <c r="AP25" i="20"/>
  <c r="BI37" i="26"/>
  <c r="BI22" i="26"/>
  <c r="BK33" i="26"/>
  <c r="BK23" i="26"/>
  <c r="BJ26" i="26"/>
  <c r="BJ24" i="26"/>
  <c r="BJ27" i="26" s="1"/>
  <c r="BH38" i="26"/>
  <c r="BH44" i="26" s="1"/>
  <c r="BH46" i="26" s="1"/>
  <c r="BH47" i="26" s="1"/>
  <c r="BH37" i="26"/>
  <c r="BH22" i="26"/>
  <c r="BG29" i="26"/>
  <c r="BG30" i="26" s="1"/>
  <c r="BG57" i="26"/>
  <c r="BK38" i="28" l="1"/>
  <c r="BK44" i="28" s="1"/>
  <c r="BK46" i="28" s="1"/>
  <c r="BK47" i="28" s="1"/>
  <c r="BK37" i="28"/>
  <c r="BK56" i="28" s="1"/>
  <c r="BK22" i="28"/>
  <c r="BJ30" i="28"/>
  <c r="BJ29" i="28"/>
  <c r="BJ56" i="28"/>
  <c r="BJ57" i="28" s="1"/>
  <c r="BK57" i="28" s="1"/>
  <c r="C53" i="28" s="1"/>
  <c r="AQ44" i="9"/>
  <c r="AQ46" i="9" s="1"/>
  <c r="AQ47" i="9" s="1"/>
  <c r="AQ48" i="9" s="1"/>
  <c r="AR42" i="9"/>
  <c r="BH56" i="26"/>
  <c r="BH57" i="26" s="1"/>
  <c r="BI57" i="26" s="1"/>
  <c r="BJ25" i="26"/>
  <c r="BJ22" i="26" s="1"/>
  <c r="BJ28" i="26"/>
  <c r="AO29" i="20"/>
  <c r="AO30" i="20"/>
  <c r="F14" i="21"/>
  <c r="G14" i="21" s="1"/>
  <c r="H6" i="21"/>
  <c r="AQ28" i="20"/>
  <c r="AO56" i="20"/>
  <c r="AO57" i="20" s="1"/>
  <c r="AP22" i="20"/>
  <c r="AP38" i="20"/>
  <c r="AP44" i="20" s="1"/>
  <c r="AP46" i="20" s="1"/>
  <c r="AP47" i="20" s="1"/>
  <c r="AP37" i="20"/>
  <c r="AT17" i="20"/>
  <c r="AS23" i="20"/>
  <c r="AS33" i="20"/>
  <c r="AQ25" i="20"/>
  <c r="AR26" i="20"/>
  <c r="AR24" i="20"/>
  <c r="AR27" i="20" s="1"/>
  <c r="BI29" i="26"/>
  <c r="BI30" i="26" s="1"/>
  <c r="BK26" i="26"/>
  <c r="BK24" i="26"/>
  <c r="BK27" i="26" s="1"/>
  <c r="BI56" i="26"/>
  <c r="BH29" i="26"/>
  <c r="BH30" i="26"/>
  <c r="BJ37" i="26"/>
  <c r="BK29" i="28" l="1"/>
  <c r="BK30" i="28" s="1"/>
  <c r="AS42" i="9"/>
  <c r="AR44" i="9"/>
  <c r="AR46" i="9" s="1"/>
  <c r="AR47" i="9" s="1"/>
  <c r="AR48" i="9" s="1"/>
  <c r="AP56" i="20"/>
  <c r="BJ38" i="26"/>
  <c r="BJ44" i="26" s="1"/>
  <c r="BJ46" i="26" s="1"/>
  <c r="BJ47" i="26" s="1"/>
  <c r="AS26" i="20"/>
  <c r="AS24" i="20"/>
  <c r="AS27" i="20" s="1"/>
  <c r="E30" i="24"/>
  <c r="AA42" i="20"/>
  <c r="AA44" i="20" s="1"/>
  <c r="AA46" i="20" s="1"/>
  <c r="AA47" i="20" s="1"/>
  <c r="I6" i="21"/>
  <c r="AR28" i="20"/>
  <c r="AP29" i="20"/>
  <c r="AP30" i="20" s="1"/>
  <c r="AR25" i="20"/>
  <c r="AT33" i="20"/>
  <c r="AU17" i="20"/>
  <c r="AT23" i="20"/>
  <c r="AQ38" i="20"/>
  <c r="AQ44" i="20" s="1"/>
  <c r="AQ46" i="20" s="1"/>
  <c r="AQ47" i="20" s="1"/>
  <c r="AQ22" i="20"/>
  <c r="AQ37" i="20"/>
  <c r="AP57" i="20"/>
  <c r="BK28" i="26"/>
  <c r="BJ29" i="26"/>
  <c r="BJ30" i="26" s="1"/>
  <c r="BK25" i="26"/>
  <c r="E35" i="24" l="1"/>
  <c r="H35" i="24" s="1"/>
  <c r="BJ56" i="26"/>
  <c r="BJ57" i="26" s="1"/>
  <c r="AS44" i="9"/>
  <c r="AS46" i="9" s="1"/>
  <c r="AS47" i="9" s="1"/>
  <c r="AS48" i="9" s="1"/>
  <c r="AT42" i="9"/>
  <c r="AQ56" i="20"/>
  <c r="AT26" i="20"/>
  <c r="AT24" i="20"/>
  <c r="AT27" i="20" s="1"/>
  <c r="AU33" i="20"/>
  <c r="AU23" i="20"/>
  <c r="AV17" i="20"/>
  <c r="AQ29" i="20"/>
  <c r="AQ30" i="20" s="1"/>
  <c r="AS25" i="20"/>
  <c r="AR38" i="20"/>
  <c r="AR44" i="20" s="1"/>
  <c r="AR46" i="20" s="1"/>
  <c r="AR47" i="20" s="1"/>
  <c r="AR37" i="20"/>
  <c r="AR22" i="20"/>
  <c r="AQ57" i="20"/>
  <c r="AA48" i="20"/>
  <c r="AB48" i="20" s="1"/>
  <c r="AC48" i="20" s="1"/>
  <c r="AD48" i="20" s="1"/>
  <c r="AE48" i="20" s="1"/>
  <c r="AF48" i="20" s="1"/>
  <c r="AG48" i="20" s="1"/>
  <c r="AH48" i="20" s="1"/>
  <c r="AI48" i="20" s="1"/>
  <c r="AJ48" i="20" s="1"/>
  <c r="AK48" i="20" s="1"/>
  <c r="AL48" i="20" s="1"/>
  <c r="AS28" i="20"/>
  <c r="BK38" i="26"/>
  <c r="BK44" i="26" s="1"/>
  <c r="BK46" i="26" s="1"/>
  <c r="BK47" i="26" s="1"/>
  <c r="BK37" i="26"/>
  <c r="BK56" i="26" s="1"/>
  <c r="BK57" i="26" s="1"/>
  <c r="C53" i="26" s="1"/>
  <c r="BK22" i="26"/>
  <c r="AU42" i="9" l="1"/>
  <c r="AT44" i="9"/>
  <c r="AT46" i="9" s="1"/>
  <c r="AT47" i="9" s="1"/>
  <c r="AT48" i="9"/>
  <c r="AS22" i="20"/>
  <c r="AS38" i="20"/>
  <c r="AS44" i="20" s="1"/>
  <c r="AS46" i="20" s="1"/>
  <c r="AS47" i="20" s="1"/>
  <c r="AS37" i="20"/>
  <c r="AV33" i="20"/>
  <c r="AV23" i="20"/>
  <c r="AW17" i="20"/>
  <c r="AT28" i="20"/>
  <c r="AR30" i="20"/>
  <c r="AR29" i="20"/>
  <c r="AU26" i="20"/>
  <c r="AU24" i="20"/>
  <c r="AU27" i="20" s="1"/>
  <c r="AT25" i="20"/>
  <c r="AR56" i="20"/>
  <c r="AR57" i="20" s="1"/>
  <c r="BK29" i="26"/>
  <c r="BK30" i="26" s="1"/>
  <c r="AU44" i="9" l="1"/>
  <c r="AU46" i="9" s="1"/>
  <c r="AU47" i="9" s="1"/>
  <c r="AV42" i="9"/>
  <c r="AU48" i="9"/>
  <c r="AS56" i="20"/>
  <c r="AU25" i="20"/>
  <c r="AU38" i="20" s="1"/>
  <c r="AU44" i="20" s="1"/>
  <c r="AU46" i="20" s="1"/>
  <c r="AU47" i="20" s="1"/>
  <c r="AU28" i="20"/>
  <c r="AS57" i="20"/>
  <c r="AT22" i="20"/>
  <c r="AT38" i="20"/>
  <c r="AT44" i="20" s="1"/>
  <c r="AT46" i="20" s="1"/>
  <c r="AT47" i="20" s="1"/>
  <c r="AT37" i="20"/>
  <c r="AW33" i="20"/>
  <c r="AX17" i="20"/>
  <c r="AW23" i="20"/>
  <c r="AU37" i="20"/>
  <c r="AU22" i="20"/>
  <c r="AV24" i="20"/>
  <c r="AV27" i="20" s="1"/>
  <c r="AV26" i="20"/>
  <c r="AS29" i="20"/>
  <c r="AS30" i="20" s="1"/>
  <c r="AV44" i="9" l="1"/>
  <c r="AV46" i="9" s="1"/>
  <c r="AV47" i="9" s="1"/>
  <c r="AV48" i="9" s="1"/>
  <c r="AW42" i="9"/>
  <c r="AT56" i="20"/>
  <c r="AU56" i="20"/>
  <c r="AT57" i="20"/>
  <c r="AV25" i="20"/>
  <c r="AW26" i="20"/>
  <c r="AW24" i="20"/>
  <c r="AW27" i="20" s="1"/>
  <c r="AX33" i="20"/>
  <c r="AY17" i="20"/>
  <c r="AX23" i="20"/>
  <c r="AT29" i="20"/>
  <c r="AT30" i="20" s="1"/>
  <c r="AV28" i="20"/>
  <c r="AU29" i="20"/>
  <c r="AU30" i="20" s="1"/>
  <c r="AW44" i="9" l="1"/>
  <c r="AW46" i="9" s="1"/>
  <c r="AW47" i="9" s="1"/>
  <c r="AW48" i="9" s="1"/>
  <c r="AX42" i="9"/>
  <c r="AU57" i="20"/>
  <c r="AW28" i="20"/>
  <c r="AX26" i="20"/>
  <c r="AX24" i="20"/>
  <c r="AX27" i="20" s="1"/>
  <c r="AV38" i="20"/>
  <c r="AV44" i="20" s="1"/>
  <c r="AV46" i="20" s="1"/>
  <c r="AV47" i="20" s="1"/>
  <c r="AV37" i="20"/>
  <c r="AV22" i="20"/>
  <c r="AY23" i="20"/>
  <c r="AZ17" i="20"/>
  <c r="AY33" i="20"/>
  <c r="AW25" i="20"/>
  <c r="AX44" i="9" l="1"/>
  <c r="AX46" i="9" s="1"/>
  <c r="AX47" i="9" s="1"/>
  <c r="AX48" i="9" s="1"/>
  <c r="AY42" i="9"/>
  <c r="AY44" i="9" s="1"/>
  <c r="AY46" i="9" s="1"/>
  <c r="AY47" i="9" s="1"/>
  <c r="AV56" i="20"/>
  <c r="AV57" i="20" s="1"/>
  <c r="AZ23" i="20"/>
  <c r="BA17" i="20"/>
  <c r="AZ33" i="20"/>
  <c r="AW38" i="20"/>
  <c r="AW44" i="20" s="1"/>
  <c r="AW46" i="20" s="1"/>
  <c r="AW47" i="20" s="1"/>
  <c r="AW37" i="20"/>
  <c r="AW22" i="20"/>
  <c r="AY26" i="20"/>
  <c r="AY24" i="20"/>
  <c r="AY27" i="20" s="1"/>
  <c r="AX25" i="20"/>
  <c r="AV29" i="20"/>
  <c r="AV30" i="20"/>
  <c r="AX28" i="20"/>
  <c r="AY48" i="9" l="1"/>
  <c r="AZ48" i="9" s="1"/>
  <c r="BA48" i="9" s="1"/>
  <c r="BB48" i="9" s="1"/>
  <c r="BC48" i="9" s="1"/>
  <c r="BD48" i="9" s="1"/>
  <c r="BE48" i="9" s="1"/>
  <c r="BF48" i="9" s="1"/>
  <c r="BG48" i="9" s="1"/>
  <c r="BH48" i="9" s="1"/>
  <c r="BI48" i="9" s="1"/>
  <c r="BJ48" i="9" s="1"/>
  <c r="BK48" i="9" s="1"/>
  <c r="C51" i="9"/>
  <c r="C50" i="9"/>
  <c r="AY28" i="20"/>
  <c r="AX38" i="20"/>
  <c r="AX44" i="20" s="1"/>
  <c r="AX46" i="20" s="1"/>
  <c r="AX47" i="20" s="1"/>
  <c r="AX37" i="20"/>
  <c r="AX22" i="20"/>
  <c r="AW29" i="20"/>
  <c r="AW30" i="20"/>
  <c r="AN31" i="20" s="1"/>
  <c r="F7" i="21" s="1"/>
  <c r="G7" i="21" s="1"/>
  <c r="BA33" i="20"/>
  <c r="BB17" i="20"/>
  <c r="BA23" i="20"/>
  <c r="AY25" i="20"/>
  <c r="AW56" i="20"/>
  <c r="AW57" i="20" s="1"/>
  <c r="AZ26" i="20"/>
  <c r="AZ24" i="20"/>
  <c r="AZ27" i="20" s="1"/>
  <c r="AZ25" i="20"/>
  <c r="AX56" i="20" l="1"/>
  <c r="AX57" i="20" s="1"/>
  <c r="F15" i="21"/>
  <c r="G15" i="21" s="1"/>
  <c r="H7" i="21"/>
  <c r="BA26" i="20"/>
  <c r="BA24" i="20"/>
  <c r="BA27" i="20" s="1"/>
  <c r="AZ37" i="20"/>
  <c r="AZ22" i="20"/>
  <c r="AY38" i="20"/>
  <c r="AY44" i="20" s="1"/>
  <c r="AY46" i="20" s="1"/>
  <c r="AY47" i="20" s="1"/>
  <c r="AY37" i="20"/>
  <c r="AY56" i="20" s="1"/>
  <c r="AY22" i="20"/>
  <c r="AZ28" i="20"/>
  <c r="AZ38" i="20" s="1"/>
  <c r="AZ44" i="20" s="1"/>
  <c r="AZ46" i="20" s="1"/>
  <c r="AZ47" i="20" s="1"/>
  <c r="BB33" i="20"/>
  <c r="BC17" i="20"/>
  <c r="BB23" i="20"/>
  <c r="AX29" i="20"/>
  <c r="AX30" i="20" s="1"/>
  <c r="AY57" i="20" l="1"/>
  <c r="BC33" i="20"/>
  <c r="BD17" i="20"/>
  <c r="BC23" i="20"/>
  <c r="AZ56" i="20"/>
  <c r="AZ57" i="20" s="1"/>
  <c r="I7" i="21"/>
  <c r="AM42" i="20"/>
  <c r="AM44" i="20" s="1"/>
  <c r="AM46" i="20" s="1"/>
  <c r="AM47" i="20" s="1"/>
  <c r="BA25" i="20"/>
  <c r="BB26" i="20"/>
  <c r="BB24" i="20"/>
  <c r="BB27" i="20" s="1"/>
  <c r="AY29" i="20"/>
  <c r="AY30" i="20" s="1"/>
  <c r="AZ29" i="20"/>
  <c r="AZ30" i="20" s="1"/>
  <c r="BA28" i="20"/>
  <c r="BB28" i="20" l="1"/>
  <c r="AM48" i="20"/>
  <c r="AN48" i="20" s="1"/>
  <c r="AO48" i="20" s="1"/>
  <c r="AP48" i="20" s="1"/>
  <c r="AQ48" i="20" s="1"/>
  <c r="AR48" i="20" s="1"/>
  <c r="AS48" i="20" s="1"/>
  <c r="AT48" i="20" s="1"/>
  <c r="AU48" i="20" s="1"/>
  <c r="AV48" i="20" s="1"/>
  <c r="AW48" i="20" s="1"/>
  <c r="AX48" i="20" s="1"/>
  <c r="AY48" i="20" s="1"/>
  <c r="AZ48" i="20" s="1"/>
  <c r="BD33" i="20"/>
  <c r="BD23" i="20"/>
  <c r="BE17" i="20"/>
  <c r="BB25" i="20"/>
  <c r="BA22" i="20"/>
  <c r="BA38" i="20"/>
  <c r="BA44" i="20" s="1"/>
  <c r="BA46" i="20" s="1"/>
  <c r="BA47" i="20" s="1"/>
  <c r="BA37" i="20"/>
  <c r="BC26" i="20"/>
  <c r="BC24" i="20"/>
  <c r="BC27" i="20" s="1"/>
  <c r="BC25" i="20"/>
  <c r="BC37" i="20" l="1"/>
  <c r="BC22" i="20"/>
  <c r="BA29" i="20"/>
  <c r="BA30" i="20" s="1"/>
  <c r="BE33" i="20"/>
  <c r="BF17" i="20"/>
  <c r="BE23" i="20"/>
  <c r="BC28" i="20"/>
  <c r="BC38" i="20" s="1"/>
  <c r="BC44" i="20" s="1"/>
  <c r="BC46" i="20" s="1"/>
  <c r="BC47" i="20" s="1"/>
  <c r="BD25" i="20"/>
  <c r="BD24" i="20"/>
  <c r="BD27" i="20" s="1"/>
  <c r="BD26" i="20"/>
  <c r="BA56" i="20"/>
  <c r="BA57" i="20" s="1"/>
  <c r="BB37" i="20"/>
  <c r="BB56" i="20" s="1"/>
  <c r="BB38" i="20"/>
  <c r="BB44" i="20" s="1"/>
  <c r="BB46" i="20" s="1"/>
  <c r="BB47" i="20" s="1"/>
  <c r="BB22" i="20"/>
  <c r="BA48" i="20"/>
  <c r="BG17" i="20" l="1"/>
  <c r="BF23" i="20"/>
  <c r="BF33" i="20"/>
  <c r="BB57" i="20"/>
  <c r="BC29" i="20"/>
  <c r="BC30" i="20"/>
  <c r="BD37" i="20"/>
  <c r="BD22" i="20"/>
  <c r="BB48" i="20"/>
  <c r="BC48" i="20" s="1"/>
  <c r="BB29" i="20"/>
  <c r="BB30" i="20" s="1"/>
  <c r="BD28" i="20"/>
  <c r="BD38" i="20" s="1"/>
  <c r="BD44" i="20" s="1"/>
  <c r="BD46" i="20" s="1"/>
  <c r="BD47" i="20" s="1"/>
  <c r="BC56" i="20"/>
  <c r="BE26" i="20"/>
  <c r="BE24" i="20"/>
  <c r="BE27" i="20" s="1"/>
  <c r="BC57" i="20" l="1"/>
  <c r="BE25" i="20"/>
  <c r="BE22" i="20" s="1"/>
  <c r="BD29" i="20"/>
  <c r="BD30" i="20" s="1"/>
  <c r="BF24" i="20"/>
  <c r="BF27" i="20" s="1"/>
  <c r="BF26" i="20"/>
  <c r="BE28" i="20"/>
  <c r="BD56" i="20"/>
  <c r="BG23" i="20"/>
  <c r="BG33" i="20"/>
  <c r="BH17" i="20"/>
  <c r="BD57" i="20"/>
  <c r="BE37" i="20"/>
  <c r="BE38" i="20"/>
  <c r="BE44" i="20" s="1"/>
  <c r="BE46" i="20" s="1"/>
  <c r="BE47" i="20" s="1"/>
  <c r="BD48" i="20"/>
  <c r="BE48" i="20" l="1"/>
  <c r="BE29" i="20"/>
  <c r="BE30" i="20" s="1"/>
  <c r="BE56" i="20"/>
  <c r="BE57" i="20" s="1"/>
  <c r="BG24" i="20"/>
  <c r="BG27" i="20" s="1"/>
  <c r="BG26" i="20"/>
  <c r="BF25" i="20"/>
  <c r="BH23" i="20"/>
  <c r="BI17" i="20"/>
  <c r="BH33" i="20"/>
  <c r="BF28" i="20"/>
  <c r="BG28" i="20" l="1"/>
  <c r="BF38" i="20"/>
  <c r="BF44" i="20" s="1"/>
  <c r="BF46" i="20" s="1"/>
  <c r="BF47" i="20" s="1"/>
  <c r="BF48" i="20" s="1"/>
  <c r="BF22" i="20"/>
  <c r="BF37" i="20"/>
  <c r="BI33" i="20"/>
  <c r="BJ17" i="20"/>
  <c r="BI23" i="20"/>
  <c r="BG25" i="20"/>
  <c r="BH26" i="20"/>
  <c r="BH24" i="20"/>
  <c r="BH27" i="20" s="1"/>
  <c r="BH25" i="20" l="1"/>
  <c r="BK17" i="20"/>
  <c r="BJ23" i="20"/>
  <c r="BJ33" i="20"/>
  <c r="BG22" i="20"/>
  <c r="BG38" i="20"/>
  <c r="BG44" i="20" s="1"/>
  <c r="BG46" i="20" s="1"/>
  <c r="BG47" i="20" s="1"/>
  <c r="BG48" i="20" s="1"/>
  <c r="BG37" i="20"/>
  <c r="BF56" i="20"/>
  <c r="BF57" i="20" s="1"/>
  <c r="BI24" i="20"/>
  <c r="BI27" i="20" s="1"/>
  <c r="BI26" i="20"/>
  <c r="BF29" i="20"/>
  <c r="BF30" i="20" s="1"/>
  <c r="BH37" i="20"/>
  <c r="BH22" i="20"/>
  <c r="BH28" i="20"/>
  <c r="BH38" i="20" s="1"/>
  <c r="BH44" i="20" s="1"/>
  <c r="BH46" i="20" s="1"/>
  <c r="BH47" i="20" s="1"/>
  <c r="BI25" i="20" l="1"/>
  <c r="BI37" i="20" s="1"/>
  <c r="BH48" i="20"/>
  <c r="BH29" i="20"/>
  <c r="BH30" i="20" s="1"/>
  <c r="BI28" i="20"/>
  <c r="BI38" i="20" s="1"/>
  <c r="BI44" i="20" s="1"/>
  <c r="BI46" i="20" s="1"/>
  <c r="BI47" i="20" s="1"/>
  <c r="BG56" i="20"/>
  <c r="BG57" i="20" s="1"/>
  <c r="BJ26" i="20"/>
  <c r="BJ24" i="20"/>
  <c r="BJ27" i="20" s="1"/>
  <c r="BH56" i="20"/>
  <c r="BI22" i="20"/>
  <c r="BK23" i="20"/>
  <c r="BK33" i="20"/>
  <c r="BG29" i="20"/>
  <c r="BG30" i="20"/>
  <c r="BH57" i="20" l="1"/>
  <c r="BI56" i="20"/>
  <c r="BI57" i="20" s="1"/>
  <c r="BJ25" i="20"/>
  <c r="BI29" i="20"/>
  <c r="BI30" i="20" s="1"/>
  <c r="AZ31" i="20" s="1"/>
  <c r="F8" i="21" s="1"/>
  <c r="G8" i="21" s="1"/>
  <c r="BK26" i="20"/>
  <c r="BK24" i="20"/>
  <c r="BK27" i="20" s="1"/>
  <c r="BJ28" i="20"/>
  <c r="BI48" i="20"/>
  <c r="H8" i="21" l="1"/>
  <c r="I8" i="21" s="1"/>
  <c r="F16" i="21"/>
  <c r="G16" i="21" s="1"/>
  <c r="BK25" i="20"/>
  <c r="BK28" i="20"/>
  <c r="BJ37" i="20"/>
  <c r="BJ38" i="20"/>
  <c r="BJ44" i="20" s="1"/>
  <c r="BJ46" i="20" s="1"/>
  <c r="BJ47" i="20" s="1"/>
  <c r="BJ48" i="20" s="1"/>
  <c r="BJ22" i="20"/>
  <c r="BJ29" i="20" l="1"/>
  <c r="BJ30" i="20" s="1"/>
  <c r="BK37" i="20"/>
  <c r="BK38" i="20"/>
  <c r="BK44" i="20" s="1"/>
  <c r="BK46" i="20" s="1"/>
  <c r="BK47" i="20" s="1"/>
  <c r="BK22" i="20"/>
  <c r="BJ56" i="20"/>
  <c r="BJ57" i="20" s="1"/>
  <c r="BK56" i="20" l="1"/>
  <c r="BK57" i="20"/>
  <c r="C53" i="20" s="1"/>
  <c r="BK29" i="20"/>
  <c r="BK30" i="20" s="1"/>
  <c r="C51" i="20"/>
  <c r="E4" i="24" s="1"/>
  <c r="C50" i="20"/>
  <c r="E3" i="24" s="1"/>
  <c r="BK48" i="20"/>
  <c r="D26" i="24" l="1"/>
  <c r="H26" i="24" s="1"/>
  <c r="AA44" i="28"/>
  <c r="AA46" i="28" s="1"/>
  <c r="AA47" i="28" s="1"/>
  <c r="AA44" i="26"/>
  <c r="AA46" i="26" s="1"/>
  <c r="AA47" i="26" s="1"/>
  <c r="O44" i="28"/>
  <c r="O46" i="28" s="1"/>
  <c r="O47" i="28" s="1"/>
  <c r="O44" i="26"/>
  <c r="O46" i="26" s="1"/>
  <c r="O47" i="26" s="1"/>
  <c r="O48" i="28" l="1"/>
  <c r="P48" i="28" s="1"/>
  <c r="Q48" i="28" s="1"/>
  <c r="R48" i="28" s="1"/>
  <c r="S48" i="28" s="1"/>
  <c r="T48" i="28" s="1"/>
  <c r="U48" i="28" s="1"/>
  <c r="V48" i="28" s="1"/>
  <c r="W48" i="28" s="1"/>
  <c r="X48" i="28" s="1"/>
  <c r="Y48" i="28" s="1"/>
  <c r="Z48" i="28" s="1"/>
  <c r="AA48" i="28" s="1"/>
  <c r="AB48" i="28" s="1"/>
  <c r="AC48" i="28" s="1"/>
  <c r="AD48" i="28" s="1"/>
  <c r="AE48" i="28" s="1"/>
  <c r="AF48" i="28" s="1"/>
  <c r="AG48" i="28" s="1"/>
  <c r="AH48" i="28" s="1"/>
  <c r="AI48" i="28" s="1"/>
  <c r="AJ48" i="28" s="1"/>
  <c r="AK48" i="28" s="1"/>
  <c r="AL48" i="28" s="1"/>
  <c r="AM48" i="28" s="1"/>
  <c r="AN48" i="28" s="1"/>
  <c r="AO48" i="28" s="1"/>
  <c r="AP48" i="28" s="1"/>
  <c r="AQ48" i="28" s="1"/>
  <c r="AR48" i="28" s="1"/>
  <c r="AS48" i="28" s="1"/>
  <c r="AT48" i="28" s="1"/>
  <c r="AU48" i="28" s="1"/>
  <c r="AV48" i="28" s="1"/>
  <c r="AW48" i="28" s="1"/>
  <c r="AX48" i="28" s="1"/>
  <c r="AY48" i="28" s="1"/>
  <c r="AZ48" i="28" s="1"/>
  <c r="BA48" i="28" s="1"/>
  <c r="BB48" i="28" s="1"/>
  <c r="BC48" i="28" s="1"/>
  <c r="BD48" i="28" s="1"/>
  <c r="BE48" i="28" s="1"/>
  <c r="BF48" i="28" s="1"/>
  <c r="BG48" i="28" s="1"/>
  <c r="BH48" i="28" s="1"/>
  <c r="BI48" i="28" s="1"/>
  <c r="BJ48" i="28" s="1"/>
  <c r="BK48" i="28" s="1"/>
  <c r="C50" i="28"/>
  <c r="C3" i="24" s="1"/>
  <c r="C51" i="28"/>
  <c r="C4" i="24" s="1"/>
  <c r="C50" i="26"/>
  <c r="D3" i="24" s="1"/>
  <c r="C51" i="26"/>
  <c r="D4" i="24" s="1"/>
  <c r="O48" i="26"/>
  <c r="P48" i="26" s="1"/>
  <c r="Q48" i="26" s="1"/>
  <c r="R48" i="26" s="1"/>
  <c r="S48" i="26" s="1"/>
  <c r="T48" i="26" s="1"/>
  <c r="U48" i="26" s="1"/>
  <c r="V48" i="26" s="1"/>
  <c r="W48" i="26" s="1"/>
  <c r="X48" i="26" s="1"/>
  <c r="Y48" i="26" s="1"/>
  <c r="Z48" i="26" s="1"/>
  <c r="AA48" i="26" s="1"/>
  <c r="AB48" i="26" s="1"/>
  <c r="AC48" i="26" s="1"/>
  <c r="AD48" i="26" s="1"/>
  <c r="AE48" i="26" s="1"/>
  <c r="AF48" i="26" s="1"/>
  <c r="AG48" i="26" s="1"/>
  <c r="AH48" i="26" s="1"/>
  <c r="AI48" i="26" s="1"/>
  <c r="AJ48" i="26" s="1"/>
  <c r="AK48" i="26" s="1"/>
  <c r="AL48" i="26" s="1"/>
  <c r="AM48" i="26" s="1"/>
  <c r="AN48" i="26" s="1"/>
  <c r="AO48" i="26" s="1"/>
  <c r="AP48" i="26" s="1"/>
  <c r="AQ48" i="26" s="1"/>
  <c r="AR48" i="26" s="1"/>
  <c r="AS48" i="26" s="1"/>
  <c r="AT48" i="26" s="1"/>
  <c r="AU48" i="26" s="1"/>
  <c r="AV48" i="26" s="1"/>
  <c r="AW48" i="26" s="1"/>
  <c r="AX48" i="26" s="1"/>
  <c r="AY48" i="26" s="1"/>
  <c r="AZ48" i="26" s="1"/>
  <c r="BA48" i="26" s="1"/>
  <c r="BB48" i="26" s="1"/>
  <c r="BC48" i="26" s="1"/>
  <c r="BD48" i="26" s="1"/>
  <c r="BE48" i="26" s="1"/>
  <c r="BF48" i="26" s="1"/>
  <c r="BG48" i="26" s="1"/>
  <c r="BH48" i="26" s="1"/>
  <c r="BI48" i="26" s="1"/>
  <c r="BJ48" i="26" s="1"/>
  <c r="BK48" i="26" s="1"/>
</calcChain>
</file>

<file path=xl/comments1.xml><?xml version="1.0" encoding="utf-8"?>
<comments xmlns="http://schemas.openxmlformats.org/spreadsheetml/2006/main">
  <authors>
    <author>Ronald Romero Morán</author>
  </authors>
  <commentList>
    <comment ref="G11" authorId="0" shapeId="0">
      <text>
        <r>
          <rPr>
            <b/>
            <sz val="9"/>
            <color indexed="81"/>
            <rFont val="Tahoma"/>
            <charset val="1"/>
          </rPr>
          <t>Ronald Romero Morán:</t>
        </r>
        <r>
          <rPr>
            <sz val="9"/>
            <color indexed="81"/>
            <rFont val="Tahoma"/>
            <charset val="1"/>
          </rPr>
          <t xml:space="preserve">
Valor que se cobra al final del primer año para ampliar la capacidad de envíos</t>
        </r>
      </text>
    </comment>
  </commentList>
</comments>
</file>

<file path=xl/comments2.xml><?xml version="1.0" encoding="utf-8"?>
<comments xmlns="http://schemas.openxmlformats.org/spreadsheetml/2006/main">
  <authors>
    <author>Kiara Yaguana Valarezo</author>
  </authors>
  <commentList>
    <comment ref="K12" authorId="0" shapeId="0">
      <text>
        <r>
          <rPr>
            <b/>
            <sz val="9"/>
            <color indexed="81"/>
            <rFont val="Tahoma"/>
            <family val="2"/>
          </rPr>
          <t>Desde el mes de junio/2017 
Por regulacion de la super de companias se debe notificar a los clientes
las transacciones que se hayan realizado por los diferentes canales.
por esa razon se ve el impacto en los avisos de celular.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Desde el mes de junio/2017 
Por regulacion de la super de companias se debe notificar a los clientes
las transacciones que se hayan realizado por los diferentes canales.
por esa razon se ve el impacto en los avisos de celular.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En el mes de Febrero hubo un problema con la ejecución del batch y no se ejecuto, se realizo el cobro el 14 de marzo/2018, x tal motivo para el mes de marzo va a ver un valor muy elevado debido a que tendra los valores de febrero y marzo</t>
        </r>
      </text>
    </comment>
  </commentList>
</comments>
</file>

<file path=xl/comments3.xml><?xml version="1.0" encoding="utf-8"?>
<comments xmlns="http://schemas.openxmlformats.org/spreadsheetml/2006/main">
  <authors>
    <author>Ronald Romero M.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Ronald Romero M.:</t>
        </r>
        <r>
          <rPr>
            <sz val="9"/>
            <color indexed="81"/>
            <rFont val="Tahoma"/>
            <family val="2"/>
          </rPr>
          <t xml:space="preserve">
% de Clientes que activan ST en base a los transactors totales.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Ronald Romero M.:</t>
        </r>
        <r>
          <rPr>
            <sz val="9"/>
            <color indexed="81"/>
            <rFont val="Tahoma"/>
            <family val="2"/>
          </rPr>
          <t xml:space="preserve">
% de migración de los transactors actuales para ST. </t>
        </r>
      </text>
    </comment>
  </commentList>
</comments>
</file>

<file path=xl/comments4.xml><?xml version="1.0" encoding="utf-8"?>
<comments xmlns="http://schemas.openxmlformats.org/spreadsheetml/2006/main">
  <authors>
    <author>Ronald Romero M.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Ronald Romero M.:</t>
        </r>
        <r>
          <rPr>
            <sz val="9"/>
            <color indexed="81"/>
            <rFont val="Tahoma"/>
            <family val="2"/>
          </rPr>
          <t xml:space="preserve">
% de Clientes que activan ST en base a los transactors totales.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Ronald Romero M.:</t>
        </r>
        <r>
          <rPr>
            <sz val="9"/>
            <color indexed="81"/>
            <rFont val="Tahoma"/>
            <family val="2"/>
          </rPr>
          <t xml:space="preserve">
% de migración de los transactors actuales para ST. </t>
        </r>
      </text>
    </comment>
  </commentList>
</comments>
</file>

<file path=xl/sharedStrings.xml><?xml version="1.0" encoding="utf-8"?>
<sst xmlns="http://schemas.openxmlformats.org/spreadsheetml/2006/main" count="1037" uniqueCount="408">
  <si>
    <t xml:space="preserve">Activación </t>
  </si>
  <si>
    <t>Tarifa Max.</t>
  </si>
  <si>
    <t>Mantenimiento Anual</t>
  </si>
  <si>
    <t>Transactors Actuales</t>
  </si>
  <si>
    <t>Transactors Nuevos</t>
  </si>
  <si>
    <t>Cant. TRX Actuales</t>
  </si>
  <si>
    <t>Cant. TRX Nuevas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</si>
  <si>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</si>
  <si>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</si>
  <si>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</si>
  <si>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</si>
  <si>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</si>
  <si>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</si>
  <si>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</si>
  <si>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</si>
  <si>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</si>
  <si>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</si>
  <si>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</si>
  <si>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</si>
  <si>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</si>
  <si>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</si>
  <si>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</si>
  <si>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</si>
  <si>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</si>
  <si>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</si>
  <si>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</si>
  <si>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</si>
  <si>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</si>
  <si>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</si>
  <si>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</si>
  <si>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</si>
  <si>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</si>
  <si>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</si>
  <si>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</si>
  <si>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</si>
  <si>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</si>
  <si>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</si>
  <si>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</si>
  <si>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</si>
  <si>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</si>
  <si>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</si>
  <si>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</si>
  <si>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</si>
  <si>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 xml:space="preserve">Delta </t>
  </si>
  <si>
    <t>Trx Totales</t>
  </si>
  <si>
    <t>Ingresos</t>
  </si>
  <si>
    <t>Tarifa x TRX</t>
  </si>
  <si>
    <t>Activación ST</t>
  </si>
  <si>
    <t>Migración</t>
  </si>
  <si>
    <t>Usuarios Totales ST</t>
  </si>
  <si>
    <t>Total INGRESOS</t>
  </si>
  <si>
    <t>Transac. Nuevos Acum.</t>
  </si>
  <si>
    <t>Egresos</t>
  </si>
  <si>
    <t>Portal SS</t>
  </si>
  <si>
    <t>Total</t>
  </si>
  <si>
    <t>Licencia Cliente Nuevo ST</t>
  </si>
  <si>
    <t>Licencia Migración ST</t>
  </si>
  <si>
    <t>Flujo</t>
  </si>
  <si>
    <t>Tarifa con IVA</t>
  </si>
  <si>
    <t>Tarifa Final</t>
  </si>
  <si>
    <t>Mantenimiento</t>
  </si>
  <si>
    <t>Tasa Descuento</t>
  </si>
  <si>
    <t>VAN</t>
  </si>
  <si>
    <t>TIR</t>
  </si>
  <si>
    <t>Incluir en el caso de negocio publicidad</t>
  </si>
  <si>
    <t>Opcion 1 - Opción 2</t>
  </si>
  <si>
    <t>Campaña de PUBLICIDAD</t>
  </si>
  <si>
    <t>Licencias</t>
  </si>
  <si>
    <t>Año 1</t>
  </si>
  <si>
    <t>Año 2</t>
  </si>
  <si>
    <t>Año 3</t>
  </si>
  <si>
    <t>Inversión</t>
  </si>
  <si>
    <t>Migración Acum.</t>
  </si>
  <si>
    <t>Total Ingresos</t>
  </si>
  <si>
    <t>Migración de c24 a ST</t>
  </si>
  <si>
    <t>Mantemiento (tarifa aprob.)</t>
  </si>
  <si>
    <t>Publicidad</t>
  </si>
  <si>
    <t>Transactors Actuales (recurr.)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</si>
  <si>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</si>
  <si>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</si>
  <si>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</si>
  <si>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</si>
  <si>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</si>
  <si>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</si>
  <si>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</si>
  <si>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</si>
  <si>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</si>
  <si>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</si>
  <si>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</si>
  <si>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</si>
  <si>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</si>
  <si>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</si>
  <si>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</si>
  <si>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</si>
  <si>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</si>
  <si>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</si>
  <si>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</si>
  <si>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</si>
  <si>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</si>
  <si>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</si>
  <si>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</si>
  <si>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</si>
  <si>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de Retorno</t>
  </si>
  <si>
    <t>Base</t>
  </si>
  <si>
    <t>300 p</t>
  </si>
  <si>
    <t>5 l</t>
  </si>
  <si>
    <t>10 r</t>
  </si>
  <si>
    <t>Inversion / Kony</t>
  </si>
  <si>
    <t>Recursos Externos</t>
  </si>
  <si>
    <t>Recurso</t>
  </si>
  <si>
    <t>Infraestructura + Conexión</t>
  </si>
  <si>
    <t>Envío SMSs</t>
  </si>
  <si>
    <t>Costo de Suscripcion</t>
  </si>
  <si>
    <t>Cant. Suscritos</t>
  </si>
  <si>
    <t>Evolución Mensajería SMS</t>
  </si>
  <si>
    <t>Evolución de Mensajes Mensajería SMS</t>
  </si>
  <si>
    <t>Fecha: 2018/09/30</t>
  </si>
  <si>
    <t>Avisos Veinti4</t>
  </si>
  <si>
    <t>Veinti4 Móvil</t>
  </si>
  <si>
    <t>Otros</t>
  </si>
  <si>
    <t>Mes</t>
  </si>
  <si>
    <t>Var.</t>
  </si>
  <si>
    <t>01. ENERO</t>
  </si>
  <si>
    <t>02. FEBRERO</t>
  </si>
  <si>
    <t>03. MARZO</t>
  </si>
  <si>
    <t>04. ABRIL</t>
  </si>
  <si>
    <t>05. MAYO</t>
  </si>
  <si>
    <t>06. JUNIO</t>
  </si>
  <si>
    <t>07. JULIO</t>
  </si>
  <si>
    <t>08. AGOSTO</t>
  </si>
  <si>
    <t>09. SEPTIEMBRE</t>
  </si>
  <si>
    <t>10. OCTUBRE</t>
  </si>
  <si>
    <t>11. NOVIEMBRE</t>
  </si>
  <si>
    <t>12. DICIEMBRE</t>
  </si>
  <si>
    <t>Total Año en Curso</t>
  </si>
  <si>
    <t>Costos por Mensajes Mensajería SMS</t>
  </si>
  <si>
    <t>Ingresos Totales Mensajería SMS</t>
  </si>
  <si>
    <t>Utilidad Neta Mensajería SMS</t>
  </si>
  <si>
    <t>Total Utilidad Neta</t>
  </si>
  <si>
    <t>Utilidad por mensaje</t>
  </si>
  <si>
    <t>Fecha: 2018/03/31</t>
  </si>
  <si>
    <t>Suscripciones Activas Mensajería SMS</t>
  </si>
  <si>
    <t>Suscritos A24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</si>
  <si>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</si>
  <si>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</si>
  <si>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</si>
  <si>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</si>
  <si>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</si>
  <si>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</si>
  <si>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</si>
  <si>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</si>
  <si>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</si>
  <si>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SMSs A24</t>
  </si>
  <si>
    <t>Mens. Prm</t>
  </si>
  <si>
    <t>SMS Regul.</t>
  </si>
  <si>
    <t>Ingresos REAL</t>
  </si>
  <si>
    <t>Ingreso Teorico</t>
  </si>
  <si>
    <t xml:space="preserve">% efect. </t>
  </si>
  <si>
    <t>Efec. Cobro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</si>
  <si>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</si>
  <si>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</si>
  <si>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</si>
  <si>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</si>
  <si>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</si>
  <si>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</si>
  <si>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</si>
  <si>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</si>
  <si>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</si>
  <si>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</si>
  <si>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</si>
  <si>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</si>
  <si>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</si>
  <si>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</si>
  <si>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</si>
  <si>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</si>
  <si>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</si>
  <si>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</si>
  <si>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</si>
  <si>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</si>
  <si>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</si>
  <si>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</si>
  <si>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</si>
  <si>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</si>
  <si>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</si>
  <si>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</si>
  <si>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</si>
  <si>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</si>
  <si>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</si>
  <si>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</si>
  <si>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</si>
  <si>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</si>
  <si>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</si>
  <si>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</si>
  <si>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</si>
  <si>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</si>
  <si>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</si>
  <si>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</si>
  <si>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</si>
  <si>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</si>
  <si>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</si>
  <si>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</si>
  <si>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</si>
  <si>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</si>
  <si>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</si>
  <si>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</si>
  <si>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</si>
  <si>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</si>
  <si>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</si>
  <si>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</si>
  <si>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</si>
  <si>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</si>
  <si>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</si>
  <si>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</si>
  <si>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</si>
  <si>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</si>
  <si>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</si>
  <si>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</si>
  <si>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</si>
  <si>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</si>
  <si>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</si>
  <si>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% regul.</t>
  </si>
  <si>
    <t>SMSs. Prom. X Suscrip.</t>
  </si>
  <si>
    <t>Delta Nuevos Suscritos</t>
  </si>
  <si>
    <t>Nuevos Suscritos (vegetativo)</t>
  </si>
  <si>
    <t>Nuevos Suscritos (marginal)</t>
  </si>
  <si>
    <t>Sms suscritos</t>
  </si>
  <si>
    <t>Sms regulatorios</t>
  </si>
  <si>
    <t>% de sms regulat.</t>
  </si>
  <si>
    <t>Total SMS</t>
  </si>
  <si>
    <t>SMS enviados</t>
  </si>
  <si>
    <t>Costo de SMS</t>
  </si>
  <si>
    <t>Gastos</t>
  </si>
  <si>
    <t>SMS - sin PUSH</t>
  </si>
  <si>
    <t>Push - a24</t>
  </si>
  <si>
    <t>Push - regulatorios</t>
  </si>
  <si>
    <t>Regult. 1año</t>
  </si>
  <si>
    <t>Push +. 1 año</t>
  </si>
  <si>
    <t>Total PUSH</t>
  </si>
  <si>
    <t>SMS - con PUSH</t>
  </si>
  <si>
    <t>Ahorro</t>
  </si>
  <si>
    <t>Ahorro ACUM.</t>
  </si>
  <si>
    <t>MAILS enviados</t>
  </si>
  <si>
    <t>Total de coumincaciones salientes</t>
  </si>
  <si>
    <t>Costo Unit.</t>
  </si>
  <si>
    <t>Cant. Meses</t>
  </si>
  <si>
    <t>Ing. De Pruebas</t>
  </si>
  <si>
    <t>GRYP</t>
  </si>
  <si>
    <t>Scrum Master</t>
  </si>
  <si>
    <t>Ambiente</t>
  </si>
  <si>
    <t>Nombre</t>
  </si>
  <si>
    <t>Descripción</t>
  </si>
  <si>
    <t>Fisico / Virtual</t>
  </si>
  <si>
    <t>CPUs</t>
  </si>
  <si>
    <t>COREs</t>
  </si>
  <si>
    <t>Memory GB</t>
  </si>
  <si>
    <t>Disco GB</t>
  </si>
  <si>
    <t>SO_Versión/ Aplicaciones</t>
  </si>
  <si>
    <t>Costo Memoria</t>
  </si>
  <si>
    <t>Costo Disco</t>
  </si>
  <si>
    <t>Costo Hardware</t>
  </si>
  <si>
    <t>Monitoreo/ Antivirus/ Imagen</t>
  </si>
  <si>
    <t>IBM WebSphere</t>
  </si>
  <si>
    <t>IBM MQ</t>
  </si>
  <si>
    <t>Oracle Standard 12c</t>
  </si>
  <si>
    <t>Suscripción Linux</t>
  </si>
  <si>
    <t>Total Server</t>
  </si>
  <si>
    <t>PRODUCCIÓN</t>
  </si>
  <si>
    <t>Servidor Aplicación</t>
  </si>
  <si>
    <t>Servidor de Aplicación Alert Engine</t>
  </si>
  <si>
    <t>Virtual</t>
  </si>
  <si>
    <t>RedHat Enterprise Linux 7</t>
  </si>
  <si>
    <t>Servidor Aplicación HD</t>
  </si>
  <si>
    <t>Servidor Mensajeria</t>
  </si>
  <si>
    <t>Servidor  MQ IBM</t>
  </si>
  <si>
    <t>Servidor de Aplicación SDP + COLAS</t>
  </si>
  <si>
    <t>Servidor BD</t>
  </si>
  <si>
    <t>Servidor de Base de datos</t>
  </si>
  <si>
    <t>Servidor BD HD</t>
  </si>
  <si>
    <t>Servidor de Base de datos HD</t>
  </si>
  <si>
    <t>DRP</t>
  </si>
  <si>
    <t>DESARROLLO</t>
  </si>
  <si>
    <t>Servidor de Aplicación AE + SDP + COLAS</t>
  </si>
  <si>
    <t>Licencia</t>
  </si>
  <si>
    <t>Costo</t>
  </si>
  <si>
    <t>IBM WebSphere por PVU + SW Suscription &amp; Support 12 Months</t>
  </si>
  <si>
    <t>SQL Server 2014 Estandar + IVA</t>
  </si>
  <si>
    <t>Oracle Standard Edition 12 c por Procesador</t>
  </si>
  <si>
    <t xml:space="preserve"> </t>
  </si>
  <si>
    <t>Software Update License &amp; Support Oracle</t>
  </si>
  <si>
    <t>Costo de MQ por PVU + SW Suscription &amp; Support 12 Months</t>
  </si>
  <si>
    <t>COSTOS DE IMPLEMENTACIÓN LATINIA</t>
  </si>
  <si>
    <t>CONCEPTO</t>
  </si>
  <si>
    <t>AÑO 0</t>
  </si>
  <si>
    <t>AÑO 1</t>
  </si>
  <si>
    <t>TOTAL</t>
  </si>
  <si>
    <t>AÑO 2</t>
  </si>
  <si>
    <t>AÑO 3</t>
  </si>
  <si>
    <t>AÑO 4</t>
  </si>
  <si>
    <t>Infraestructura</t>
  </si>
  <si>
    <t>LIMSP AE Enterprise 50</t>
  </si>
  <si>
    <t>LIMSP SDP360 Enterprise 10</t>
  </si>
  <si>
    <t xml:space="preserve">Servicios Prof. </t>
  </si>
  <si>
    <t>Capacitación</t>
  </si>
  <si>
    <t>Cursos</t>
  </si>
  <si>
    <t>AE</t>
  </si>
  <si>
    <t>SDP360</t>
  </si>
  <si>
    <t>Depreciación</t>
  </si>
  <si>
    <t>Gestion de Servicios</t>
  </si>
  <si>
    <t>Total Gastos</t>
  </si>
  <si>
    <t>Latinia</t>
  </si>
  <si>
    <t>Utilidad Neta</t>
  </si>
  <si>
    <t xml:space="preserve">Acum. </t>
  </si>
  <si>
    <t>VNA</t>
  </si>
  <si>
    <t>Tasa</t>
  </si>
  <si>
    <t>Ahorro SMSs</t>
  </si>
  <si>
    <t>Suscripciones</t>
  </si>
  <si>
    <t>Escenario 1</t>
  </si>
  <si>
    <t>Excedente</t>
  </si>
  <si>
    <t>Año 4</t>
  </si>
  <si>
    <t>Año 5</t>
  </si>
  <si>
    <t>Costo Anual</t>
  </si>
  <si>
    <t>Costo Mensual</t>
  </si>
  <si>
    <t>Escenario 2</t>
  </si>
  <si>
    <t>Ilimitado</t>
  </si>
  <si>
    <t>Escenario 3</t>
  </si>
  <si>
    <t>Dana</t>
  </si>
  <si>
    <t>ISD (5%)</t>
  </si>
  <si>
    <t>Compra de Hardware y Mantenimiento</t>
  </si>
  <si>
    <t>Compra de Software y soporte/suscripciones a licencias</t>
  </si>
  <si>
    <t>Compra de VMWare y suscripción.</t>
  </si>
  <si>
    <t>Servicios Profesionales Integración Canales Electrónicos</t>
  </si>
  <si>
    <t>COSTOS DE IMPLEMENTACIÓN SYBVEN</t>
  </si>
  <si>
    <t>Compra de Certificado</t>
  </si>
  <si>
    <t>Desarrollo</t>
  </si>
  <si>
    <t>Upgrade a E 20</t>
  </si>
  <si>
    <t>IVA</t>
  </si>
  <si>
    <t>Formalización</t>
  </si>
  <si>
    <t>Instalación e Integración</t>
  </si>
  <si>
    <t>Configuración</t>
  </si>
  <si>
    <t>Mantenimiento Plataf.</t>
  </si>
  <si>
    <t>Mantenimiento Inf.</t>
  </si>
  <si>
    <t>Rubro</t>
  </si>
  <si>
    <t>Detalle</t>
  </si>
  <si>
    <t>Impuestos</t>
  </si>
  <si>
    <t>Ser. Prof.</t>
  </si>
  <si>
    <t>Instalacion</t>
  </si>
  <si>
    <t>Formación</t>
  </si>
  <si>
    <t>Servicios</t>
  </si>
  <si>
    <t>FASE 1</t>
  </si>
  <si>
    <t>SAAS</t>
  </si>
  <si>
    <t xml:space="preserve">Mantenimiento Plat. </t>
  </si>
  <si>
    <t xml:space="preserve">Mantenimiento Inf. </t>
  </si>
  <si>
    <t xml:space="preserve">Recursos Externos </t>
  </si>
  <si>
    <t>COSTOS PostgresSQL - CLOUD PARA LATINIA</t>
  </si>
  <si>
    <t>Cloud (HW y SW)</t>
  </si>
  <si>
    <t>SW IBM en AWS</t>
  </si>
  <si>
    <t>Latinia (NUBE)</t>
  </si>
  <si>
    <t>Latinia (Cloud)</t>
  </si>
  <si>
    <t>01. DE 00:00 A 00:59</t>
  </si>
  <si>
    <t>02. DE 01:00 A 01:59</t>
  </si>
  <si>
    <t>03. DE 02:00 A 02:59</t>
  </si>
  <si>
    <t>04. DE 03:00 A 03:59</t>
  </si>
  <si>
    <t>05. DE 04:00 A 04:59</t>
  </si>
  <si>
    <t>06. DE 05:00 A 05:59</t>
  </si>
  <si>
    <t>07. DE 06:00 A 06:59</t>
  </si>
  <si>
    <t>08. DE 07:00 A 07:59</t>
  </si>
  <si>
    <t>09. DE 08:00 A 08:59</t>
  </si>
  <si>
    <t>10. DE 09:00 A 09:59</t>
  </si>
  <si>
    <t>11. DE 10:00 A 10:59</t>
  </si>
  <si>
    <t>12. DE 11:00 A 11:59</t>
  </si>
  <si>
    <t>13. DE 12:00 A 12:59</t>
  </si>
  <si>
    <t>14. DE 13:00 A 13:59</t>
  </si>
  <si>
    <t>15. DE 14:00 A 14:59</t>
  </si>
  <si>
    <t>16. DE 15:00 A 15:59</t>
  </si>
  <si>
    <t>17. DE 16:00 A 16:59</t>
  </si>
  <si>
    <t>18. DE 17:00 A 17:59</t>
  </si>
  <si>
    <t>19. DE 18:00 A 18:59</t>
  </si>
  <si>
    <t>20. DE 19:00 A 19:59</t>
  </si>
  <si>
    <t>21. DE 20:00 A 20:59</t>
  </si>
  <si>
    <t>22. DE 21:00 A 21:59</t>
  </si>
  <si>
    <t>23. DE 22:00 A 22:59</t>
  </si>
  <si>
    <t>24. DE 23:00 A 23:59</t>
  </si>
  <si>
    <t>Transacciones de Canales por Horas</t>
  </si>
  <si>
    <t>Cantidad de Transacciones</t>
  </si>
  <si>
    <t>EMPRESA DEL CANAL</t>
  </si>
  <si>
    <t>CANAL</t>
  </si>
  <si>
    <t>BANCO BOLIVARIANO</t>
  </si>
  <si>
    <t>Total BANCO BOLIVARIANO</t>
  </si>
  <si>
    <t>Total general</t>
  </si>
  <si>
    <t>RANGO HORA MVTO</t>
  </si>
  <si>
    <t>VEINTI4MOVIL</t>
  </si>
  <si>
    <t>VEINTI4EFECTIVO</t>
  </si>
  <si>
    <t>VEINTI4FONO</t>
  </si>
  <si>
    <t>VEINTI4ONLINE</t>
  </si>
  <si>
    <t>Mensual</t>
  </si>
  <si>
    <t>LIMSP SDP 360 Enterprise 20</t>
  </si>
  <si>
    <t>Soporte</t>
  </si>
  <si>
    <t>SDP360 E</t>
  </si>
  <si>
    <t>Upgrades</t>
  </si>
  <si>
    <t>Hito 1</t>
  </si>
  <si>
    <t>Hito 2</t>
  </si>
  <si>
    <t>HW &amp; SW</t>
  </si>
  <si>
    <t>Kony</t>
  </si>
  <si>
    <t>Desarrollo Int.</t>
  </si>
  <si>
    <t>Desarrollo Interno</t>
  </si>
  <si>
    <t>NBA</t>
  </si>
  <si>
    <t>Implementacion</t>
  </si>
  <si>
    <t>Desarrollos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</si>
</sst>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&quot;$&quot;#,##0;[Red]\-&quot;$&quot;#,##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  <numFmt numFmtId="168" formatCode="_-&quot;$&quot;* #,##0_-;\-&quot;$&quot;* #,##0_-;_-&quot;$&quot;* &quot;-&quot;??_-;_-@_-"/>
    <numFmt numFmtId="169" formatCode="0.0%"/>
    <numFmt numFmtId="170" formatCode="_(* #,##0.00_);_(* \(#,##0.00\);_(* &quot;-&quot;??_);_(@_)"/>
    <numFmt numFmtId="171" formatCode="_(&quot;$&quot;\ * #,##0.00_);_(&quot;$&quot;\ * \(#,##0.00\);_(&quot;$&quot;\ * &quot;-&quot;??_);_(@_)"/>
    <numFmt numFmtId="172" formatCode="#,##0;[Red]#,##0"/>
    <numFmt numFmtId="173" formatCode="#,##0.00;[Red]#,##0.00"/>
    <numFmt numFmtId="174" formatCode="_ * #,##0_ ;_ * \-#,##0_ ;_ * &quot;-&quot;??_ ;_ @_ "/>
    <numFmt numFmtId="175" formatCode="_ &quot;$&quot;* #,##0_ ;_ &quot;$&quot;* \-#,##0_ ;_ &quot;$&quot;* &quot;-&quot;??_ ;_ @_ "/>
    <numFmt numFmtId="176" formatCode="_-* #,##0.00\ _$_-;\-* #,##0.00\ _$_-;_-* &quot;-&quot;??\ _$_-;_-@_-"/>
    <numFmt numFmtId="177" formatCode="&quot;$&quot;\ #,##0.00"/>
    <numFmt numFmtId="178" formatCode="#,###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FFFFCC"/>
      <name val="Tahoma"/>
      <family val="2"/>
    </font>
    <font>
      <sz val="10"/>
      <name val="Tahoma"/>
      <family val="2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color theme="1"/>
      <name val="Tahoma"/>
    </font>
    <font>
      <b/>
      <sz val="8"/>
      <color theme="1"/>
      <name val="Tahoma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E9A"/>
        <bgColor indexed="64"/>
      </patternFill>
    </fill>
    <fill>
      <patternFill patternType="solid">
        <fgColor rgb="FF77CCAC"/>
        <bgColor indexed="64"/>
      </patternFill>
    </fill>
    <fill>
      <patternFill patternType="solid">
        <fgColor rgb="FFFCFAE0"/>
        <bgColor indexed="64"/>
      </patternFill>
    </fill>
    <fill>
      <patternFill patternType="solid">
        <fgColor rgb="FFFAF6C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</fills>
  <borders count="3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61">
    <xf numFmtId="0" fontId="0" fillId="0" borderId="0" xfId="0"/>
    <xf numFmtId="9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5" fontId="0" fillId="0" borderId="0" xfId="2" applyFont="1"/>
    <xf numFmtId="168" fontId="0" fillId="0" borderId="0" xfId="2" applyNumberFormat="1" applyFont="1"/>
    <xf numFmtId="168" fontId="0" fillId="0" borderId="0" xfId="0" applyNumberFormat="1"/>
    <xf numFmtId="168" fontId="2" fillId="0" borderId="0" xfId="0" applyNumberFormat="1" applyFont="1"/>
    <xf numFmtId="169" fontId="0" fillId="0" borderId="0" xfId="0" applyNumberFormat="1"/>
    <xf numFmtId="10" fontId="0" fillId="0" borderId="0" xfId="0" applyNumberFormat="1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167" fontId="0" fillId="2" borderId="0" xfId="1" applyNumberFormat="1" applyFont="1" applyFill="1"/>
    <xf numFmtId="168" fontId="0" fillId="2" borderId="0" xfId="2" applyNumberFormat="1" applyFont="1" applyFill="1"/>
    <xf numFmtId="167" fontId="0" fillId="2" borderId="0" xfId="0" applyNumberFormat="1" applyFill="1"/>
    <xf numFmtId="168" fontId="2" fillId="2" borderId="0" xfId="0" applyNumberFormat="1" applyFont="1" applyFill="1"/>
    <xf numFmtId="168" fontId="0" fillId="2" borderId="0" xfId="0" applyNumberFormat="1" applyFill="1"/>
    <xf numFmtId="9" fontId="0" fillId="0" borderId="0" xfId="3" applyFont="1"/>
    <xf numFmtId="0" fontId="6" fillId="0" borderId="0" xfId="0" applyFont="1"/>
    <xf numFmtId="167" fontId="6" fillId="0" borderId="0" xfId="0" applyNumberFormat="1" applyFont="1"/>
    <xf numFmtId="167" fontId="6" fillId="2" borderId="0" xfId="0" applyNumberFormat="1" applyFont="1" applyFill="1"/>
    <xf numFmtId="168" fontId="7" fillId="0" borderId="0" xfId="0" applyNumberFormat="1" applyFont="1"/>
    <xf numFmtId="164" fontId="0" fillId="2" borderId="0" xfId="0" applyNumberFormat="1" applyFill="1"/>
    <xf numFmtId="172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3" fontId="11" fillId="5" borderId="3" xfId="3" applyNumberFormat="1" applyFont="1" applyFill="1" applyBorder="1" applyAlignment="1">
      <alignment horizontal="right" vertical="center"/>
    </xf>
    <xf numFmtId="3" fontId="11" fillId="5" borderId="4" xfId="3" applyNumberFormat="1" applyFont="1" applyFill="1" applyBorder="1" applyAlignment="1">
      <alignment horizontal="right" vertical="center"/>
    </xf>
    <xf numFmtId="3" fontId="11" fillId="5" borderId="5" xfId="3" applyNumberFormat="1" applyFont="1" applyFill="1" applyBorder="1" applyAlignment="1">
      <alignment horizontal="right" vertical="center"/>
    </xf>
    <xf numFmtId="3" fontId="11" fillId="5" borderId="0" xfId="3" applyNumberFormat="1" applyFont="1" applyFill="1" applyBorder="1" applyAlignment="1">
      <alignment horizontal="right" vertical="center"/>
    </xf>
    <xf numFmtId="0" fontId="11" fillId="5" borderId="6" xfId="0" applyFont="1" applyFill="1" applyBorder="1" applyAlignment="1">
      <alignment horizontal="left" vertical="center"/>
    </xf>
    <xf numFmtId="3" fontId="11" fillId="5" borderId="7" xfId="3" applyNumberFormat="1" applyFont="1" applyFill="1" applyBorder="1" applyAlignment="1">
      <alignment horizontal="right" vertical="center"/>
    </xf>
    <xf numFmtId="3" fontId="11" fillId="5" borderId="8" xfId="3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horizontal="left" vertical="center"/>
    </xf>
    <xf numFmtId="3" fontId="11" fillId="5" borderId="10" xfId="3" applyNumberFormat="1" applyFont="1" applyFill="1" applyBorder="1" applyAlignment="1">
      <alignment horizontal="right" vertical="center"/>
    </xf>
    <xf numFmtId="3" fontId="11" fillId="5" borderId="11" xfId="3" applyNumberFormat="1" applyFont="1" applyFill="1" applyBorder="1" applyAlignment="1">
      <alignment horizontal="right" vertical="center"/>
    </xf>
    <xf numFmtId="3" fontId="11" fillId="5" borderId="12" xfId="3" applyNumberFormat="1" applyFont="1" applyFill="1" applyBorder="1" applyAlignment="1">
      <alignment horizontal="right" vertical="center"/>
    </xf>
    <xf numFmtId="0" fontId="10" fillId="6" borderId="1" xfId="0" applyFont="1" applyFill="1" applyBorder="1" applyAlignment="1">
      <alignment horizontal="left" vertical="center" wrapText="1"/>
    </xf>
    <xf numFmtId="3" fontId="11" fillId="6" borderId="13" xfId="3" applyNumberFormat="1" applyFont="1" applyFill="1" applyBorder="1" applyAlignment="1">
      <alignment horizontal="right" vertical="center"/>
    </xf>
    <xf numFmtId="172" fontId="11" fillId="6" borderId="14" xfId="3" applyNumberFormat="1" applyFont="1" applyFill="1" applyBorder="1" applyAlignment="1">
      <alignment horizontal="right" vertical="center"/>
    </xf>
    <xf numFmtId="0" fontId="10" fillId="6" borderId="12" xfId="0" applyFont="1" applyFill="1" applyBorder="1" applyAlignment="1">
      <alignment horizontal="left" vertical="center" wrapText="1"/>
    </xf>
    <xf numFmtId="172" fontId="11" fillId="6" borderId="15" xfId="0" applyNumberFormat="1" applyFont="1" applyFill="1" applyBorder="1" applyAlignment="1">
      <alignment horizontal="right" vertical="center"/>
    </xf>
    <xf numFmtId="0" fontId="13" fillId="0" borderId="0" xfId="0" applyFont="1"/>
    <xf numFmtId="0" fontId="12" fillId="3" borderId="15" xfId="0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 wrapText="1"/>
    </xf>
    <xf numFmtId="3" fontId="12" fillId="4" borderId="2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0" fillId="6" borderId="15" xfId="0" applyFont="1" applyFill="1" applyBorder="1" applyAlignment="1">
      <alignment horizontal="left" vertical="center" wrapText="1"/>
    </xf>
    <xf numFmtId="3" fontId="10" fillId="0" borderId="0" xfId="0" quotePrefix="1" applyNumberFormat="1" applyFont="1" applyFill="1" applyBorder="1" applyAlignment="1">
      <alignment horizontal="left" vertical="center"/>
    </xf>
    <xf numFmtId="172" fontId="11" fillId="5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3" fontId="11" fillId="0" borderId="0" xfId="0" applyNumberFormat="1" applyFont="1" applyFill="1" applyBorder="1" applyAlignment="1">
      <alignment horizontal="left" vertical="center"/>
    </xf>
    <xf numFmtId="10" fontId="11" fillId="0" borderId="0" xfId="3" applyNumberFormat="1" applyFont="1" applyFill="1" applyBorder="1" applyAlignment="1">
      <alignment horizontal="left" vertical="center"/>
    </xf>
    <xf numFmtId="3" fontId="11" fillId="0" borderId="0" xfId="3" applyNumberFormat="1" applyFont="1" applyFill="1" applyBorder="1" applyAlignment="1">
      <alignment horizontal="left" vertical="center"/>
    </xf>
    <xf numFmtId="4" fontId="15" fillId="0" borderId="0" xfId="0" applyNumberFormat="1" applyFont="1"/>
    <xf numFmtId="172" fontId="15" fillId="0" borderId="0" xfId="0" applyNumberFormat="1" applyFont="1"/>
    <xf numFmtId="0" fontId="15" fillId="0" borderId="0" xfId="0" applyFont="1"/>
    <xf numFmtId="2" fontId="9" fillId="0" borderId="0" xfId="0" applyNumberFormat="1" applyFont="1" applyFill="1" applyAlignment="1">
      <alignment horizontal="left" vertical="center"/>
    </xf>
    <xf numFmtId="2" fontId="10" fillId="0" borderId="0" xfId="0" quotePrefix="1" applyNumberFormat="1" applyFont="1" applyFill="1" applyBorder="1" applyAlignment="1">
      <alignment horizontal="left" vertical="center"/>
    </xf>
    <xf numFmtId="173" fontId="11" fillId="5" borderId="0" xfId="0" applyNumberFormat="1" applyFont="1" applyFill="1" applyBorder="1" applyAlignment="1">
      <alignment horizontal="right" vertical="center"/>
    </xf>
    <xf numFmtId="170" fontId="11" fillId="5" borderId="0" xfId="4" applyNumberFormat="1" applyFont="1" applyFill="1" applyBorder="1" applyAlignment="1">
      <alignment horizontal="right" vertical="center"/>
    </xf>
    <xf numFmtId="172" fontId="10" fillId="0" borderId="0" xfId="0" quotePrefix="1" applyNumberFormat="1" applyFont="1" applyFill="1" applyBorder="1" applyAlignment="1">
      <alignment horizontal="left" vertical="center"/>
    </xf>
    <xf numFmtId="172" fontId="9" fillId="0" borderId="0" xfId="0" applyNumberFormat="1" applyFont="1" applyFill="1" applyBorder="1" applyAlignment="1">
      <alignment horizontal="left" vertical="center"/>
    </xf>
    <xf numFmtId="1" fontId="12" fillId="4" borderId="7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0" fontId="0" fillId="0" borderId="0" xfId="3" applyNumberFormat="1" applyFont="1"/>
    <xf numFmtId="174" fontId="0" fillId="0" borderId="0" xfId="0" applyNumberFormat="1"/>
    <xf numFmtId="175" fontId="0" fillId="0" borderId="0" xfId="0" applyNumberFormat="1"/>
    <xf numFmtId="0" fontId="2" fillId="0" borderId="16" xfId="0" applyFont="1" applyBorder="1"/>
    <xf numFmtId="0" fontId="17" fillId="7" borderId="17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 wrapText="1"/>
    </xf>
    <xf numFmtId="1" fontId="17" fillId="7" borderId="17" xfId="0" applyNumberFormat="1" applyFont="1" applyFill="1" applyBorder="1" applyAlignment="1">
      <alignment horizontal="center" vertical="center" wrapText="1"/>
    </xf>
    <xf numFmtId="2" fontId="17" fillId="7" borderId="17" xfId="0" applyNumberFormat="1" applyFont="1" applyFill="1" applyBorder="1" applyAlignment="1">
      <alignment horizontal="center" vertical="center" wrapText="1"/>
    </xf>
    <xf numFmtId="2" fontId="18" fillId="8" borderId="17" xfId="0" applyNumberFormat="1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left" vertical="center" wrapText="1"/>
    </xf>
    <xf numFmtId="0" fontId="21" fillId="9" borderId="17" xfId="0" applyFont="1" applyFill="1" applyBorder="1" applyAlignment="1">
      <alignment horizontal="center" vertical="center" wrapText="1"/>
    </xf>
    <xf numFmtId="1" fontId="20" fillId="9" borderId="17" xfId="0" applyNumberFormat="1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 wrapText="1"/>
    </xf>
    <xf numFmtId="176" fontId="20" fillId="9" borderId="17" xfId="6" applyFont="1" applyFill="1" applyBorder="1" applyAlignment="1">
      <alignment horizontal="center" vertical="center" wrapText="1"/>
    </xf>
    <xf numFmtId="171" fontId="20" fillId="9" borderId="17" xfId="5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1" fontId="20" fillId="2" borderId="17" xfId="0" applyNumberFormat="1" applyFont="1" applyFill="1" applyBorder="1" applyAlignment="1">
      <alignment horizontal="center" vertical="center"/>
    </xf>
    <xf numFmtId="176" fontId="20" fillId="9" borderId="17" xfId="6" applyFont="1" applyFill="1" applyBorder="1" applyAlignment="1">
      <alignment horizontal="center" wrapText="1"/>
    </xf>
    <xf numFmtId="1" fontId="0" fillId="0" borderId="0" xfId="0" applyNumberFormat="1"/>
    <xf numFmtId="2" fontId="0" fillId="0" borderId="0" xfId="0" applyNumberFormat="1"/>
    <xf numFmtId="171" fontId="2" fillId="9" borderId="21" xfId="5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left" vertical="center" wrapText="1"/>
    </xf>
    <xf numFmtId="0" fontId="18" fillId="7" borderId="22" xfId="0" applyFont="1" applyFill="1" applyBorder="1" applyAlignment="1">
      <alignment horizontal="center" vertical="center" wrapText="1"/>
    </xf>
    <xf numFmtId="0" fontId="20" fillId="0" borderId="22" xfId="0" applyFont="1" applyBorder="1"/>
    <xf numFmtId="176" fontId="20" fillId="10" borderId="22" xfId="6" applyFont="1" applyFill="1" applyBorder="1"/>
    <xf numFmtId="176" fontId="0" fillId="0" borderId="0" xfId="6" applyFont="1"/>
    <xf numFmtId="0" fontId="16" fillId="8" borderId="26" xfId="0" applyFont="1" applyFill="1" applyBorder="1"/>
    <xf numFmtId="0" fontId="16" fillId="8" borderId="27" xfId="0" applyFont="1" applyFill="1" applyBorder="1" applyAlignment="1">
      <alignment horizontal="center"/>
    </xf>
    <xf numFmtId="0" fontId="16" fillId="8" borderId="28" xfId="0" applyFont="1" applyFill="1" applyBorder="1" applyAlignment="1">
      <alignment horizontal="center"/>
    </xf>
    <xf numFmtId="0" fontId="7" fillId="0" borderId="0" xfId="0" applyFont="1"/>
    <xf numFmtId="175" fontId="7" fillId="0" borderId="0" xfId="0" applyNumberFormat="1" applyFont="1"/>
    <xf numFmtId="175" fontId="2" fillId="0" borderId="0" xfId="0" applyNumberFormat="1" applyFont="1"/>
    <xf numFmtId="175" fontId="0" fillId="0" borderId="0" xfId="3" applyNumberFormat="1" applyFont="1"/>
    <xf numFmtId="168" fontId="2" fillId="11" borderId="0" xfId="0" applyNumberFormat="1" applyFont="1" applyFill="1"/>
    <xf numFmtId="171" fontId="0" fillId="0" borderId="0" xfId="0" applyNumberFormat="1"/>
    <xf numFmtId="0" fontId="0" fillId="0" borderId="20" xfId="0" applyBorder="1" applyAlignment="1">
      <alignment vertical="center"/>
    </xf>
    <xf numFmtId="177" fontId="0" fillId="0" borderId="20" xfId="0" applyNumberFormat="1" applyBorder="1" applyAlignment="1">
      <alignment vertical="center"/>
    </xf>
    <xf numFmtId="0" fontId="0" fillId="0" borderId="17" xfId="0" applyBorder="1" applyAlignment="1">
      <alignment vertical="center" wrapText="1"/>
    </xf>
    <xf numFmtId="177" fontId="0" fillId="0" borderId="17" xfId="0" applyNumberFormat="1" applyBorder="1" applyAlignment="1">
      <alignment vertical="center"/>
    </xf>
    <xf numFmtId="177" fontId="0" fillId="0" borderId="17" xfId="0" applyNumberFormat="1" applyBorder="1" applyAlignment="1">
      <alignment horizontal="right" vertical="center"/>
    </xf>
    <xf numFmtId="0" fontId="0" fillId="0" borderId="18" xfId="0" applyBorder="1" applyAlignment="1">
      <alignment vertical="center"/>
    </xf>
    <xf numFmtId="177" fontId="0" fillId="0" borderId="18" xfId="0" applyNumberFormat="1" applyBorder="1" applyAlignment="1">
      <alignment vertical="center"/>
    </xf>
    <xf numFmtId="177" fontId="0" fillId="0" borderId="18" xfId="0" applyNumberFormat="1" applyBorder="1" applyAlignment="1">
      <alignment horizontal="right" vertical="center"/>
    </xf>
    <xf numFmtId="176" fontId="0" fillId="0" borderId="17" xfId="6" applyFont="1" applyBorder="1" applyAlignment="1">
      <alignment horizontal="right" vertical="center"/>
    </xf>
    <xf numFmtId="0" fontId="2" fillId="0" borderId="29" xfId="0" applyFont="1" applyBorder="1" applyAlignment="1">
      <alignment vertical="center"/>
    </xf>
    <xf numFmtId="177" fontId="2" fillId="0" borderId="30" xfId="0" applyNumberFormat="1" applyFont="1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16" fillId="8" borderId="17" xfId="0" applyFont="1" applyFill="1" applyBorder="1"/>
    <xf numFmtId="0" fontId="16" fillId="8" borderId="17" xfId="0" applyFont="1" applyFill="1" applyBorder="1" applyAlignment="1">
      <alignment horizontal="center"/>
    </xf>
    <xf numFmtId="0" fontId="0" fillId="0" borderId="17" xfId="0" applyBorder="1" applyAlignment="1">
      <alignment vertical="center"/>
    </xf>
    <xf numFmtId="176" fontId="0" fillId="0" borderId="17" xfId="6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77" fontId="2" fillId="0" borderId="17" xfId="0" applyNumberFormat="1" applyFont="1" applyBorder="1" applyAlignment="1">
      <alignment vertical="center"/>
    </xf>
    <xf numFmtId="168" fontId="0" fillId="13" borderId="0" xfId="0" applyNumberFormat="1" applyFill="1"/>
    <xf numFmtId="168" fontId="0" fillId="13" borderId="0" xfId="2" applyNumberFormat="1" applyFont="1" applyFill="1"/>
    <xf numFmtId="0" fontId="0" fillId="12" borderId="0" xfId="0" applyFill="1"/>
    <xf numFmtId="168" fontId="16" fillId="12" borderId="0" xfId="0" applyNumberFormat="1" applyFont="1" applyFill="1"/>
    <xf numFmtId="0" fontId="0" fillId="0" borderId="16" xfId="0" applyBorder="1" applyAlignment="1">
      <alignment horizontal="center"/>
    </xf>
    <xf numFmtId="0" fontId="24" fillId="8" borderId="17" xfId="0" applyFont="1" applyFill="1" applyBorder="1" applyAlignment="1">
      <alignment horizontal="center" vertical="center"/>
    </xf>
    <xf numFmtId="0" fontId="24" fillId="8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vertical="center"/>
    </xf>
    <xf numFmtId="177" fontId="25" fillId="0" borderId="17" xfId="0" applyNumberFormat="1" applyFont="1" applyBorder="1" applyAlignment="1">
      <alignment horizontal="right" vertical="center"/>
    </xf>
    <xf numFmtId="0" fontId="0" fillId="0" borderId="17" xfId="0" applyBorder="1"/>
    <xf numFmtId="177" fontId="0" fillId="0" borderId="17" xfId="0" applyNumberFormat="1" applyBorder="1"/>
    <xf numFmtId="0" fontId="2" fillId="0" borderId="17" xfId="0" applyFont="1" applyFill="1" applyBorder="1"/>
    <xf numFmtId="177" fontId="2" fillId="0" borderId="17" xfId="0" applyNumberFormat="1" applyFont="1" applyBorder="1"/>
    <xf numFmtId="0" fontId="26" fillId="0" borderId="0" xfId="0" applyFont="1"/>
    <xf numFmtId="178" fontId="26" fillId="0" borderId="0" xfId="0" applyNumberFormat="1" applyFont="1"/>
    <xf numFmtId="178" fontId="26" fillId="14" borderId="0" xfId="0" applyNumberFormat="1" applyFont="1" applyFill="1"/>
    <xf numFmtId="0" fontId="27" fillId="15" borderId="0" xfId="0" applyFont="1" applyFill="1"/>
    <xf numFmtId="0" fontId="27" fillId="14" borderId="0" xfId="0" applyFont="1" applyFill="1"/>
    <xf numFmtId="0" fontId="27" fillId="15" borderId="32" xfId="0" applyFont="1" applyFill="1" applyBorder="1"/>
    <xf numFmtId="0" fontId="27" fillId="14" borderId="32" xfId="0" applyFont="1" applyFill="1" applyBorder="1"/>
    <xf numFmtId="0" fontId="27" fillId="15" borderId="33" xfId="0" applyFont="1" applyFill="1" applyBorder="1"/>
    <xf numFmtId="178" fontId="27" fillId="15" borderId="33" xfId="0" applyNumberFormat="1" applyFont="1" applyFill="1" applyBorder="1"/>
    <xf numFmtId="168" fontId="2" fillId="0" borderId="0" xfId="2" applyNumberFormat="1" applyFont="1"/>
    <xf numFmtId="0" fontId="2" fillId="2" borderId="0" xfId="0" applyFont="1" applyFill="1"/>
    <xf numFmtId="0" fontId="16" fillId="8" borderId="17" xfId="0" applyFont="1" applyFill="1" applyBorder="1" applyAlignment="1">
      <alignment horizontal="center"/>
    </xf>
    <xf numFmtId="0" fontId="16" fillId="8" borderId="23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/>
    </xf>
    <xf numFmtId="0" fontId="16" fillId="8" borderId="25" xfId="0" applyFont="1" applyFill="1" applyBorder="1" applyAlignment="1">
      <alignment horizontal="center"/>
    </xf>
    <xf numFmtId="0" fontId="24" fillId="8" borderId="17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" fontId="12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</cellXfs>
  <cellStyles count="7">
    <cellStyle name="Millares" xfId="1" builtinId="3"/>
    <cellStyle name="Millares 2" xfId="4"/>
    <cellStyle name="Millares 3" xfId="6"/>
    <cellStyle name="Moneda" xfId="2" builtinId="4"/>
    <cellStyle name="Moneda 2" xfId="5"/>
    <cellStyle name="Normal" xfId="0" builtinId="0"/>
    <cellStyle name="Porcentaje" xfId="3" builtinId="5"/>
  </cellStyles>
  <dxfs count="85">
    <dxf>
      <font>
        <color rgb="FFFF0000"/>
      </font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  <dxf>
      <numFmt numFmtId="172" formatCode="#,##0;[Red]#,##0"/>
    </dxf>
    <dxf>
      <numFmt numFmtId="172" formatCode="#,##0;[Red]#,##0"/>
    </dxf>
    <dxf>
      <font>
        <color rgb="FFFF0000"/>
      </font>
      <numFmt numFmtId="172" formatCode="#,##0;[Red]#,##0"/>
    </dxf>
    <dxf>
      <font>
        <color rgb="FFFF0000"/>
      </font>
      <numFmt numFmtId="172" formatCode="#,##0;[Red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66"/>
  <sheetViews>
    <sheetView topLeftCell="A13" zoomScale="70" zoomScaleNormal="70" workbookViewId="0">
      <selection activeCell="O48" sqref="O48"/>
    </sheetView>
  </sheetViews>
  <sheetFormatPr baseColWidth="10" defaultRowHeight="15" x14ac:dyDescent="0.25"/>
  <cols>
    <col min="1" max="1" width="5.42578125" customWidth="1"/>
    <col min="2" max="2" width="34.42578125" bestFit="1" customWidth="1"/>
    <col min="3" max="3" width="17.7109375" customWidth="1"/>
    <col min="4" max="4" width="15.5703125" customWidth="1"/>
    <col min="5" max="5" width="15.85546875" customWidth="1"/>
    <col min="6" max="6" width="13.85546875" customWidth="1"/>
    <col min="7" max="7" width="15.42578125" customWidth="1"/>
    <col min="8" max="62" width="13.85546875" customWidth="1"/>
    <col min="63" max="63" width="16.28515625" customWidth="1"/>
  </cols>
  <sheetData>
    <row r="2" spans="2:63" x14ac:dyDescent="0.25">
      <c r="B2" t="s">
        <v>112</v>
      </c>
      <c r="C2" s="4">
        <f>1.75*(100/112)</f>
        <v>1.5625</v>
      </c>
    </row>
    <row r="3" spans="2:63" x14ac:dyDescent="0.25">
      <c r="B3" t="s">
        <v>113</v>
      </c>
      <c r="C3" s="2">
        <v>111428</v>
      </c>
    </row>
    <row r="4" spans="2:63" x14ac:dyDescent="0.25">
      <c r="B4" t="s">
        <v>158</v>
      </c>
      <c r="C4" s="1">
        <v>0.94</v>
      </c>
    </row>
    <row r="5" spans="2:63" x14ac:dyDescent="0.25">
      <c r="B5" t="s">
        <v>221</v>
      </c>
      <c r="C5">
        <v>55</v>
      </c>
    </row>
    <row r="6" spans="2:63" x14ac:dyDescent="0.25">
      <c r="B6" t="s">
        <v>222</v>
      </c>
      <c r="C6" s="73">
        <v>0.02</v>
      </c>
    </row>
    <row r="7" spans="2:63" x14ac:dyDescent="0.25">
      <c r="B7" t="s">
        <v>227</v>
      </c>
      <c r="C7" s="9">
        <v>0.6</v>
      </c>
    </row>
    <row r="8" spans="2:63" x14ac:dyDescent="0.25">
      <c r="B8" t="s">
        <v>230</v>
      </c>
      <c r="C8" s="4">
        <v>0.02</v>
      </c>
    </row>
    <row r="9" spans="2:63" x14ac:dyDescent="0.25">
      <c r="B9" t="s">
        <v>236</v>
      </c>
      <c r="C9" s="19">
        <v>0.4</v>
      </c>
      <c r="D9" s="19">
        <f>+C9/12</f>
        <v>3.3333333333333333E-2</v>
      </c>
      <c r="E9" s="1">
        <f>+D9+D9</f>
        <v>6.6666666666666666E-2</v>
      </c>
      <c r="F9" s="1">
        <f>+$D$9+E9</f>
        <v>0.1</v>
      </c>
      <c r="G9" s="1">
        <f t="shared" ref="G9:O9" si="0">+$D$9+F9</f>
        <v>0.13333333333333333</v>
      </c>
      <c r="H9" s="1">
        <f t="shared" si="0"/>
        <v>0.16666666666666666</v>
      </c>
      <c r="I9" s="1">
        <f t="shared" si="0"/>
        <v>0.19999999999999998</v>
      </c>
      <c r="J9" s="1">
        <f t="shared" si="0"/>
        <v>0.23333333333333331</v>
      </c>
      <c r="K9" s="1">
        <f t="shared" si="0"/>
        <v>0.26666666666666666</v>
      </c>
      <c r="L9" s="1">
        <f t="shared" si="0"/>
        <v>0.3</v>
      </c>
      <c r="M9" s="1">
        <f t="shared" si="0"/>
        <v>0.33333333333333331</v>
      </c>
      <c r="N9" s="1">
        <f t="shared" si="0"/>
        <v>0.36666666666666664</v>
      </c>
      <c r="O9" s="1">
        <f t="shared" si="0"/>
        <v>0.39999999999999997</v>
      </c>
    </row>
    <row r="10" spans="2:63" x14ac:dyDescent="0.25">
      <c r="B10" t="s">
        <v>235</v>
      </c>
      <c r="C10" s="1">
        <v>0.5</v>
      </c>
      <c r="D10" s="19">
        <f>C10/12</f>
        <v>4.1666666666666664E-2</v>
      </c>
      <c r="E10" s="1">
        <f>+D10+D10</f>
        <v>8.3333333333333329E-2</v>
      </c>
      <c r="F10" s="1">
        <f>+E10+$D$10</f>
        <v>0.125</v>
      </c>
      <c r="G10" s="1">
        <f>+F10+$D$10</f>
        <v>0.16666666666666666</v>
      </c>
      <c r="H10" s="1">
        <f t="shared" ref="H10:O10" si="1">+G10+$D$10</f>
        <v>0.20833333333333331</v>
      </c>
      <c r="I10" s="1">
        <f t="shared" si="1"/>
        <v>0.24999999999999997</v>
      </c>
      <c r="J10" s="1">
        <f t="shared" si="1"/>
        <v>0.29166666666666663</v>
      </c>
      <c r="K10" s="1">
        <f t="shared" si="1"/>
        <v>0.33333333333333331</v>
      </c>
      <c r="L10" s="1">
        <f t="shared" si="1"/>
        <v>0.375</v>
      </c>
      <c r="M10" s="1">
        <f t="shared" si="1"/>
        <v>0.41666666666666669</v>
      </c>
      <c r="N10" s="1">
        <f t="shared" si="1"/>
        <v>0.45833333333333337</v>
      </c>
      <c r="O10" s="1">
        <f t="shared" si="1"/>
        <v>0.5</v>
      </c>
    </row>
    <row r="15" spans="2:63" x14ac:dyDescent="0.25">
      <c r="C15" s="76" t="s">
        <v>159</v>
      </c>
      <c r="D15" s="76" t="s">
        <v>160</v>
      </c>
      <c r="E15" s="76" t="s">
        <v>161</v>
      </c>
      <c r="F15" s="76" t="s">
        <v>162</v>
      </c>
      <c r="G15" s="76" t="s">
        <v>163</v>
      </c>
      <c r="H15" s="76" t="s">
        <v>164</v>
      </c>
      <c r="I15" s="76" t="s">
        <v>165</v>
      </c>
      <c r="J15" s="76" t="s">
        <v>166</v>
      </c>
      <c r="K15" s="76" t="s">
        <v>167</v>
      </c>
      <c r="L15" s="76" t="s">
        <v>168</v>
      </c>
      <c r="M15" s="76" t="s">
        <v>169</v>
      </c>
      <c r="N15" s="76" t="s">
        <v>170</v>
      </c>
      <c r="O15" s="76" t="s">
        <v>171</v>
      </c>
      <c r="P15" s="76" t="s">
        <v>172</v>
      </c>
      <c r="Q15" s="76" t="s">
        <v>173</v>
      </c>
      <c r="R15" s="76" t="s">
        <v>174</v>
      </c>
      <c r="S15" s="76" t="s">
        <v>175</v>
      </c>
      <c r="T15" s="76" t="s">
        <v>176</v>
      </c>
      <c r="U15" s="76" t="s">
        <v>177</v>
      </c>
      <c r="V15" s="76" t="s">
        <v>178</v>
      </c>
      <c r="W15" s="76" t="s">
        <v>179</v>
      </c>
      <c r="X15" s="76" t="s">
        <v>180</v>
      </c>
      <c r="Y15" s="76" t="s">
        <v>181</v>
      </c>
      <c r="Z15" s="76" t="s">
        <v>182</v>
      </c>
      <c r="AA15" s="76" t="s">
        <v>183</v>
      </c>
      <c r="AB15" s="76" t="s">
        <v>184</v>
      </c>
      <c r="AC15" s="76" t="s">
        <v>185</v>
      </c>
      <c r="AD15" s="76" t="s">
        <v>186</v>
      </c>
      <c r="AE15" s="76" t="s">
        <v>187</v>
      </c>
      <c r="AF15" s="76" t="s">
        <v>188</v>
      </c>
      <c r="AG15" s="76" t="s">
        <v>189</v>
      </c>
      <c r="AH15" s="76" t="s">
        <v>190</v>
      </c>
      <c r="AI15" s="76" t="s">
        <v>191</v>
      </c>
      <c r="AJ15" s="76" t="s">
        <v>192</v>
      </c>
      <c r="AK15" s="76" t="s">
        <v>193</v>
      </c>
      <c r="AL15" s="76" t="s">
        <v>194</v>
      </c>
      <c r="AM15" s="76" t="s">
        <v>195</v>
      </c>
      <c r="AN15" s="76" t="s">
        <v>196</v>
      </c>
      <c r="AO15" s="76" t="s">
        <v>197</v>
      </c>
      <c r="AP15" s="76" t="s">
        <v>198</v>
      </c>
      <c r="AQ15" s="76" t="s">
        <v>199</v>
      </c>
      <c r="AR15" s="76" t="s">
        <v>200</v>
      </c>
      <c r="AS15" s="76" t="s">
        <v>201</v>
      </c>
      <c r="AT15" s="76" t="s">
        <v>202</v>
      </c>
      <c r="AU15" s="76" t="s">
        <v>203</v>
      </c>
      <c r="AV15" s="76" t="s">
        <v>204</v>
      </c>
      <c r="AW15" s="76" t="s">
        <v>205</v>
      </c>
      <c r="AX15" s="76" t="s">
        <v>206</v>
      </c>
      <c r="AY15" s="76" t="s">
        <v>207</v>
      </c>
      <c r="AZ15" s="76" t="s">
        <v>208</v>
      </c>
      <c r="BA15" s="76" t="s">
        <v>209</v>
      </c>
      <c r="BB15" s="76" t="s">
        <v>210</v>
      </c>
      <c r="BC15" s="76" t="s">
        <v>211</v>
      </c>
      <c r="BD15" s="76" t="s">
        <v>212</v>
      </c>
      <c r="BE15" s="76" t="s">
        <v>213</v>
      </c>
      <c r="BF15" s="76" t="s">
        <v>214</v>
      </c>
      <c r="BG15" s="76" t="s">
        <v>215</v>
      </c>
      <c r="BH15" s="76" t="s">
        <v>216</v>
      </c>
      <c r="BI15" s="76" t="s">
        <v>217</v>
      </c>
      <c r="BJ15" s="76" t="s">
        <v>218</v>
      </c>
      <c r="BK15" s="76" t="s">
        <v>219</v>
      </c>
    </row>
    <row r="17" spans="2:63" x14ac:dyDescent="0.25">
      <c r="B17" t="s">
        <v>113</v>
      </c>
      <c r="D17" s="3">
        <f>+C3</f>
        <v>111428</v>
      </c>
      <c r="E17" s="74">
        <f>+D17+D18+D19</f>
        <v>113428</v>
      </c>
      <c r="F17" s="74">
        <f t="shared" ref="F17:BK17" si="2">+E17+E18+E19</f>
        <v>115428</v>
      </c>
      <c r="G17" s="74">
        <f t="shared" si="2"/>
        <v>117428</v>
      </c>
      <c r="H17" s="74">
        <f t="shared" si="2"/>
        <v>119428</v>
      </c>
      <c r="I17" s="74">
        <f t="shared" si="2"/>
        <v>121428</v>
      </c>
      <c r="J17" s="74">
        <f t="shared" si="2"/>
        <v>123428</v>
      </c>
      <c r="K17" s="74">
        <f t="shared" si="2"/>
        <v>125428</v>
      </c>
      <c r="L17" s="74">
        <f t="shared" si="2"/>
        <v>127428</v>
      </c>
      <c r="M17" s="74">
        <f t="shared" si="2"/>
        <v>129428</v>
      </c>
      <c r="N17" s="74">
        <f t="shared" si="2"/>
        <v>131428</v>
      </c>
      <c r="O17" s="74">
        <f t="shared" si="2"/>
        <v>133428</v>
      </c>
      <c r="P17" s="74">
        <f t="shared" si="2"/>
        <v>135428</v>
      </c>
      <c r="Q17" s="74">
        <f t="shared" si="2"/>
        <v>137428</v>
      </c>
      <c r="R17" s="74">
        <f t="shared" si="2"/>
        <v>139428</v>
      </c>
      <c r="S17" s="74">
        <f t="shared" si="2"/>
        <v>141428</v>
      </c>
      <c r="T17" s="74">
        <f t="shared" si="2"/>
        <v>143428</v>
      </c>
      <c r="U17" s="74">
        <f t="shared" si="2"/>
        <v>145428</v>
      </c>
      <c r="V17" s="74">
        <f t="shared" si="2"/>
        <v>147428</v>
      </c>
      <c r="W17" s="74">
        <f t="shared" si="2"/>
        <v>149428</v>
      </c>
      <c r="X17" s="74">
        <f t="shared" si="2"/>
        <v>151428</v>
      </c>
      <c r="Y17" s="74">
        <f t="shared" si="2"/>
        <v>153428</v>
      </c>
      <c r="Z17" s="74">
        <f t="shared" si="2"/>
        <v>155428</v>
      </c>
      <c r="AA17" s="74">
        <f t="shared" si="2"/>
        <v>157428</v>
      </c>
      <c r="AB17" s="74">
        <f t="shared" si="2"/>
        <v>159428</v>
      </c>
      <c r="AC17" s="74">
        <f t="shared" si="2"/>
        <v>161428</v>
      </c>
      <c r="AD17" s="74">
        <f t="shared" si="2"/>
        <v>163428</v>
      </c>
      <c r="AE17" s="74">
        <f t="shared" si="2"/>
        <v>165428</v>
      </c>
      <c r="AF17" s="74">
        <f t="shared" si="2"/>
        <v>167428</v>
      </c>
      <c r="AG17" s="74">
        <f t="shared" si="2"/>
        <v>169428</v>
      </c>
      <c r="AH17" s="74">
        <f t="shared" si="2"/>
        <v>171428</v>
      </c>
      <c r="AI17" s="74">
        <f t="shared" si="2"/>
        <v>173428</v>
      </c>
      <c r="AJ17" s="74">
        <f t="shared" si="2"/>
        <v>175428</v>
      </c>
      <c r="AK17" s="74">
        <f t="shared" si="2"/>
        <v>177428</v>
      </c>
      <c r="AL17" s="74">
        <f t="shared" si="2"/>
        <v>179428</v>
      </c>
      <c r="AM17" s="74">
        <f t="shared" si="2"/>
        <v>181428</v>
      </c>
      <c r="AN17" s="74">
        <f t="shared" si="2"/>
        <v>183428</v>
      </c>
      <c r="AO17" s="74">
        <f t="shared" si="2"/>
        <v>185428</v>
      </c>
      <c r="AP17" s="74">
        <f t="shared" si="2"/>
        <v>187428</v>
      </c>
      <c r="AQ17" s="74">
        <f t="shared" si="2"/>
        <v>189428</v>
      </c>
      <c r="AR17" s="74">
        <f t="shared" si="2"/>
        <v>191428</v>
      </c>
      <c r="AS17" s="74">
        <f t="shared" si="2"/>
        <v>193428</v>
      </c>
      <c r="AT17" s="74">
        <f t="shared" si="2"/>
        <v>195428</v>
      </c>
      <c r="AU17" s="74">
        <f t="shared" si="2"/>
        <v>197428</v>
      </c>
      <c r="AV17" s="74">
        <f t="shared" si="2"/>
        <v>199428</v>
      </c>
      <c r="AW17" s="74">
        <f t="shared" si="2"/>
        <v>201428</v>
      </c>
      <c r="AX17" s="74">
        <f t="shared" si="2"/>
        <v>203428</v>
      </c>
      <c r="AY17" s="74">
        <f t="shared" si="2"/>
        <v>205428</v>
      </c>
      <c r="AZ17" s="74">
        <f t="shared" si="2"/>
        <v>207428</v>
      </c>
      <c r="BA17" s="74">
        <f t="shared" si="2"/>
        <v>209428</v>
      </c>
      <c r="BB17" s="74">
        <f t="shared" si="2"/>
        <v>211428</v>
      </c>
      <c r="BC17" s="74">
        <f t="shared" si="2"/>
        <v>213428</v>
      </c>
      <c r="BD17" s="74">
        <f t="shared" si="2"/>
        <v>215428</v>
      </c>
      <c r="BE17" s="74">
        <f t="shared" si="2"/>
        <v>217428</v>
      </c>
      <c r="BF17" s="74">
        <f t="shared" si="2"/>
        <v>219428</v>
      </c>
      <c r="BG17" s="74">
        <f t="shared" si="2"/>
        <v>221428</v>
      </c>
      <c r="BH17" s="74">
        <f t="shared" si="2"/>
        <v>223428</v>
      </c>
      <c r="BI17" s="74">
        <f t="shared" si="2"/>
        <v>225428</v>
      </c>
      <c r="BJ17" s="74">
        <f t="shared" si="2"/>
        <v>227428</v>
      </c>
      <c r="BK17" s="74">
        <f t="shared" si="2"/>
        <v>229428</v>
      </c>
    </row>
    <row r="18" spans="2:63" x14ac:dyDescent="0.25">
      <c r="B18" t="s">
        <v>223</v>
      </c>
      <c r="D18" s="74">
        <v>2000</v>
      </c>
      <c r="E18" s="74">
        <f>+D18</f>
        <v>2000</v>
      </c>
      <c r="F18" s="74">
        <f t="shared" ref="F18:BK18" si="3">+E18</f>
        <v>2000</v>
      </c>
      <c r="G18" s="74">
        <f t="shared" si="3"/>
        <v>2000</v>
      </c>
      <c r="H18" s="74">
        <f t="shared" si="3"/>
        <v>2000</v>
      </c>
      <c r="I18" s="74">
        <f t="shared" si="3"/>
        <v>2000</v>
      </c>
      <c r="J18" s="74">
        <f t="shared" si="3"/>
        <v>2000</v>
      </c>
      <c r="K18" s="74">
        <f t="shared" si="3"/>
        <v>2000</v>
      </c>
      <c r="L18" s="74">
        <f t="shared" si="3"/>
        <v>2000</v>
      </c>
      <c r="M18" s="74">
        <f t="shared" si="3"/>
        <v>2000</v>
      </c>
      <c r="N18" s="74">
        <f t="shared" si="3"/>
        <v>2000</v>
      </c>
      <c r="O18" s="74">
        <f t="shared" si="3"/>
        <v>2000</v>
      </c>
      <c r="P18" s="74">
        <f t="shared" si="3"/>
        <v>2000</v>
      </c>
      <c r="Q18" s="74">
        <f t="shared" si="3"/>
        <v>2000</v>
      </c>
      <c r="R18" s="74">
        <f t="shared" si="3"/>
        <v>2000</v>
      </c>
      <c r="S18" s="74">
        <f t="shared" si="3"/>
        <v>2000</v>
      </c>
      <c r="T18" s="74">
        <f t="shared" si="3"/>
        <v>2000</v>
      </c>
      <c r="U18" s="74">
        <f t="shared" si="3"/>
        <v>2000</v>
      </c>
      <c r="V18" s="74">
        <f t="shared" si="3"/>
        <v>2000</v>
      </c>
      <c r="W18" s="74">
        <f t="shared" si="3"/>
        <v>2000</v>
      </c>
      <c r="X18" s="74">
        <f t="shared" si="3"/>
        <v>2000</v>
      </c>
      <c r="Y18" s="74">
        <f t="shared" si="3"/>
        <v>2000</v>
      </c>
      <c r="Z18" s="74">
        <f t="shared" si="3"/>
        <v>2000</v>
      </c>
      <c r="AA18" s="74">
        <f t="shared" si="3"/>
        <v>2000</v>
      </c>
      <c r="AB18" s="74">
        <f t="shared" si="3"/>
        <v>2000</v>
      </c>
      <c r="AC18" s="74">
        <f t="shared" si="3"/>
        <v>2000</v>
      </c>
      <c r="AD18" s="74">
        <f t="shared" si="3"/>
        <v>2000</v>
      </c>
      <c r="AE18" s="74">
        <f t="shared" si="3"/>
        <v>2000</v>
      </c>
      <c r="AF18" s="74">
        <f t="shared" si="3"/>
        <v>2000</v>
      </c>
      <c r="AG18" s="74">
        <f t="shared" si="3"/>
        <v>2000</v>
      </c>
      <c r="AH18" s="74">
        <f t="shared" si="3"/>
        <v>2000</v>
      </c>
      <c r="AI18" s="74">
        <f t="shared" si="3"/>
        <v>2000</v>
      </c>
      <c r="AJ18" s="74">
        <f t="shared" si="3"/>
        <v>2000</v>
      </c>
      <c r="AK18" s="74">
        <f t="shared" si="3"/>
        <v>2000</v>
      </c>
      <c r="AL18" s="74">
        <f t="shared" si="3"/>
        <v>2000</v>
      </c>
      <c r="AM18" s="74">
        <f t="shared" si="3"/>
        <v>2000</v>
      </c>
      <c r="AN18" s="74">
        <f t="shared" si="3"/>
        <v>2000</v>
      </c>
      <c r="AO18" s="74">
        <f t="shared" si="3"/>
        <v>2000</v>
      </c>
      <c r="AP18" s="74">
        <f t="shared" si="3"/>
        <v>2000</v>
      </c>
      <c r="AQ18" s="74">
        <f t="shared" si="3"/>
        <v>2000</v>
      </c>
      <c r="AR18" s="74">
        <f t="shared" si="3"/>
        <v>2000</v>
      </c>
      <c r="AS18" s="74">
        <f t="shared" si="3"/>
        <v>2000</v>
      </c>
      <c r="AT18" s="74">
        <f t="shared" si="3"/>
        <v>2000</v>
      </c>
      <c r="AU18" s="74">
        <f t="shared" si="3"/>
        <v>2000</v>
      </c>
      <c r="AV18" s="74">
        <f t="shared" si="3"/>
        <v>2000</v>
      </c>
      <c r="AW18" s="74">
        <f t="shared" si="3"/>
        <v>2000</v>
      </c>
      <c r="AX18" s="74">
        <f t="shared" si="3"/>
        <v>2000</v>
      </c>
      <c r="AY18" s="74">
        <f t="shared" si="3"/>
        <v>2000</v>
      </c>
      <c r="AZ18" s="74">
        <f t="shared" si="3"/>
        <v>2000</v>
      </c>
      <c r="BA18" s="74">
        <f t="shared" si="3"/>
        <v>2000</v>
      </c>
      <c r="BB18" s="74">
        <f t="shared" si="3"/>
        <v>2000</v>
      </c>
      <c r="BC18" s="74">
        <f t="shared" si="3"/>
        <v>2000</v>
      </c>
      <c r="BD18" s="74">
        <f t="shared" si="3"/>
        <v>2000</v>
      </c>
      <c r="BE18" s="74">
        <f t="shared" si="3"/>
        <v>2000</v>
      </c>
      <c r="BF18" s="74">
        <f t="shared" si="3"/>
        <v>2000</v>
      </c>
      <c r="BG18" s="74">
        <f t="shared" si="3"/>
        <v>2000</v>
      </c>
      <c r="BH18" s="74">
        <f t="shared" si="3"/>
        <v>2000</v>
      </c>
      <c r="BI18" s="74">
        <f t="shared" si="3"/>
        <v>2000</v>
      </c>
      <c r="BJ18" s="74">
        <f t="shared" si="3"/>
        <v>2000</v>
      </c>
      <c r="BK18" s="74">
        <f t="shared" si="3"/>
        <v>2000</v>
      </c>
    </row>
    <row r="19" spans="2:63" x14ac:dyDescent="0.25">
      <c r="B19" t="s">
        <v>224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2" spans="2:63" x14ac:dyDescent="0.25">
      <c r="B22" s="12" t="s">
        <v>229</v>
      </c>
      <c r="D22" s="3">
        <f>+D25</f>
        <v>9805664</v>
      </c>
      <c r="E22" s="3">
        <f t="shared" ref="E22:BK22" si="4">+E25</f>
        <v>9981664</v>
      </c>
      <c r="F22" s="3">
        <f t="shared" si="4"/>
        <v>10157664</v>
      </c>
      <c r="G22" s="3">
        <f t="shared" si="4"/>
        <v>10333664</v>
      </c>
      <c r="H22" s="3">
        <f t="shared" si="4"/>
        <v>10509664</v>
      </c>
      <c r="I22" s="3">
        <f t="shared" si="4"/>
        <v>10685664</v>
      </c>
      <c r="J22" s="3">
        <f t="shared" si="4"/>
        <v>10861664</v>
      </c>
      <c r="K22" s="3">
        <f t="shared" si="4"/>
        <v>11037664</v>
      </c>
      <c r="L22" s="3">
        <f t="shared" si="4"/>
        <v>11213664</v>
      </c>
      <c r="M22" s="3">
        <f t="shared" si="4"/>
        <v>11389664</v>
      </c>
      <c r="N22" s="3">
        <f t="shared" si="4"/>
        <v>11565664</v>
      </c>
      <c r="O22" s="3">
        <f t="shared" si="4"/>
        <v>11741664</v>
      </c>
      <c r="P22" s="3">
        <f t="shared" si="4"/>
        <v>11917664</v>
      </c>
      <c r="Q22" s="3">
        <f t="shared" si="4"/>
        <v>12093664</v>
      </c>
      <c r="R22" s="3">
        <f t="shared" si="4"/>
        <v>12269664</v>
      </c>
      <c r="S22" s="3">
        <f t="shared" si="4"/>
        <v>12445664</v>
      </c>
      <c r="T22" s="3">
        <f t="shared" si="4"/>
        <v>12621664</v>
      </c>
      <c r="U22" s="3">
        <f t="shared" si="4"/>
        <v>12797664</v>
      </c>
      <c r="V22" s="3">
        <f t="shared" si="4"/>
        <v>12973664</v>
      </c>
      <c r="W22" s="3">
        <f t="shared" si="4"/>
        <v>13149664</v>
      </c>
      <c r="X22" s="3">
        <f t="shared" si="4"/>
        <v>13325664</v>
      </c>
      <c r="Y22" s="3">
        <f t="shared" si="4"/>
        <v>13501664</v>
      </c>
      <c r="Z22" s="3">
        <f t="shared" si="4"/>
        <v>13677664</v>
      </c>
      <c r="AA22" s="3">
        <f t="shared" si="4"/>
        <v>13853664</v>
      </c>
      <c r="AB22" s="3">
        <f t="shared" si="4"/>
        <v>14029664</v>
      </c>
      <c r="AC22" s="3">
        <f t="shared" si="4"/>
        <v>14205664</v>
      </c>
      <c r="AD22" s="3">
        <f t="shared" si="4"/>
        <v>14381664</v>
      </c>
      <c r="AE22" s="3">
        <f t="shared" si="4"/>
        <v>14557664</v>
      </c>
      <c r="AF22" s="3">
        <f t="shared" si="4"/>
        <v>14733664</v>
      </c>
      <c r="AG22" s="3">
        <f t="shared" si="4"/>
        <v>14909664</v>
      </c>
      <c r="AH22" s="3">
        <f t="shared" si="4"/>
        <v>15085664</v>
      </c>
      <c r="AI22" s="3">
        <f t="shared" si="4"/>
        <v>15261664</v>
      </c>
      <c r="AJ22" s="3">
        <f t="shared" si="4"/>
        <v>15437664</v>
      </c>
      <c r="AK22" s="3">
        <f t="shared" si="4"/>
        <v>15613664</v>
      </c>
      <c r="AL22" s="3">
        <f t="shared" si="4"/>
        <v>15789664</v>
      </c>
      <c r="AM22" s="3">
        <f t="shared" si="4"/>
        <v>15965664</v>
      </c>
      <c r="AN22" s="3">
        <f t="shared" si="4"/>
        <v>16141664</v>
      </c>
      <c r="AO22" s="3">
        <f t="shared" si="4"/>
        <v>16317664</v>
      </c>
      <c r="AP22" s="3">
        <f t="shared" si="4"/>
        <v>16493664</v>
      </c>
      <c r="AQ22" s="3">
        <f t="shared" si="4"/>
        <v>16669664</v>
      </c>
      <c r="AR22" s="3">
        <f t="shared" si="4"/>
        <v>16845664</v>
      </c>
      <c r="AS22" s="3">
        <f t="shared" si="4"/>
        <v>17021664</v>
      </c>
      <c r="AT22" s="3">
        <f t="shared" si="4"/>
        <v>17197664</v>
      </c>
      <c r="AU22" s="3">
        <f t="shared" si="4"/>
        <v>17373664</v>
      </c>
      <c r="AV22" s="3">
        <f t="shared" si="4"/>
        <v>17549664</v>
      </c>
      <c r="AW22" s="3">
        <f t="shared" si="4"/>
        <v>17725664</v>
      </c>
      <c r="AX22" s="3">
        <f t="shared" si="4"/>
        <v>17901664</v>
      </c>
      <c r="AY22" s="3">
        <f t="shared" si="4"/>
        <v>18077664</v>
      </c>
      <c r="AZ22" s="3">
        <f t="shared" si="4"/>
        <v>18253664</v>
      </c>
      <c r="BA22" s="3">
        <f t="shared" si="4"/>
        <v>18429664</v>
      </c>
      <c r="BB22" s="3">
        <f t="shared" si="4"/>
        <v>18605664</v>
      </c>
      <c r="BC22" s="3">
        <f t="shared" si="4"/>
        <v>18781664</v>
      </c>
      <c r="BD22" s="3">
        <f t="shared" si="4"/>
        <v>18957664</v>
      </c>
      <c r="BE22" s="3">
        <f t="shared" si="4"/>
        <v>19133664</v>
      </c>
      <c r="BF22" s="3">
        <f t="shared" si="4"/>
        <v>19309664</v>
      </c>
      <c r="BG22" s="3">
        <f t="shared" si="4"/>
        <v>19485664</v>
      </c>
      <c r="BH22" s="3">
        <f t="shared" si="4"/>
        <v>19661664</v>
      </c>
      <c r="BI22" s="3">
        <f t="shared" si="4"/>
        <v>19837664</v>
      </c>
      <c r="BJ22" s="3">
        <f t="shared" si="4"/>
        <v>20013664</v>
      </c>
      <c r="BK22" s="3">
        <f t="shared" si="4"/>
        <v>20189664</v>
      </c>
    </row>
    <row r="23" spans="2:63" x14ac:dyDescent="0.25">
      <c r="B23" t="s">
        <v>225</v>
      </c>
      <c r="D23" s="2">
        <f>+D17*$C$5</f>
        <v>6128540</v>
      </c>
      <c r="E23" s="2">
        <f t="shared" ref="E23:BK23" si="5">+E17*$C$5</f>
        <v>6238540</v>
      </c>
      <c r="F23" s="2">
        <f t="shared" si="5"/>
        <v>6348540</v>
      </c>
      <c r="G23" s="2">
        <f t="shared" si="5"/>
        <v>6458540</v>
      </c>
      <c r="H23" s="2">
        <f t="shared" si="5"/>
        <v>6568540</v>
      </c>
      <c r="I23" s="2">
        <f t="shared" si="5"/>
        <v>6678540</v>
      </c>
      <c r="J23" s="2">
        <f t="shared" si="5"/>
        <v>6788540</v>
      </c>
      <c r="K23" s="2">
        <f t="shared" si="5"/>
        <v>6898540</v>
      </c>
      <c r="L23" s="2">
        <f t="shared" si="5"/>
        <v>7008540</v>
      </c>
      <c r="M23" s="2">
        <f t="shared" si="5"/>
        <v>7118540</v>
      </c>
      <c r="N23" s="2">
        <f t="shared" si="5"/>
        <v>7228540</v>
      </c>
      <c r="O23" s="2">
        <f t="shared" si="5"/>
        <v>7338540</v>
      </c>
      <c r="P23" s="2">
        <f t="shared" si="5"/>
        <v>7448540</v>
      </c>
      <c r="Q23" s="2">
        <f t="shared" si="5"/>
        <v>7558540</v>
      </c>
      <c r="R23" s="2">
        <f t="shared" si="5"/>
        <v>7668540</v>
      </c>
      <c r="S23" s="2">
        <f t="shared" si="5"/>
        <v>7778540</v>
      </c>
      <c r="T23" s="2">
        <f t="shared" si="5"/>
        <v>7888540</v>
      </c>
      <c r="U23" s="2">
        <f t="shared" si="5"/>
        <v>7998540</v>
      </c>
      <c r="V23" s="2">
        <f t="shared" si="5"/>
        <v>8108540</v>
      </c>
      <c r="W23" s="2">
        <f t="shared" si="5"/>
        <v>8218540</v>
      </c>
      <c r="X23" s="2">
        <f t="shared" si="5"/>
        <v>8328540</v>
      </c>
      <c r="Y23" s="2">
        <f t="shared" si="5"/>
        <v>8438540</v>
      </c>
      <c r="Z23" s="2">
        <f t="shared" si="5"/>
        <v>8548540</v>
      </c>
      <c r="AA23" s="2">
        <f t="shared" si="5"/>
        <v>8658540</v>
      </c>
      <c r="AB23" s="2">
        <f t="shared" si="5"/>
        <v>8768540</v>
      </c>
      <c r="AC23" s="2">
        <f t="shared" si="5"/>
        <v>8878540</v>
      </c>
      <c r="AD23" s="2">
        <f t="shared" si="5"/>
        <v>8988540</v>
      </c>
      <c r="AE23" s="2">
        <f t="shared" si="5"/>
        <v>9098540</v>
      </c>
      <c r="AF23" s="2">
        <f t="shared" si="5"/>
        <v>9208540</v>
      </c>
      <c r="AG23" s="2">
        <f t="shared" si="5"/>
        <v>9318540</v>
      </c>
      <c r="AH23" s="2">
        <f t="shared" si="5"/>
        <v>9428540</v>
      </c>
      <c r="AI23" s="2">
        <f t="shared" si="5"/>
        <v>9538540</v>
      </c>
      <c r="AJ23" s="2">
        <f t="shared" si="5"/>
        <v>9648540</v>
      </c>
      <c r="AK23" s="2">
        <f t="shared" si="5"/>
        <v>9758540</v>
      </c>
      <c r="AL23" s="2">
        <f t="shared" si="5"/>
        <v>9868540</v>
      </c>
      <c r="AM23" s="2">
        <f t="shared" si="5"/>
        <v>9978540</v>
      </c>
      <c r="AN23" s="2">
        <f t="shared" si="5"/>
        <v>10088540</v>
      </c>
      <c r="AO23" s="2">
        <f t="shared" si="5"/>
        <v>10198540</v>
      </c>
      <c r="AP23" s="2">
        <f t="shared" si="5"/>
        <v>10308540</v>
      </c>
      <c r="AQ23" s="2">
        <f t="shared" si="5"/>
        <v>10418540</v>
      </c>
      <c r="AR23" s="2">
        <f t="shared" si="5"/>
        <v>10528540</v>
      </c>
      <c r="AS23" s="2">
        <f t="shared" si="5"/>
        <v>10638540</v>
      </c>
      <c r="AT23" s="2">
        <f t="shared" si="5"/>
        <v>10748540</v>
      </c>
      <c r="AU23" s="2">
        <f t="shared" si="5"/>
        <v>10858540</v>
      </c>
      <c r="AV23" s="2">
        <f t="shared" si="5"/>
        <v>10968540</v>
      </c>
      <c r="AW23" s="2">
        <f t="shared" si="5"/>
        <v>11078540</v>
      </c>
      <c r="AX23" s="2">
        <f t="shared" si="5"/>
        <v>11188540</v>
      </c>
      <c r="AY23" s="2">
        <f t="shared" si="5"/>
        <v>11298540</v>
      </c>
      <c r="AZ23" s="2">
        <f t="shared" si="5"/>
        <v>11408540</v>
      </c>
      <c r="BA23" s="2">
        <f t="shared" si="5"/>
        <v>11518540</v>
      </c>
      <c r="BB23" s="2">
        <f t="shared" si="5"/>
        <v>11628540</v>
      </c>
      <c r="BC23" s="2">
        <f t="shared" si="5"/>
        <v>11738540</v>
      </c>
      <c r="BD23" s="2">
        <f t="shared" si="5"/>
        <v>11848540</v>
      </c>
      <c r="BE23" s="2">
        <f t="shared" si="5"/>
        <v>11958540</v>
      </c>
      <c r="BF23" s="2">
        <f t="shared" si="5"/>
        <v>12068540</v>
      </c>
      <c r="BG23" s="2">
        <f t="shared" si="5"/>
        <v>12178540</v>
      </c>
      <c r="BH23" s="2">
        <f t="shared" si="5"/>
        <v>12288540</v>
      </c>
      <c r="BI23" s="2">
        <f t="shared" si="5"/>
        <v>12398540</v>
      </c>
      <c r="BJ23" s="2">
        <f t="shared" si="5"/>
        <v>12508540</v>
      </c>
      <c r="BK23" s="2">
        <f t="shared" si="5"/>
        <v>12618540</v>
      </c>
    </row>
    <row r="24" spans="2:63" x14ac:dyDescent="0.25">
      <c r="B24" t="s">
        <v>226</v>
      </c>
      <c r="D24" s="2">
        <f>ROUND(D23*$C$7,0)</f>
        <v>3677124</v>
      </c>
      <c r="E24" s="2">
        <f t="shared" ref="E24:BK24" si="6">ROUND(E23*$C$7,0)</f>
        <v>3743124</v>
      </c>
      <c r="F24" s="2">
        <f t="shared" si="6"/>
        <v>3809124</v>
      </c>
      <c r="G24" s="2">
        <f t="shared" si="6"/>
        <v>3875124</v>
      </c>
      <c r="H24" s="2">
        <f t="shared" si="6"/>
        <v>3941124</v>
      </c>
      <c r="I24" s="2">
        <f t="shared" si="6"/>
        <v>4007124</v>
      </c>
      <c r="J24" s="2">
        <f t="shared" si="6"/>
        <v>4073124</v>
      </c>
      <c r="K24" s="2">
        <f t="shared" si="6"/>
        <v>4139124</v>
      </c>
      <c r="L24" s="2">
        <f t="shared" si="6"/>
        <v>4205124</v>
      </c>
      <c r="M24" s="2">
        <f t="shared" si="6"/>
        <v>4271124</v>
      </c>
      <c r="N24" s="2">
        <f t="shared" si="6"/>
        <v>4337124</v>
      </c>
      <c r="O24" s="2">
        <f t="shared" si="6"/>
        <v>4403124</v>
      </c>
      <c r="P24" s="2">
        <f t="shared" si="6"/>
        <v>4469124</v>
      </c>
      <c r="Q24" s="2">
        <f t="shared" si="6"/>
        <v>4535124</v>
      </c>
      <c r="R24" s="2">
        <f t="shared" si="6"/>
        <v>4601124</v>
      </c>
      <c r="S24" s="2">
        <f t="shared" si="6"/>
        <v>4667124</v>
      </c>
      <c r="T24" s="2">
        <f t="shared" si="6"/>
        <v>4733124</v>
      </c>
      <c r="U24" s="2">
        <f t="shared" si="6"/>
        <v>4799124</v>
      </c>
      <c r="V24" s="2">
        <f t="shared" si="6"/>
        <v>4865124</v>
      </c>
      <c r="W24" s="2">
        <f t="shared" si="6"/>
        <v>4931124</v>
      </c>
      <c r="X24" s="2">
        <f t="shared" si="6"/>
        <v>4997124</v>
      </c>
      <c r="Y24" s="2">
        <f t="shared" si="6"/>
        <v>5063124</v>
      </c>
      <c r="Z24" s="2">
        <f t="shared" si="6"/>
        <v>5129124</v>
      </c>
      <c r="AA24" s="2">
        <f t="shared" si="6"/>
        <v>5195124</v>
      </c>
      <c r="AB24" s="2">
        <f t="shared" si="6"/>
        <v>5261124</v>
      </c>
      <c r="AC24" s="2">
        <f t="shared" si="6"/>
        <v>5327124</v>
      </c>
      <c r="AD24" s="2">
        <f t="shared" si="6"/>
        <v>5393124</v>
      </c>
      <c r="AE24" s="2">
        <f t="shared" si="6"/>
        <v>5459124</v>
      </c>
      <c r="AF24" s="2">
        <f t="shared" si="6"/>
        <v>5525124</v>
      </c>
      <c r="AG24" s="2">
        <f t="shared" si="6"/>
        <v>5591124</v>
      </c>
      <c r="AH24" s="2">
        <f t="shared" si="6"/>
        <v>5657124</v>
      </c>
      <c r="AI24" s="2">
        <f t="shared" si="6"/>
        <v>5723124</v>
      </c>
      <c r="AJ24" s="2">
        <f t="shared" si="6"/>
        <v>5789124</v>
      </c>
      <c r="AK24" s="2">
        <f t="shared" si="6"/>
        <v>5855124</v>
      </c>
      <c r="AL24" s="2">
        <f t="shared" si="6"/>
        <v>5921124</v>
      </c>
      <c r="AM24" s="2">
        <f t="shared" si="6"/>
        <v>5987124</v>
      </c>
      <c r="AN24" s="2">
        <f t="shared" si="6"/>
        <v>6053124</v>
      </c>
      <c r="AO24" s="2">
        <f t="shared" si="6"/>
        <v>6119124</v>
      </c>
      <c r="AP24" s="2">
        <f t="shared" si="6"/>
        <v>6185124</v>
      </c>
      <c r="AQ24" s="2">
        <f t="shared" si="6"/>
        <v>6251124</v>
      </c>
      <c r="AR24" s="2">
        <f t="shared" si="6"/>
        <v>6317124</v>
      </c>
      <c r="AS24" s="2">
        <f t="shared" si="6"/>
        <v>6383124</v>
      </c>
      <c r="AT24" s="2">
        <f t="shared" si="6"/>
        <v>6449124</v>
      </c>
      <c r="AU24" s="2">
        <f t="shared" si="6"/>
        <v>6515124</v>
      </c>
      <c r="AV24" s="2">
        <f t="shared" si="6"/>
        <v>6581124</v>
      </c>
      <c r="AW24" s="2">
        <f t="shared" si="6"/>
        <v>6647124</v>
      </c>
      <c r="AX24" s="2">
        <f t="shared" si="6"/>
        <v>6713124</v>
      </c>
      <c r="AY24" s="2">
        <f t="shared" si="6"/>
        <v>6779124</v>
      </c>
      <c r="AZ24" s="2">
        <f t="shared" si="6"/>
        <v>6845124</v>
      </c>
      <c r="BA24" s="2">
        <f t="shared" si="6"/>
        <v>6911124</v>
      </c>
      <c r="BB24" s="2">
        <f t="shared" si="6"/>
        <v>6977124</v>
      </c>
      <c r="BC24" s="2">
        <f t="shared" si="6"/>
        <v>7043124</v>
      </c>
      <c r="BD24" s="2">
        <f t="shared" si="6"/>
        <v>7109124</v>
      </c>
      <c r="BE24" s="2">
        <f t="shared" si="6"/>
        <v>7175124</v>
      </c>
      <c r="BF24" s="2">
        <f t="shared" si="6"/>
        <v>7241124</v>
      </c>
      <c r="BG24" s="2">
        <f t="shared" si="6"/>
        <v>7307124</v>
      </c>
      <c r="BH24" s="2">
        <f t="shared" si="6"/>
        <v>7373124</v>
      </c>
      <c r="BI24" s="2">
        <f t="shared" si="6"/>
        <v>7439124</v>
      </c>
      <c r="BJ24" s="2">
        <f t="shared" si="6"/>
        <v>7505124</v>
      </c>
      <c r="BK24" s="2">
        <f t="shared" si="6"/>
        <v>7571124</v>
      </c>
    </row>
    <row r="25" spans="2:63" x14ac:dyDescent="0.25">
      <c r="B25" t="s">
        <v>228</v>
      </c>
      <c r="D25" s="3">
        <f>+D23+D24</f>
        <v>9805664</v>
      </c>
      <c r="E25" s="3">
        <f t="shared" ref="E25:BK25" si="7">+E23+E24</f>
        <v>9981664</v>
      </c>
      <c r="F25" s="3">
        <f t="shared" si="7"/>
        <v>10157664</v>
      </c>
      <c r="G25" s="3">
        <f t="shared" si="7"/>
        <v>10333664</v>
      </c>
      <c r="H25" s="3">
        <f t="shared" si="7"/>
        <v>10509664</v>
      </c>
      <c r="I25" s="3">
        <f t="shared" si="7"/>
        <v>10685664</v>
      </c>
      <c r="J25" s="3">
        <f t="shared" si="7"/>
        <v>10861664</v>
      </c>
      <c r="K25" s="3">
        <f t="shared" si="7"/>
        <v>11037664</v>
      </c>
      <c r="L25" s="3">
        <f t="shared" si="7"/>
        <v>11213664</v>
      </c>
      <c r="M25" s="3">
        <f t="shared" si="7"/>
        <v>11389664</v>
      </c>
      <c r="N25" s="3">
        <f t="shared" si="7"/>
        <v>11565664</v>
      </c>
      <c r="O25" s="3">
        <f t="shared" si="7"/>
        <v>11741664</v>
      </c>
      <c r="P25" s="3">
        <f t="shared" si="7"/>
        <v>11917664</v>
      </c>
      <c r="Q25" s="3">
        <f t="shared" si="7"/>
        <v>12093664</v>
      </c>
      <c r="R25" s="3">
        <f t="shared" si="7"/>
        <v>12269664</v>
      </c>
      <c r="S25" s="3">
        <f t="shared" si="7"/>
        <v>12445664</v>
      </c>
      <c r="T25" s="3">
        <f t="shared" si="7"/>
        <v>12621664</v>
      </c>
      <c r="U25" s="3">
        <f t="shared" si="7"/>
        <v>12797664</v>
      </c>
      <c r="V25" s="3">
        <f t="shared" si="7"/>
        <v>12973664</v>
      </c>
      <c r="W25" s="3">
        <f t="shared" si="7"/>
        <v>13149664</v>
      </c>
      <c r="X25" s="3">
        <f t="shared" si="7"/>
        <v>13325664</v>
      </c>
      <c r="Y25" s="3">
        <f t="shared" si="7"/>
        <v>13501664</v>
      </c>
      <c r="Z25" s="3">
        <f t="shared" si="7"/>
        <v>13677664</v>
      </c>
      <c r="AA25" s="3">
        <f t="shared" si="7"/>
        <v>13853664</v>
      </c>
      <c r="AB25" s="3">
        <f t="shared" si="7"/>
        <v>14029664</v>
      </c>
      <c r="AC25" s="3">
        <f t="shared" si="7"/>
        <v>14205664</v>
      </c>
      <c r="AD25" s="3">
        <f t="shared" si="7"/>
        <v>14381664</v>
      </c>
      <c r="AE25" s="3">
        <f t="shared" si="7"/>
        <v>14557664</v>
      </c>
      <c r="AF25" s="3">
        <f t="shared" si="7"/>
        <v>14733664</v>
      </c>
      <c r="AG25" s="3">
        <f t="shared" si="7"/>
        <v>14909664</v>
      </c>
      <c r="AH25" s="3">
        <f t="shared" si="7"/>
        <v>15085664</v>
      </c>
      <c r="AI25" s="3">
        <f t="shared" si="7"/>
        <v>15261664</v>
      </c>
      <c r="AJ25" s="3">
        <f t="shared" si="7"/>
        <v>15437664</v>
      </c>
      <c r="AK25" s="3">
        <f t="shared" si="7"/>
        <v>15613664</v>
      </c>
      <c r="AL25" s="3">
        <f t="shared" si="7"/>
        <v>15789664</v>
      </c>
      <c r="AM25" s="3">
        <f t="shared" si="7"/>
        <v>15965664</v>
      </c>
      <c r="AN25" s="3">
        <f t="shared" si="7"/>
        <v>16141664</v>
      </c>
      <c r="AO25" s="3">
        <f t="shared" si="7"/>
        <v>16317664</v>
      </c>
      <c r="AP25" s="3">
        <f t="shared" si="7"/>
        <v>16493664</v>
      </c>
      <c r="AQ25" s="3">
        <f t="shared" si="7"/>
        <v>16669664</v>
      </c>
      <c r="AR25" s="3">
        <f t="shared" si="7"/>
        <v>16845664</v>
      </c>
      <c r="AS25" s="3">
        <f t="shared" si="7"/>
        <v>17021664</v>
      </c>
      <c r="AT25" s="3">
        <f t="shared" si="7"/>
        <v>17197664</v>
      </c>
      <c r="AU25" s="3">
        <f t="shared" si="7"/>
        <v>17373664</v>
      </c>
      <c r="AV25" s="3">
        <f t="shared" si="7"/>
        <v>17549664</v>
      </c>
      <c r="AW25" s="3">
        <f t="shared" si="7"/>
        <v>17725664</v>
      </c>
      <c r="AX25" s="3">
        <f t="shared" si="7"/>
        <v>17901664</v>
      </c>
      <c r="AY25" s="3">
        <f t="shared" si="7"/>
        <v>18077664</v>
      </c>
      <c r="AZ25" s="3">
        <f t="shared" si="7"/>
        <v>18253664</v>
      </c>
      <c r="BA25" s="3">
        <f t="shared" si="7"/>
        <v>18429664</v>
      </c>
      <c r="BB25" s="3">
        <f t="shared" si="7"/>
        <v>18605664</v>
      </c>
      <c r="BC25" s="3">
        <f t="shared" si="7"/>
        <v>18781664</v>
      </c>
      <c r="BD25" s="3">
        <f t="shared" si="7"/>
        <v>18957664</v>
      </c>
      <c r="BE25" s="3">
        <f t="shared" si="7"/>
        <v>19133664</v>
      </c>
      <c r="BF25" s="3">
        <f t="shared" si="7"/>
        <v>19309664</v>
      </c>
      <c r="BG25" s="3">
        <f t="shared" si="7"/>
        <v>19485664</v>
      </c>
      <c r="BH25" s="3">
        <f t="shared" si="7"/>
        <v>19661664</v>
      </c>
      <c r="BI25" s="3">
        <f t="shared" si="7"/>
        <v>19837664</v>
      </c>
      <c r="BJ25" s="3">
        <f t="shared" si="7"/>
        <v>20013664</v>
      </c>
      <c r="BK25" s="3">
        <f t="shared" si="7"/>
        <v>20189664</v>
      </c>
    </row>
    <row r="26" spans="2:63" x14ac:dyDescent="0.25">
      <c r="B26" t="s">
        <v>233</v>
      </c>
      <c r="D26" s="3">
        <f>ROUND(D23*D9,0)</f>
        <v>204285</v>
      </c>
      <c r="E26" s="3">
        <f>ROUND(E23*E9,0)</f>
        <v>415903</v>
      </c>
      <c r="F26" s="3">
        <f t="shared" ref="F26:O26" si="8">ROUND(F23*F9,0)</f>
        <v>634854</v>
      </c>
      <c r="G26" s="3">
        <f t="shared" si="8"/>
        <v>861139</v>
      </c>
      <c r="H26" s="3">
        <f t="shared" si="8"/>
        <v>1094757</v>
      </c>
      <c r="I26" s="3">
        <f t="shared" si="8"/>
        <v>1335708</v>
      </c>
      <c r="J26" s="3">
        <f t="shared" si="8"/>
        <v>1583993</v>
      </c>
      <c r="K26" s="3">
        <f t="shared" si="8"/>
        <v>1839611</v>
      </c>
      <c r="L26" s="3">
        <f t="shared" si="8"/>
        <v>2102562</v>
      </c>
      <c r="M26" s="3">
        <f t="shared" si="8"/>
        <v>2372847</v>
      </c>
      <c r="N26" s="3">
        <f t="shared" si="8"/>
        <v>2650465</v>
      </c>
      <c r="O26" s="3">
        <f t="shared" si="8"/>
        <v>2935416</v>
      </c>
      <c r="P26" s="3">
        <f>ROUND(P23*$O$9,0)</f>
        <v>2979416</v>
      </c>
      <c r="Q26" s="3">
        <f t="shared" ref="Q26:BK26" si="9">ROUND(Q23*$O$9,0)</f>
        <v>3023416</v>
      </c>
      <c r="R26" s="3">
        <f t="shared" si="9"/>
        <v>3067416</v>
      </c>
      <c r="S26" s="3">
        <f t="shared" si="9"/>
        <v>3111416</v>
      </c>
      <c r="T26" s="3">
        <f t="shared" si="9"/>
        <v>3155416</v>
      </c>
      <c r="U26" s="3">
        <f t="shared" si="9"/>
        <v>3199416</v>
      </c>
      <c r="V26" s="3">
        <f t="shared" si="9"/>
        <v>3243416</v>
      </c>
      <c r="W26" s="3">
        <f t="shared" si="9"/>
        <v>3287416</v>
      </c>
      <c r="X26" s="3">
        <f t="shared" si="9"/>
        <v>3331416</v>
      </c>
      <c r="Y26" s="3">
        <f t="shared" si="9"/>
        <v>3375416</v>
      </c>
      <c r="Z26" s="3">
        <f t="shared" si="9"/>
        <v>3419416</v>
      </c>
      <c r="AA26" s="3">
        <f t="shared" si="9"/>
        <v>3463416</v>
      </c>
      <c r="AB26" s="3">
        <f t="shared" si="9"/>
        <v>3507416</v>
      </c>
      <c r="AC26" s="3">
        <f t="shared" si="9"/>
        <v>3551416</v>
      </c>
      <c r="AD26" s="3">
        <f t="shared" si="9"/>
        <v>3595416</v>
      </c>
      <c r="AE26" s="3">
        <f t="shared" si="9"/>
        <v>3639416</v>
      </c>
      <c r="AF26" s="3">
        <f t="shared" si="9"/>
        <v>3683416</v>
      </c>
      <c r="AG26" s="3">
        <f t="shared" si="9"/>
        <v>3727416</v>
      </c>
      <c r="AH26" s="3">
        <f t="shared" si="9"/>
        <v>3771416</v>
      </c>
      <c r="AI26" s="3">
        <f t="shared" si="9"/>
        <v>3815416</v>
      </c>
      <c r="AJ26" s="3">
        <f t="shared" si="9"/>
        <v>3859416</v>
      </c>
      <c r="AK26" s="3">
        <f t="shared" si="9"/>
        <v>3903416</v>
      </c>
      <c r="AL26" s="3">
        <f t="shared" si="9"/>
        <v>3947416</v>
      </c>
      <c r="AM26" s="3">
        <f t="shared" si="9"/>
        <v>3991416</v>
      </c>
      <c r="AN26" s="3">
        <f t="shared" si="9"/>
        <v>4035416</v>
      </c>
      <c r="AO26" s="3">
        <f t="shared" si="9"/>
        <v>4079416</v>
      </c>
      <c r="AP26" s="3">
        <f t="shared" si="9"/>
        <v>4123416</v>
      </c>
      <c r="AQ26" s="3">
        <f t="shared" si="9"/>
        <v>4167416</v>
      </c>
      <c r="AR26" s="3">
        <f t="shared" si="9"/>
        <v>4211416</v>
      </c>
      <c r="AS26" s="3">
        <f t="shared" si="9"/>
        <v>4255416</v>
      </c>
      <c r="AT26" s="3">
        <f t="shared" si="9"/>
        <v>4299416</v>
      </c>
      <c r="AU26" s="3">
        <f t="shared" si="9"/>
        <v>4343416</v>
      </c>
      <c r="AV26" s="3">
        <f t="shared" si="9"/>
        <v>4387416</v>
      </c>
      <c r="AW26" s="3">
        <f t="shared" si="9"/>
        <v>4431416</v>
      </c>
      <c r="AX26" s="3">
        <f t="shared" si="9"/>
        <v>4475416</v>
      </c>
      <c r="AY26" s="3">
        <f t="shared" si="9"/>
        <v>4519416</v>
      </c>
      <c r="AZ26" s="3">
        <f t="shared" si="9"/>
        <v>4563416</v>
      </c>
      <c r="BA26" s="3">
        <f t="shared" si="9"/>
        <v>4607416</v>
      </c>
      <c r="BB26" s="3">
        <f t="shared" si="9"/>
        <v>4651416</v>
      </c>
      <c r="BC26" s="3">
        <f t="shared" si="9"/>
        <v>4695416</v>
      </c>
      <c r="BD26" s="3">
        <f t="shared" si="9"/>
        <v>4739416</v>
      </c>
      <c r="BE26" s="3">
        <f t="shared" si="9"/>
        <v>4783416</v>
      </c>
      <c r="BF26" s="3">
        <f t="shared" si="9"/>
        <v>4827416</v>
      </c>
      <c r="BG26" s="3">
        <f t="shared" si="9"/>
        <v>4871416</v>
      </c>
      <c r="BH26" s="3">
        <f t="shared" si="9"/>
        <v>4915416</v>
      </c>
      <c r="BI26" s="3">
        <f t="shared" si="9"/>
        <v>4959416</v>
      </c>
      <c r="BJ26" s="3">
        <f t="shared" si="9"/>
        <v>5003416</v>
      </c>
      <c r="BK26" s="3">
        <f t="shared" si="9"/>
        <v>5047416</v>
      </c>
    </row>
    <row r="27" spans="2:63" x14ac:dyDescent="0.25">
      <c r="B27" t="s">
        <v>234</v>
      </c>
      <c r="D27" s="3">
        <f>ROUND(D24*D10,0)</f>
        <v>153214</v>
      </c>
      <c r="E27" s="3">
        <f t="shared" ref="E27:O27" si="10">ROUND(E24*E10,0)</f>
        <v>311927</v>
      </c>
      <c r="F27" s="3">
        <f t="shared" si="10"/>
        <v>476141</v>
      </c>
      <c r="G27" s="3">
        <f t="shared" si="10"/>
        <v>645854</v>
      </c>
      <c r="H27" s="3">
        <f t="shared" si="10"/>
        <v>821068</v>
      </c>
      <c r="I27" s="3">
        <f t="shared" si="10"/>
        <v>1001781</v>
      </c>
      <c r="J27" s="3">
        <f t="shared" si="10"/>
        <v>1187995</v>
      </c>
      <c r="K27" s="3">
        <f t="shared" si="10"/>
        <v>1379708</v>
      </c>
      <c r="L27" s="3">
        <f t="shared" si="10"/>
        <v>1576922</v>
      </c>
      <c r="M27" s="3">
        <f t="shared" si="10"/>
        <v>1779635</v>
      </c>
      <c r="N27" s="3">
        <f t="shared" si="10"/>
        <v>1987849</v>
      </c>
      <c r="O27" s="3">
        <f t="shared" si="10"/>
        <v>2201562</v>
      </c>
      <c r="P27" s="3">
        <f>ROUND(P24*$O$10,0)</f>
        <v>2234562</v>
      </c>
      <c r="Q27" s="3">
        <f t="shared" ref="Q27:BK27" si="11">ROUND(Q24*$O$10,0)</f>
        <v>2267562</v>
      </c>
      <c r="R27" s="3">
        <f t="shared" si="11"/>
        <v>2300562</v>
      </c>
      <c r="S27" s="3">
        <f t="shared" si="11"/>
        <v>2333562</v>
      </c>
      <c r="T27" s="3">
        <f t="shared" si="11"/>
        <v>2366562</v>
      </c>
      <c r="U27" s="3">
        <f t="shared" si="11"/>
        <v>2399562</v>
      </c>
      <c r="V27" s="3">
        <f t="shared" si="11"/>
        <v>2432562</v>
      </c>
      <c r="W27" s="3">
        <f t="shared" si="11"/>
        <v>2465562</v>
      </c>
      <c r="X27" s="3">
        <f t="shared" si="11"/>
        <v>2498562</v>
      </c>
      <c r="Y27" s="3">
        <f t="shared" si="11"/>
        <v>2531562</v>
      </c>
      <c r="Z27" s="3">
        <f t="shared" si="11"/>
        <v>2564562</v>
      </c>
      <c r="AA27" s="3">
        <f t="shared" si="11"/>
        <v>2597562</v>
      </c>
      <c r="AB27" s="3">
        <f t="shared" si="11"/>
        <v>2630562</v>
      </c>
      <c r="AC27" s="3">
        <f t="shared" si="11"/>
        <v>2663562</v>
      </c>
      <c r="AD27" s="3">
        <f t="shared" si="11"/>
        <v>2696562</v>
      </c>
      <c r="AE27" s="3">
        <f t="shared" si="11"/>
        <v>2729562</v>
      </c>
      <c r="AF27" s="3">
        <f t="shared" si="11"/>
        <v>2762562</v>
      </c>
      <c r="AG27" s="3">
        <f t="shared" si="11"/>
        <v>2795562</v>
      </c>
      <c r="AH27" s="3">
        <f t="shared" si="11"/>
        <v>2828562</v>
      </c>
      <c r="AI27" s="3">
        <f t="shared" si="11"/>
        <v>2861562</v>
      </c>
      <c r="AJ27" s="3">
        <f t="shared" si="11"/>
        <v>2894562</v>
      </c>
      <c r="AK27" s="3">
        <f t="shared" si="11"/>
        <v>2927562</v>
      </c>
      <c r="AL27" s="3">
        <f t="shared" si="11"/>
        <v>2960562</v>
      </c>
      <c r="AM27" s="3">
        <f t="shared" si="11"/>
        <v>2993562</v>
      </c>
      <c r="AN27" s="3">
        <f t="shared" si="11"/>
        <v>3026562</v>
      </c>
      <c r="AO27" s="3">
        <f t="shared" si="11"/>
        <v>3059562</v>
      </c>
      <c r="AP27" s="3">
        <f t="shared" si="11"/>
        <v>3092562</v>
      </c>
      <c r="AQ27" s="3">
        <f t="shared" si="11"/>
        <v>3125562</v>
      </c>
      <c r="AR27" s="3">
        <f t="shared" si="11"/>
        <v>3158562</v>
      </c>
      <c r="AS27" s="3">
        <f t="shared" si="11"/>
        <v>3191562</v>
      </c>
      <c r="AT27" s="3">
        <f t="shared" si="11"/>
        <v>3224562</v>
      </c>
      <c r="AU27" s="3">
        <f t="shared" si="11"/>
        <v>3257562</v>
      </c>
      <c r="AV27" s="3">
        <f t="shared" si="11"/>
        <v>3290562</v>
      </c>
      <c r="AW27" s="3">
        <f t="shared" si="11"/>
        <v>3323562</v>
      </c>
      <c r="AX27" s="3">
        <f t="shared" si="11"/>
        <v>3356562</v>
      </c>
      <c r="AY27" s="3">
        <f t="shared" si="11"/>
        <v>3389562</v>
      </c>
      <c r="AZ27" s="3">
        <f t="shared" si="11"/>
        <v>3422562</v>
      </c>
      <c r="BA27" s="3">
        <f t="shared" si="11"/>
        <v>3455562</v>
      </c>
      <c r="BB27" s="3">
        <f t="shared" si="11"/>
        <v>3488562</v>
      </c>
      <c r="BC27" s="3">
        <f t="shared" si="11"/>
        <v>3521562</v>
      </c>
      <c r="BD27" s="3">
        <f t="shared" si="11"/>
        <v>3554562</v>
      </c>
      <c r="BE27" s="3">
        <f t="shared" si="11"/>
        <v>3587562</v>
      </c>
      <c r="BF27" s="3">
        <f t="shared" si="11"/>
        <v>3620562</v>
      </c>
      <c r="BG27" s="3">
        <f t="shared" si="11"/>
        <v>3653562</v>
      </c>
      <c r="BH27" s="3">
        <f t="shared" si="11"/>
        <v>3686562</v>
      </c>
      <c r="BI27" s="3">
        <f t="shared" si="11"/>
        <v>3719562</v>
      </c>
      <c r="BJ27" s="3">
        <f t="shared" si="11"/>
        <v>3752562</v>
      </c>
      <c r="BK27" s="3">
        <f t="shared" si="11"/>
        <v>3785562</v>
      </c>
    </row>
    <row r="28" spans="2:63" x14ac:dyDescent="0.25">
      <c r="B28" t="s">
        <v>237</v>
      </c>
      <c r="D28" s="3">
        <f>+D26+D27</f>
        <v>357499</v>
      </c>
      <c r="E28" s="3">
        <f t="shared" ref="E28:BK28" si="12">+E26+E27</f>
        <v>727830</v>
      </c>
      <c r="F28" s="3">
        <f t="shared" si="12"/>
        <v>1110995</v>
      </c>
      <c r="G28" s="3">
        <f t="shared" si="12"/>
        <v>1506993</v>
      </c>
      <c r="H28" s="3">
        <f t="shared" si="12"/>
        <v>1915825</v>
      </c>
      <c r="I28" s="3">
        <f t="shared" si="12"/>
        <v>2337489</v>
      </c>
      <c r="J28" s="3">
        <f t="shared" si="12"/>
        <v>2771988</v>
      </c>
      <c r="K28" s="3">
        <f t="shared" si="12"/>
        <v>3219319</v>
      </c>
      <c r="L28" s="3">
        <f t="shared" si="12"/>
        <v>3679484</v>
      </c>
      <c r="M28" s="3">
        <f t="shared" si="12"/>
        <v>4152482</v>
      </c>
      <c r="N28" s="3">
        <f t="shared" si="12"/>
        <v>4638314</v>
      </c>
      <c r="O28" s="3">
        <f t="shared" si="12"/>
        <v>5136978</v>
      </c>
      <c r="P28" s="3">
        <f t="shared" si="12"/>
        <v>5213978</v>
      </c>
      <c r="Q28" s="3">
        <f t="shared" si="12"/>
        <v>5290978</v>
      </c>
      <c r="R28" s="3">
        <f t="shared" si="12"/>
        <v>5367978</v>
      </c>
      <c r="S28" s="3">
        <f t="shared" si="12"/>
        <v>5444978</v>
      </c>
      <c r="T28" s="3">
        <f t="shared" si="12"/>
        <v>5521978</v>
      </c>
      <c r="U28" s="3">
        <f t="shared" si="12"/>
        <v>5598978</v>
      </c>
      <c r="V28" s="3">
        <f t="shared" si="12"/>
        <v>5675978</v>
      </c>
      <c r="W28" s="3">
        <f t="shared" si="12"/>
        <v>5752978</v>
      </c>
      <c r="X28" s="3">
        <f t="shared" si="12"/>
        <v>5829978</v>
      </c>
      <c r="Y28" s="3">
        <f t="shared" si="12"/>
        <v>5906978</v>
      </c>
      <c r="Z28" s="3">
        <f t="shared" si="12"/>
        <v>5983978</v>
      </c>
      <c r="AA28" s="3">
        <f t="shared" si="12"/>
        <v>6060978</v>
      </c>
      <c r="AB28" s="3">
        <f t="shared" si="12"/>
        <v>6137978</v>
      </c>
      <c r="AC28" s="3">
        <f t="shared" si="12"/>
        <v>6214978</v>
      </c>
      <c r="AD28" s="3">
        <f t="shared" si="12"/>
        <v>6291978</v>
      </c>
      <c r="AE28" s="3">
        <f t="shared" si="12"/>
        <v>6368978</v>
      </c>
      <c r="AF28" s="3">
        <f t="shared" si="12"/>
        <v>6445978</v>
      </c>
      <c r="AG28" s="3">
        <f t="shared" si="12"/>
        <v>6522978</v>
      </c>
      <c r="AH28" s="3">
        <f t="shared" si="12"/>
        <v>6599978</v>
      </c>
      <c r="AI28" s="3">
        <f t="shared" si="12"/>
        <v>6676978</v>
      </c>
      <c r="AJ28" s="3">
        <f t="shared" si="12"/>
        <v>6753978</v>
      </c>
      <c r="AK28" s="3">
        <f t="shared" si="12"/>
        <v>6830978</v>
      </c>
      <c r="AL28" s="3">
        <f t="shared" si="12"/>
        <v>6907978</v>
      </c>
      <c r="AM28" s="3">
        <f t="shared" si="12"/>
        <v>6984978</v>
      </c>
      <c r="AN28" s="3">
        <f t="shared" si="12"/>
        <v>7061978</v>
      </c>
      <c r="AO28" s="3">
        <f t="shared" si="12"/>
        <v>7138978</v>
      </c>
      <c r="AP28" s="3">
        <f t="shared" si="12"/>
        <v>7215978</v>
      </c>
      <c r="AQ28" s="3">
        <f t="shared" si="12"/>
        <v>7292978</v>
      </c>
      <c r="AR28" s="3">
        <f t="shared" si="12"/>
        <v>7369978</v>
      </c>
      <c r="AS28" s="3">
        <f t="shared" si="12"/>
        <v>7446978</v>
      </c>
      <c r="AT28" s="3">
        <f t="shared" si="12"/>
        <v>7523978</v>
      </c>
      <c r="AU28" s="3">
        <f t="shared" si="12"/>
        <v>7600978</v>
      </c>
      <c r="AV28" s="3">
        <f t="shared" si="12"/>
        <v>7677978</v>
      </c>
      <c r="AW28" s="3">
        <f t="shared" si="12"/>
        <v>7754978</v>
      </c>
      <c r="AX28" s="3">
        <f t="shared" si="12"/>
        <v>7831978</v>
      </c>
      <c r="AY28" s="3">
        <f t="shared" si="12"/>
        <v>7908978</v>
      </c>
      <c r="AZ28" s="3">
        <f t="shared" si="12"/>
        <v>7985978</v>
      </c>
      <c r="BA28" s="3">
        <f t="shared" si="12"/>
        <v>8062978</v>
      </c>
      <c r="BB28" s="3">
        <f t="shared" si="12"/>
        <v>8139978</v>
      </c>
      <c r="BC28" s="3">
        <f t="shared" si="12"/>
        <v>8216978</v>
      </c>
      <c r="BD28" s="3">
        <f t="shared" si="12"/>
        <v>8293978</v>
      </c>
      <c r="BE28" s="3">
        <f t="shared" si="12"/>
        <v>8370978</v>
      </c>
      <c r="BF28" s="3">
        <f t="shared" si="12"/>
        <v>8447978</v>
      </c>
      <c r="BG28" s="3">
        <f t="shared" si="12"/>
        <v>8524978</v>
      </c>
      <c r="BH28" s="3">
        <f t="shared" si="12"/>
        <v>8601978</v>
      </c>
      <c r="BI28" s="3">
        <f t="shared" si="12"/>
        <v>8678978</v>
      </c>
      <c r="BJ28" s="3">
        <f t="shared" si="12"/>
        <v>8755978</v>
      </c>
      <c r="BK28" s="3">
        <f t="shared" si="12"/>
        <v>8832978</v>
      </c>
    </row>
    <row r="29" spans="2:63" x14ac:dyDescent="0.25">
      <c r="B29" t="s">
        <v>241</v>
      </c>
      <c r="D29" s="3">
        <f>+D22</f>
        <v>9805664</v>
      </c>
      <c r="E29" s="3">
        <f t="shared" ref="E29:BK29" si="13">+E22</f>
        <v>9981664</v>
      </c>
      <c r="F29" s="3">
        <f t="shared" si="13"/>
        <v>10157664</v>
      </c>
      <c r="G29" s="3">
        <f t="shared" si="13"/>
        <v>10333664</v>
      </c>
      <c r="H29" s="3">
        <f t="shared" si="13"/>
        <v>10509664</v>
      </c>
      <c r="I29" s="3">
        <f t="shared" si="13"/>
        <v>10685664</v>
      </c>
      <c r="J29" s="3">
        <f t="shared" si="13"/>
        <v>10861664</v>
      </c>
      <c r="K29" s="3">
        <f t="shared" si="13"/>
        <v>11037664</v>
      </c>
      <c r="L29" s="3">
        <f t="shared" si="13"/>
        <v>11213664</v>
      </c>
      <c r="M29" s="3">
        <f t="shared" si="13"/>
        <v>11389664</v>
      </c>
      <c r="N29" s="3">
        <f t="shared" si="13"/>
        <v>11565664</v>
      </c>
      <c r="O29" s="3">
        <f t="shared" si="13"/>
        <v>11741664</v>
      </c>
      <c r="P29" s="3">
        <f t="shared" si="13"/>
        <v>11917664</v>
      </c>
      <c r="Q29" s="3">
        <f t="shared" si="13"/>
        <v>12093664</v>
      </c>
      <c r="R29" s="3">
        <f t="shared" si="13"/>
        <v>12269664</v>
      </c>
      <c r="S29" s="3">
        <f t="shared" si="13"/>
        <v>12445664</v>
      </c>
      <c r="T29" s="3">
        <f t="shared" si="13"/>
        <v>12621664</v>
      </c>
      <c r="U29" s="3">
        <f t="shared" si="13"/>
        <v>12797664</v>
      </c>
      <c r="V29" s="3">
        <f t="shared" si="13"/>
        <v>12973664</v>
      </c>
      <c r="W29" s="3">
        <f t="shared" si="13"/>
        <v>13149664</v>
      </c>
      <c r="X29" s="3">
        <f t="shared" si="13"/>
        <v>13325664</v>
      </c>
      <c r="Y29" s="3">
        <f t="shared" si="13"/>
        <v>13501664</v>
      </c>
      <c r="Z29" s="3">
        <f t="shared" si="13"/>
        <v>13677664</v>
      </c>
      <c r="AA29" s="3">
        <f t="shared" si="13"/>
        <v>13853664</v>
      </c>
      <c r="AB29" s="3">
        <f t="shared" si="13"/>
        <v>14029664</v>
      </c>
      <c r="AC29" s="3">
        <f t="shared" si="13"/>
        <v>14205664</v>
      </c>
      <c r="AD29" s="3">
        <f t="shared" si="13"/>
        <v>14381664</v>
      </c>
      <c r="AE29" s="3">
        <f t="shared" si="13"/>
        <v>14557664</v>
      </c>
      <c r="AF29" s="3">
        <f t="shared" si="13"/>
        <v>14733664</v>
      </c>
      <c r="AG29" s="3">
        <f t="shared" si="13"/>
        <v>14909664</v>
      </c>
      <c r="AH29" s="3">
        <f t="shared" si="13"/>
        <v>15085664</v>
      </c>
      <c r="AI29" s="3">
        <f t="shared" si="13"/>
        <v>15261664</v>
      </c>
      <c r="AJ29" s="3">
        <f t="shared" si="13"/>
        <v>15437664</v>
      </c>
      <c r="AK29" s="3">
        <f t="shared" si="13"/>
        <v>15613664</v>
      </c>
      <c r="AL29" s="3">
        <f t="shared" si="13"/>
        <v>15789664</v>
      </c>
      <c r="AM29" s="3">
        <f t="shared" si="13"/>
        <v>15965664</v>
      </c>
      <c r="AN29" s="3">
        <f t="shared" si="13"/>
        <v>16141664</v>
      </c>
      <c r="AO29" s="3">
        <f t="shared" si="13"/>
        <v>16317664</v>
      </c>
      <c r="AP29" s="3">
        <f t="shared" si="13"/>
        <v>16493664</v>
      </c>
      <c r="AQ29" s="3">
        <f t="shared" si="13"/>
        <v>16669664</v>
      </c>
      <c r="AR29" s="3">
        <f t="shared" si="13"/>
        <v>16845664</v>
      </c>
      <c r="AS29" s="3">
        <f t="shared" si="13"/>
        <v>17021664</v>
      </c>
      <c r="AT29" s="3">
        <f t="shared" si="13"/>
        <v>17197664</v>
      </c>
      <c r="AU29" s="3">
        <f t="shared" si="13"/>
        <v>17373664</v>
      </c>
      <c r="AV29" s="3">
        <f t="shared" si="13"/>
        <v>17549664</v>
      </c>
      <c r="AW29" s="3">
        <f t="shared" si="13"/>
        <v>17725664</v>
      </c>
      <c r="AX29" s="3">
        <f t="shared" si="13"/>
        <v>17901664</v>
      </c>
      <c r="AY29" s="3">
        <f t="shared" si="13"/>
        <v>18077664</v>
      </c>
      <c r="AZ29" s="3">
        <f t="shared" si="13"/>
        <v>18253664</v>
      </c>
      <c r="BA29" s="3">
        <f t="shared" si="13"/>
        <v>18429664</v>
      </c>
      <c r="BB29" s="3">
        <f t="shared" si="13"/>
        <v>18605664</v>
      </c>
      <c r="BC29" s="3">
        <f t="shared" si="13"/>
        <v>18781664</v>
      </c>
      <c r="BD29" s="3">
        <f t="shared" si="13"/>
        <v>18957664</v>
      </c>
      <c r="BE29" s="3">
        <f t="shared" si="13"/>
        <v>19133664</v>
      </c>
      <c r="BF29" s="3">
        <f t="shared" si="13"/>
        <v>19309664</v>
      </c>
      <c r="BG29" s="3">
        <f t="shared" si="13"/>
        <v>19485664</v>
      </c>
      <c r="BH29" s="3">
        <f t="shared" si="13"/>
        <v>19661664</v>
      </c>
      <c r="BI29" s="3">
        <f t="shared" si="13"/>
        <v>19837664</v>
      </c>
      <c r="BJ29" s="3">
        <f t="shared" si="13"/>
        <v>20013664</v>
      </c>
      <c r="BK29" s="3">
        <f t="shared" si="13"/>
        <v>20189664</v>
      </c>
    </row>
    <row r="30" spans="2:63" x14ac:dyDescent="0.25">
      <c r="B30" t="s">
        <v>242</v>
      </c>
      <c r="D30" s="3">
        <f>+D22+D29</f>
        <v>19611328</v>
      </c>
      <c r="E30" s="3">
        <f t="shared" ref="E30:BK30" si="14">+E22+E29</f>
        <v>19963328</v>
      </c>
      <c r="F30" s="3">
        <f t="shared" si="14"/>
        <v>20315328</v>
      </c>
      <c r="G30" s="3">
        <f t="shared" si="14"/>
        <v>20667328</v>
      </c>
      <c r="H30" s="3">
        <f t="shared" si="14"/>
        <v>21019328</v>
      </c>
      <c r="I30" s="3">
        <f t="shared" si="14"/>
        <v>21371328</v>
      </c>
      <c r="J30" s="3">
        <f t="shared" si="14"/>
        <v>21723328</v>
      </c>
      <c r="K30" s="3">
        <f t="shared" si="14"/>
        <v>22075328</v>
      </c>
      <c r="L30" s="3">
        <f t="shared" si="14"/>
        <v>22427328</v>
      </c>
      <c r="M30" s="3">
        <f t="shared" si="14"/>
        <v>22779328</v>
      </c>
      <c r="N30" s="3">
        <f t="shared" si="14"/>
        <v>23131328</v>
      </c>
      <c r="O30" s="3">
        <f t="shared" si="14"/>
        <v>23483328</v>
      </c>
      <c r="P30" s="3">
        <f t="shared" si="14"/>
        <v>23835328</v>
      </c>
      <c r="Q30" s="3">
        <f t="shared" si="14"/>
        <v>24187328</v>
      </c>
      <c r="R30" s="3">
        <f t="shared" si="14"/>
        <v>24539328</v>
      </c>
      <c r="S30" s="3">
        <f t="shared" si="14"/>
        <v>24891328</v>
      </c>
      <c r="T30" s="3">
        <f t="shared" si="14"/>
        <v>25243328</v>
      </c>
      <c r="U30" s="3">
        <f t="shared" si="14"/>
        <v>25595328</v>
      </c>
      <c r="V30" s="3">
        <f t="shared" si="14"/>
        <v>25947328</v>
      </c>
      <c r="W30" s="3">
        <f t="shared" si="14"/>
        <v>26299328</v>
      </c>
      <c r="X30" s="3">
        <f t="shared" si="14"/>
        <v>26651328</v>
      </c>
      <c r="Y30" s="3">
        <f t="shared" si="14"/>
        <v>27003328</v>
      </c>
      <c r="Z30" s="3">
        <f t="shared" si="14"/>
        <v>27355328</v>
      </c>
      <c r="AA30" s="3">
        <f t="shared" si="14"/>
        <v>27707328</v>
      </c>
      <c r="AB30" s="3">
        <f t="shared" si="14"/>
        <v>28059328</v>
      </c>
      <c r="AC30" s="3">
        <f t="shared" si="14"/>
        <v>28411328</v>
      </c>
      <c r="AD30" s="3">
        <f t="shared" si="14"/>
        <v>28763328</v>
      </c>
      <c r="AE30" s="3">
        <f t="shared" si="14"/>
        <v>29115328</v>
      </c>
      <c r="AF30" s="3">
        <f t="shared" si="14"/>
        <v>29467328</v>
      </c>
      <c r="AG30" s="3">
        <f t="shared" si="14"/>
        <v>29819328</v>
      </c>
      <c r="AH30" s="3">
        <f t="shared" si="14"/>
        <v>30171328</v>
      </c>
      <c r="AI30" s="3">
        <f t="shared" si="14"/>
        <v>30523328</v>
      </c>
      <c r="AJ30" s="3">
        <f t="shared" si="14"/>
        <v>30875328</v>
      </c>
      <c r="AK30" s="3">
        <f t="shared" si="14"/>
        <v>31227328</v>
      </c>
      <c r="AL30" s="3">
        <f t="shared" si="14"/>
        <v>31579328</v>
      </c>
      <c r="AM30" s="3">
        <f t="shared" si="14"/>
        <v>31931328</v>
      </c>
      <c r="AN30" s="3">
        <f t="shared" si="14"/>
        <v>32283328</v>
      </c>
      <c r="AO30" s="3">
        <f t="shared" si="14"/>
        <v>32635328</v>
      </c>
      <c r="AP30" s="3">
        <f t="shared" si="14"/>
        <v>32987328</v>
      </c>
      <c r="AQ30" s="3">
        <f t="shared" si="14"/>
        <v>33339328</v>
      </c>
      <c r="AR30" s="3">
        <f t="shared" si="14"/>
        <v>33691328</v>
      </c>
      <c r="AS30" s="3">
        <f t="shared" si="14"/>
        <v>34043328</v>
      </c>
      <c r="AT30" s="3">
        <f t="shared" si="14"/>
        <v>34395328</v>
      </c>
      <c r="AU30" s="3">
        <f t="shared" si="14"/>
        <v>34747328</v>
      </c>
      <c r="AV30" s="3">
        <f t="shared" si="14"/>
        <v>35099328</v>
      </c>
      <c r="AW30" s="3">
        <f t="shared" si="14"/>
        <v>35451328</v>
      </c>
      <c r="AX30" s="3">
        <f t="shared" si="14"/>
        <v>35803328</v>
      </c>
      <c r="AY30" s="3">
        <f t="shared" si="14"/>
        <v>36155328</v>
      </c>
      <c r="AZ30" s="3">
        <f t="shared" si="14"/>
        <v>36507328</v>
      </c>
      <c r="BA30" s="3">
        <f t="shared" si="14"/>
        <v>36859328</v>
      </c>
      <c r="BB30" s="3">
        <f t="shared" si="14"/>
        <v>37211328</v>
      </c>
      <c r="BC30" s="3">
        <f t="shared" si="14"/>
        <v>37563328</v>
      </c>
      <c r="BD30" s="3">
        <f t="shared" si="14"/>
        <v>37915328</v>
      </c>
      <c r="BE30" s="3">
        <f t="shared" si="14"/>
        <v>38267328</v>
      </c>
      <c r="BF30" s="3">
        <f t="shared" si="14"/>
        <v>38619328</v>
      </c>
      <c r="BG30" s="3">
        <f t="shared" si="14"/>
        <v>38971328</v>
      </c>
      <c r="BH30" s="3">
        <f t="shared" si="14"/>
        <v>39323328</v>
      </c>
      <c r="BI30" s="3">
        <f t="shared" si="14"/>
        <v>39675328</v>
      </c>
      <c r="BJ30" s="3">
        <f t="shared" si="14"/>
        <v>40027328</v>
      </c>
      <c r="BK30" s="3">
        <f t="shared" si="14"/>
        <v>40379328</v>
      </c>
    </row>
    <row r="31" spans="2:63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C32" s="75"/>
    </row>
    <row r="33" spans="2:63" x14ac:dyDescent="0.25">
      <c r="B33" s="12" t="s">
        <v>45</v>
      </c>
      <c r="C33" s="75"/>
      <c r="D33" s="75">
        <f t="shared" ref="D33:BK33" si="15">+D17*$C$2*$C$4</f>
        <v>163659.875</v>
      </c>
      <c r="E33" s="75">
        <f t="shared" si="15"/>
        <v>166597.375</v>
      </c>
      <c r="F33" s="75">
        <f t="shared" si="15"/>
        <v>169534.875</v>
      </c>
      <c r="G33" s="75">
        <f t="shared" si="15"/>
        <v>172472.375</v>
      </c>
      <c r="H33" s="75">
        <f t="shared" si="15"/>
        <v>175409.875</v>
      </c>
      <c r="I33" s="75">
        <f t="shared" si="15"/>
        <v>178347.375</v>
      </c>
      <c r="J33" s="75">
        <f t="shared" si="15"/>
        <v>181284.875</v>
      </c>
      <c r="K33" s="75">
        <f t="shared" si="15"/>
        <v>184222.375</v>
      </c>
      <c r="L33" s="75">
        <f t="shared" si="15"/>
        <v>187159.875</v>
      </c>
      <c r="M33" s="75">
        <f t="shared" si="15"/>
        <v>190097.375</v>
      </c>
      <c r="N33" s="75">
        <f t="shared" si="15"/>
        <v>193034.875</v>
      </c>
      <c r="O33" s="75">
        <f t="shared" si="15"/>
        <v>195972.375</v>
      </c>
      <c r="P33" s="75">
        <f t="shared" si="15"/>
        <v>198909.875</v>
      </c>
      <c r="Q33" s="75">
        <f t="shared" si="15"/>
        <v>201847.375</v>
      </c>
      <c r="R33" s="75">
        <f t="shared" si="15"/>
        <v>204784.875</v>
      </c>
      <c r="S33" s="75">
        <f t="shared" si="15"/>
        <v>207722.375</v>
      </c>
      <c r="T33" s="75">
        <f t="shared" si="15"/>
        <v>210659.875</v>
      </c>
      <c r="U33" s="75">
        <f t="shared" si="15"/>
        <v>213597.375</v>
      </c>
      <c r="V33" s="75">
        <f t="shared" si="15"/>
        <v>216534.875</v>
      </c>
      <c r="W33" s="75">
        <f t="shared" si="15"/>
        <v>219472.375</v>
      </c>
      <c r="X33" s="75">
        <f t="shared" si="15"/>
        <v>222409.875</v>
      </c>
      <c r="Y33" s="75">
        <f t="shared" si="15"/>
        <v>225347.375</v>
      </c>
      <c r="Z33" s="75">
        <f t="shared" si="15"/>
        <v>228284.875</v>
      </c>
      <c r="AA33" s="75">
        <f t="shared" si="15"/>
        <v>231222.375</v>
      </c>
      <c r="AB33" s="75">
        <f t="shared" si="15"/>
        <v>234159.875</v>
      </c>
      <c r="AC33" s="75">
        <f t="shared" si="15"/>
        <v>237097.375</v>
      </c>
      <c r="AD33" s="75">
        <f t="shared" si="15"/>
        <v>240034.875</v>
      </c>
      <c r="AE33" s="75">
        <f t="shared" si="15"/>
        <v>242972.375</v>
      </c>
      <c r="AF33" s="75">
        <f t="shared" si="15"/>
        <v>245909.875</v>
      </c>
      <c r="AG33" s="75">
        <f t="shared" si="15"/>
        <v>248847.375</v>
      </c>
      <c r="AH33" s="75">
        <f t="shared" si="15"/>
        <v>251784.875</v>
      </c>
      <c r="AI33" s="75">
        <f t="shared" si="15"/>
        <v>254722.375</v>
      </c>
      <c r="AJ33" s="75">
        <f t="shared" si="15"/>
        <v>257659.87499999997</v>
      </c>
      <c r="AK33" s="75">
        <f t="shared" si="15"/>
        <v>260597.37499999997</v>
      </c>
      <c r="AL33" s="75">
        <f t="shared" si="15"/>
        <v>263534.875</v>
      </c>
      <c r="AM33" s="75">
        <f t="shared" si="15"/>
        <v>266472.375</v>
      </c>
      <c r="AN33" s="75">
        <f t="shared" si="15"/>
        <v>269409.875</v>
      </c>
      <c r="AO33" s="75">
        <f t="shared" si="15"/>
        <v>272347.375</v>
      </c>
      <c r="AP33" s="75">
        <f t="shared" si="15"/>
        <v>275284.875</v>
      </c>
      <c r="AQ33" s="75">
        <f t="shared" si="15"/>
        <v>278222.375</v>
      </c>
      <c r="AR33" s="75">
        <f t="shared" si="15"/>
        <v>281159.875</v>
      </c>
      <c r="AS33" s="75">
        <f t="shared" si="15"/>
        <v>284097.375</v>
      </c>
      <c r="AT33" s="75">
        <f t="shared" si="15"/>
        <v>287034.875</v>
      </c>
      <c r="AU33" s="75">
        <f t="shared" si="15"/>
        <v>289972.375</v>
      </c>
      <c r="AV33" s="75">
        <f t="shared" si="15"/>
        <v>292909.875</v>
      </c>
      <c r="AW33" s="75">
        <f t="shared" si="15"/>
        <v>295847.375</v>
      </c>
      <c r="AX33" s="75">
        <f t="shared" si="15"/>
        <v>298784.875</v>
      </c>
      <c r="AY33" s="75">
        <f t="shared" si="15"/>
        <v>301722.375</v>
      </c>
      <c r="AZ33" s="75">
        <f t="shared" si="15"/>
        <v>304659.875</v>
      </c>
      <c r="BA33" s="75">
        <f t="shared" si="15"/>
        <v>307597.375</v>
      </c>
      <c r="BB33" s="75">
        <f t="shared" si="15"/>
        <v>310534.875</v>
      </c>
      <c r="BC33" s="75">
        <f t="shared" si="15"/>
        <v>313472.375</v>
      </c>
      <c r="BD33" s="75">
        <f t="shared" si="15"/>
        <v>316409.875</v>
      </c>
      <c r="BE33" s="75">
        <f t="shared" si="15"/>
        <v>319347.375</v>
      </c>
      <c r="BF33" s="75">
        <f t="shared" si="15"/>
        <v>322284.875</v>
      </c>
      <c r="BG33" s="75">
        <f t="shared" si="15"/>
        <v>325222.375</v>
      </c>
      <c r="BH33" s="75">
        <f t="shared" si="15"/>
        <v>328159.875</v>
      </c>
      <c r="BI33" s="75">
        <f t="shared" si="15"/>
        <v>331097.375</v>
      </c>
      <c r="BJ33" s="75">
        <f t="shared" si="15"/>
        <v>334034.875</v>
      </c>
      <c r="BK33" s="75">
        <f t="shared" si="15"/>
        <v>336972.375</v>
      </c>
    </row>
    <row r="34" spans="2:63" x14ac:dyDescent="0.25">
      <c r="C34" s="75"/>
    </row>
    <row r="35" spans="2:63" x14ac:dyDescent="0.25">
      <c r="C35" s="75"/>
    </row>
    <row r="36" spans="2:63" x14ac:dyDescent="0.25">
      <c r="B36" s="12" t="s">
        <v>231</v>
      </c>
      <c r="C36" s="75"/>
    </row>
    <row r="37" spans="2:63" s="102" customFormat="1" x14ac:dyDescent="0.25">
      <c r="B37" s="102" t="s">
        <v>232</v>
      </c>
      <c r="C37" s="103"/>
      <c r="D37" s="103">
        <f t="shared" ref="D37:BK37" si="16">+D25*$C$8</f>
        <v>196113.28</v>
      </c>
      <c r="E37" s="103">
        <f t="shared" si="16"/>
        <v>199633.28</v>
      </c>
      <c r="F37" s="103">
        <f t="shared" si="16"/>
        <v>203153.28</v>
      </c>
      <c r="G37" s="103">
        <f t="shared" si="16"/>
        <v>206673.28</v>
      </c>
      <c r="H37" s="103">
        <f t="shared" si="16"/>
        <v>210193.28</v>
      </c>
      <c r="I37" s="103">
        <f t="shared" si="16"/>
        <v>213713.28</v>
      </c>
      <c r="J37" s="103">
        <f t="shared" si="16"/>
        <v>217233.28</v>
      </c>
      <c r="K37" s="103">
        <f t="shared" si="16"/>
        <v>220753.28</v>
      </c>
      <c r="L37" s="103">
        <f t="shared" si="16"/>
        <v>224273.28</v>
      </c>
      <c r="M37" s="103">
        <f t="shared" si="16"/>
        <v>227793.28</v>
      </c>
      <c r="N37" s="103">
        <f t="shared" si="16"/>
        <v>231313.28</v>
      </c>
      <c r="O37" s="103">
        <f t="shared" si="16"/>
        <v>234833.28</v>
      </c>
      <c r="P37" s="103">
        <f t="shared" si="16"/>
        <v>238353.28</v>
      </c>
      <c r="Q37" s="103">
        <f t="shared" si="16"/>
        <v>241873.28</v>
      </c>
      <c r="R37" s="103">
        <f t="shared" si="16"/>
        <v>245393.28</v>
      </c>
      <c r="S37" s="103">
        <f t="shared" si="16"/>
        <v>248913.28</v>
      </c>
      <c r="T37" s="103">
        <f t="shared" si="16"/>
        <v>252433.28</v>
      </c>
      <c r="U37" s="103">
        <f t="shared" si="16"/>
        <v>255953.28</v>
      </c>
      <c r="V37" s="103">
        <f t="shared" si="16"/>
        <v>259473.28</v>
      </c>
      <c r="W37" s="103">
        <f t="shared" si="16"/>
        <v>262993.28000000003</v>
      </c>
      <c r="X37" s="103">
        <f t="shared" si="16"/>
        <v>266513.28000000003</v>
      </c>
      <c r="Y37" s="103">
        <f t="shared" si="16"/>
        <v>270033.28000000003</v>
      </c>
      <c r="Z37" s="103">
        <f t="shared" si="16"/>
        <v>273553.28000000003</v>
      </c>
      <c r="AA37" s="103">
        <f t="shared" si="16"/>
        <v>277073.28000000003</v>
      </c>
      <c r="AB37" s="103">
        <f t="shared" si="16"/>
        <v>280593.28000000003</v>
      </c>
      <c r="AC37" s="103">
        <f t="shared" si="16"/>
        <v>284113.28000000003</v>
      </c>
      <c r="AD37" s="103">
        <f t="shared" si="16"/>
        <v>287633.28000000003</v>
      </c>
      <c r="AE37" s="103">
        <f t="shared" si="16"/>
        <v>291153.28000000003</v>
      </c>
      <c r="AF37" s="103">
        <f t="shared" si="16"/>
        <v>294673.28000000003</v>
      </c>
      <c r="AG37" s="103">
        <f t="shared" si="16"/>
        <v>298193.28000000003</v>
      </c>
      <c r="AH37" s="103">
        <f t="shared" si="16"/>
        <v>301713.28000000003</v>
      </c>
      <c r="AI37" s="103">
        <f t="shared" si="16"/>
        <v>305233.28000000003</v>
      </c>
      <c r="AJ37" s="103">
        <f t="shared" si="16"/>
        <v>308753.28000000003</v>
      </c>
      <c r="AK37" s="103">
        <f t="shared" si="16"/>
        <v>312273.28000000003</v>
      </c>
      <c r="AL37" s="103">
        <f t="shared" si="16"/>
        <v>315793.28000000003</v>
      </c>
      <c r="AM37" s="103">
        <f t="shared" si="16"/>
        <v>319313.28000000003</v>
      </c>
      <c r="AN37" s="103">
        <f t="shared" si="16"/>
        <v>322833.28000000003</v>
      </c>
      <c r="AO37" s="103">
        <f t="shared" si="16"/>
        <v>326353.28000000003</v>
      </c>
      <c r="AP37" s="103">
        <f t="shared" si="16"/>
        <v>329873.28000000003</v>
      </c>
      <c r="AQ37" s="103">
        <f t="shared" si="16"/>
        <v>333393.28000000003</v>
      </c>
      <c r="AR37" s="103">
        <f t="shared" si="16"/>
        <v>336913.28</v>
      </c>
      <c r="AS37" s="103">
        <f t="shared" si="16"/>
        <v>340433.28</v>
      </c>
      <c r="AT37" s="103">
        <f t="shared" si="16"/>
        <v>343953.28</v>
      </c>
      <c r="AU37" s="103">
        <f t="shared" si="16"/>
        <v>347473.28</v>
      </c>
      <c r="AV37" s="103">
        <f t="shared" si="16"/>
        <v>350993.28</v>
      </c>
      <c r="AW37" s="103">
        <f t="shared" si="16"/>
        <v>354513.28</v>
      </c>
      <c r="AX37" s="103">
        <f t="shared" si="16"/>
        <v>358033.28</v>
      </c>
      <c r="AY37" s="103">
        <f t="shared" si="16"/>
        <v>361553.28</v>
      </c>
      <c r="AZ37" s="103">
        <f t="shared" si="16"/>
        <v>365073.28</v>
      </c>
      <c r="BA37" s="103">
        <f t="shared" si="16"/>
        <v>368593.28</v>
      </c>
      <c r="BB37" s="103">
        <f t="shared" si="16"/>
        <v>372113.28</v>
      </c>
      <c r="BC37" s="103">
        <f t="shared" si="16"/>
        <v>375633.28</v>
      </c>
      <c r="BD37" s="103">
        <f t="shared" si="16"/>
        <v>379153.28</v>
      </c>
      <c r="BE37" s="103">
        <f t="shared" si="16"/>
        <v>382673.28</v>
      </c>
      <c r="BF37" s="103">
        <f t="shared" si="16"/>
        <v>386193.28</v>
      </c>
      <c r="BG37" s="103">
        <f t="shared" si="16"/>
        <v>389713.28</v>
      </c>
      <c r="BH37" s="103">
        <f t="shared" si="16"/>
        <v>393233.28</v>
      </c>
      <c r="BI37" s="103">
        <f t="shared" si="16"/>
        <v>396753.28</v>
      </c>
      <c r="BJ37" s="103">
        <f t="shared" si="16"/>
        <v>400273.28</v>
      </c>
      <c r="BK37" s="103">
        <f t="shared" si="16"/>
        <v>403793.28</v>
      </c>
    </row>
    <row r="38" spans="2:63" x14ac:dyDescent="0.25">
      <c r="B38" t="s">
        <v>238</v>
      </c>
      <c r="C38" s="75"/>
      <c r="D38" s="75">
        <f t="shared" ref="D38:BK38" si="17">+(D25-D28)*$C$8</f>
        <v>188963.30000000002</v>
      </c>
      <c r="E38" s="75">
        <f t="shared" si="17"/>
        <v>185076.68</v>
      </c>
      <c r="F38" s="75">
        <f t="shared" si="17"/>
        <v>180933.38</v>
      </c>
      <c r="G38" s="75">
        <f t="shared" si="17"/>
        <v>176533.42</v>
      </c>
      <c r="H38" s="75">
        <f t="shared" si="17"/>
        <v>171876.78</v>
      </c>
      <c r="I38" s="75">
        <f t="shared" si="17"/>
        <v>166963.5</v>
      </c>
      <c r="J38" s="75">
        <f t="shared" si="17"/>
        <v>161793.51999999999</v>
      </c>
      <c r="K38" s="75">
        <f t="shared" si="17"/>
        <v>156366.9</v>
      </c>
      <c r="L38" s="75">
        <f t="shared" si="17"/>
        <v>150683.6</v>
      </c>
      <c r="M38" s="75">
        <f t="shared" si="17"/>
        <v>144743.64000000001</v>
      </c>
      <c r="N38" s="75">
        <f t="shared" si="17"/>
        <v>138547</v>
      </c>
      <c r="O38" s="75">
        <f t="shared" si="17"/>
        <v>132093.72</v>
      </c>
      <c r="P38" s="75">
        <f t="shared" si="17"/>
        <v>134073.72</v>
      </c>
      <c r="Q38" s="75">
        <f t="shared" si="17"/>
        <v>136053.72</v>
      </c>
      <c r="R38" s="75">
        <f t="shared" si="17"/>
        <v>138033.72</v>
      </c>
      <c r="S38" s="75">
        <f t="shared" si="17"/>
        <v>140013.72</v>
      </c>
      <c r="T38" s="75">
        <f t="shared" si="17"/>
        <v>141993.72</v>
      </c>
      <c r="U38" s="75">
        <f t="shared" si="17"/>
        <v>143973.72</v>
      </c>
      <c r="V38" s="75">
        <f t="shared" si="17"/>
        <v>145953.72</v>
      </c>
      <c r="W38" s="75">
        <f t="shared" si="17"/>
        <v>147933.72</v>
      </c>
      <c r="X38" s="75">
        <f t="shared" si="17"/>
        <v>149913.72</v>
      </c>
      <c r="Y38" s="75">
        <f t="shared" si="17"/>
        <v>151893.72</v>
      </c>
      <c r="Z38" s="75">
        <f t="shared" si="17"/>
        <v>153873.72</v>
      </c>
      <c r="AA38" s="75">
        <f t="shared" si="17"/>
        <v>155853.72</v>
      </c>
      <c r="AB38" s="75">
        <f t="shared" si="17"/>
        <v>157833.72</v>
      </c>
      <c r="AC38" s="75">
        <f t="shared" si="17"/>
        <v>159813.72</v>
      </c>
      <c r="AD38" s="75">
        <f t="shared" si="17"/>
        <v>161793.72</v>
      </c>
      <c r="AE38" s="75">
        <f t="shared" si="17"/>
        <v>163773.72</v>
      </c>
      <c r="AF38" s="75">
        <f t="shared" si="17"/>
        <v>165753.72</v>
      </c>
      <c r="AG38" s="75">
        <f t="shared" si="17"/>
        <v>167733.72</v>
      </c>
      <c r="AH38" s="75">
        <f t="shared" si="17"/>
        <v>169713.72</v>
      </c>
      <c r="AI38" s="75">
        <f t="shared" si="17"/>
        <v>171693.72</v>
      </c>
      <c r="AJ38" s="75">
        <f t="shared" si="17"/>
        <v>173673.72</v>
      </c>
      <c r="AK38" s="75">
        <f t="shared" si="17"/>
        <v>175653.72</v>
      </c>
      <c r="AL38" s="75">
        <f t="shared" si="17"/>
        <v>177633.72</v>
      </c>
      <c r="AM38" s="75">
        <f t="shared" si="17"/>
        <v>179613.72</v>
      </c>
      <c r="AN38" s="75">
        <f t="shared" si="17"/>
        <v>181593.72</v>
      </c>
      <c r="AO38" s="75">
        <f t="shared" si="17"/>
        <v>183573.72</v>
      </c>
      <c r="AP38" s="75">
        <f t="shared" si="17"/>
        <v>185553.72</v>
      </c>
      <c r="AQ38" s="75">
        <f t="shared" si="17"/>
        <v>187533.72</v>
      </c>
      <c r="AR38" s="75">
        <f t="shared" si="17"/>
        <v>189513.72</v>
      </c>
      <c r="AS38" s="75">
        <f t="shared" si="17"/>
        <v>191493.72</v>
      </c>
      <c r="AT38" s="75">
        <f t="shared" si="17"/>
        <v>193473.72</v>
      </c>
      <c r="AU38" s="75">
        <f t="shared" si="17"/>
        <v>195453.72</v>
      </c>
      <c r="AV38" s="75">
        <f t="shared" si="17"/>
        <v>197433.72</v>
      </c>
      <c r="AW38" s="75">
        <f t="shared" si="17"/>
        <v>199413.72</v>
      </c>
      <c r="AX38" s="75">
        <f t="shared" si="17"/>
        <v>201393.72</v>
      </c>
      <c r="AY38" s="75">
        <f t="shared" si="17"/>
        <v>203373.72</v>
      </c>
      <c r="AZ38" s="75">
        <f t="shared" si="17"/>
        <v>205353.72</v>
      </c>
      <c r="BA38" s="75">
        <f t="shared" si="17"/>
        <v>207333.72</v>
      </c>
      <c r="BB38" s="75">
        <f t="shared" si="17"/>
        <v>209313.72</v>
      </c>
      <c r="BC38" s="75">
        <f t="shared" si="17"/>
        <v>211293.72</v>
      </c>
      <c r="BD38" s="75">
        <f t="shared" si="17"/>
        <v>213273.72</v>
      </c>
      <c r="BE38" s="75">
        <f t="shared" si="17"/>
        <v>215253.72</v>
      </c>
      <c r="BF38" s="75">
        <f t="shared" si="17"/>
        <v>217233.72</v>
      </c>
      <c r="BG38" s="75">
        <f t="shared" si="17"/>
        <v>219213.72</v>
      </c>
      <c r="BH38" s="75">
        <f t="shared" si="17"/>
        <v>221193.72</v>
      </c>
      <c r="BI38" s="75">
        <f t="shared" si="17"/>
        <v>223173.72</v>
      </c>
      <c r="BJ38" s="75">
        <f t="shared" si="17"/>
        <v>225153.72</v>
      </c>
      <c r="BK38" s="75">
        <f t="shared" si="17"/>
        <v>227133.72</v>
      </c>
    </row>
    <row r="39" spans="2:63" x14ac:dyDescent="0.25">
      <c r="B39" t="s">
        <v>108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</row>
    <row r="40" spans="2:63" x14ac:dyDescent="0.25">
      <c r="B40" t="s">
        <v>298</v>
      </c>
      <c r="C40" s="75">
        <f>+'INversion desarrollo interno'!C6</f>
        <v>19000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>
        <v>19000</v>
      </c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>
        <v>19000</v>
      </c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>
        <v>19000</v>
      </c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>
        <v>19000</v>
      </c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</row>
    <row r="41" spans="2:63" x14ac:dyDescent="0.25">
      <c r="B41" t="s">
        <v>333</v>
      </c>
      <c r="C41" s="75">
        <f>+'INversion desarrollo interno'!C8-'INversion desarrollo interno'!C6</f>
        <v>156030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>
        <v>0</v>
      </c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>
        <v>0</v>
      </c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>
        <v>0</v>
      </c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>
        <v>0</v>
      </c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</row>
    <row r="42" spans="2:63" x14ac:dyDescent="0.25">
      <c r="B42" t="s">
        <v>306</v>
      </c>
      <c r="C42" s="75"/>
      <c r="D42" s="75">
        <v>0</v>
      </c>
      <c r="E42" s="75">
        <f>+D42</f>
        <v>0</v>
      </c>
      <c r="F42" s="75">
        <f t="shared" ref="F42:AY42" si="18">+E42</f>
        <v>0</v>
      </c>
      <c r="G42" s="75">
        <f t="shared" si="18"/>
        <v>0</v>
      </c>
      <c r="H42" s="75">
        <f t="shared" si="18"/>
        <v>0</v>
      </c>
      <c r="I42" s="75">
        <f t="shared" si="18"/>
        <v>0</v>
      </c>
      <c r="J42" s="75">
        <f t="shared" si="18"/>
        <v>0</v>
      </c>
      <c r="K42" s="75">
        <f t="shared" si="18"/>
        <v>0</v>
      </c>
      <c r="L42" s="75">
        <f t="shared" si="18"/>
        <v>0</v>
      </c>
      <c r="M42" s="75">
        <f t="shared" si="18"/>
        <v>0</v>
      </c>
      <c r="N42" s="75">
        <f t="shared" si="18"/>
        <v>0</v>
      </c>
      <c r="O42" s="75">
        <f t="shared" si="18"/>
        <v>0</v>
      </c>
      <c r="P42" s="75">
        <f t="shared" si="18"/>
        <v>0</v>
      </c>
      <c r="Q42" s="75">
        <f t="shared" si="18"/>
        <v>0</v>
      </c>
      <c r="R42" s="75">
        <f t="shared" si="18"/>
        <v>0</v>
      </c>
      <c r="S42" s="75">
        <f t="shared" si="18"/>
        <v>0</v>
      </c>
      <c r="T42" s="75">
        <f t="shared" si="18"/>
        <v>0</v>
      </c>
      <c r="U42" s="75">
        <f t="shared" si="18"/>
        <v>0</v>
      </c>
      <c r="V42" s="75">
        <f t="shared" si="18"/>
        <v>0</v>
      </c>
      <c r="W42" s="75">
        <f t="shared" si="18"/>
        <v>0</v>
      </c>
      <c r="X42" s="75">
        <f t="shared" si="18"/>
        <v>0</v>
      </c>
      <c r="Y42" s="75">
        <f t="shared" si="18"/>
        <v>0</v>
      </c>
      <c r="Z42" s="75">
        <f t="shared" si="18"/>
        <v>0</v>
      </c>
      <c r="AA42" s="75">
        <f t="shared" si="18"/>
        <v>0</v>
      </c>
      <c r="AB42" s="75">
        <f t="shared" si="18"/>
        <v>0</v>
      </c>
      <c r="AC42" s="75">
        <f t="shared" si="18"/>
        <v>0</v>
      </c>
      <c r="AD42" s="75">
        <f t="shared" si="18"/>
        <v>0</v>
      </c>
      <c r="AE42" s="75">
        <f t="shared" si="18"/>
        <v>0</v>
      </c>
      <c r="AF42" s="75">
        <f t="shared" si="18"/>
        <v>0</v>
      </c>
      <c r="AG42" s="75">
        <f t="shared" si="18"/>
        <v>0</v>
      </c>
      <c r="AH42" s="75">
        <f t="shared" si="18"/>
        <v>0</v>
      </c>
      <c r="AI42" s="75">
        <f t="shared" si="18"/>
        <v>0</v>
      </c>
      <c r="AJ42" s="75">
        <f t="shared" si="18"/>
        <v>0</v>
      </c>
      <c r="AK42" s="75">
        <f t="shared" si="18"/>
        <v>0</v>
      </c>
      <c r="AL42" s="75">
        <f t="shared" si="18"/>
        <v>0</v>
      </c>
      <c r="AM42" s="75">
        <f t="shared" si="18"/>
        <v>0</v>
      </c>
      <c r="AN42" s="75">
        <f t="shared" si="18"/>
        <v>0</v>
      </c>
      <c r="AO42" s="75">
        <f t="shared" si="18"/>
        <v>0</v>
      </c>
      <c r="AP42" s="75">
        <f t="shared" si="18"/>
        <v>0</v>
      </c>
      <c r="AQ42" s="75">
        <f t="shared" si="18"/>
        <v>0</v>
      </c>
      <c r="AR42" s="75">
        <f t="shared" si="18"/>
        <v>0</v>
      </c>
      <c r="AS42" s="75">
        <f t="shared" si="18"/>
        <v>0</v>
      </c>
      <c r="AT42" s="75">
        <f t="shared" si="18"/>
        <v>0</v>
      </c>
      <c r="AU42" s="75">
        <f t="shared" si="18"/>
        <v>0</v>
      </c>
      <c r="AV42" s="75">
        <f>+AU42</f>
        <v>0</v>
      </c>
      <c r="AW42" s="75">
        <f t="shared" si="18"/>
        <v>0</v>
      </c>
      <c r="AX42" s="75">
        <f t="shared" si="18"/>
        <v>0</v>
      </c>
      <c r="AY42" s="75">
        <f t="shared" si="18"/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</row>
    <row r="43" spans="2:63" x14ac:dyDescent="0.25"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</row>
    <row r="44" spans="2:63" s="12" customFormat="1" x14ac:dyDescent="0.25">
      <c r="B44" s="12" t="s">
        <v>308</v>
      </c>
      <c r="C44" s="104">
        <f>+SUM(C38:C43)</f>
        <v>175030</v>
      </c>
      <c r="D44" s="104">
        <f>+SUM(D38:D43)</f>
        <v>188963.30000000002</v>
      </c>
      <c r="E44" s="104">
        <f t="shared" ref="E44:BK44" si="19">+SUM(E38:E43)</f>
        <v>185076.68</v>
      </c>
      <c r="F44" s="104">
        <f t="shared" si="19"/>
        <v>180933.38</v>
      </c>
      <c r="G44" s="104">
        <f t="shared" si="19"/>
        <v>176533.42</v>
      </c>
      <c r="H44" s="104">
        <f t="shared" si="19"/>
        <v>171876.78</v>
      </c>
      <c r="I44" s="104">
        <f t="shared" si="19"/>
        <v>166963.5</v>
      </c>
      <c r="J44" s="104">
        <f t="shared" si="19"/>
        <v>161793.51999999999</v>
      </c>
      <c r="K44" s="104">
        <f t="shared" si="19"/>
        <v>156366.9</v>
      </c>
      <c r="L44" s="104">
        <f t="shared" si="19"/>
        <v>150683.6</v>
      </c>
      <c r="M44" s="104">
        <f t="shared" si="19"/>
        <v>144743.64000000001</v>
      </c>
      <c r="N44" s="104">
        <f t="shared" si="19"/>
        <v>138547</v>
      </c>
      <c r="O44" s="104">
        <f t="shared" si="19"/>
        <v>151093.72</v>
      </c>
      <c r="P44" s="104">
        <f t="shared" si="19"/>
        <v>134073.72</v>
      </c>
      <c r="Q44" s="104">
        <f t="shared" si="19"/>
        <v>136053.72</v>
      </c>
      <c r="R44" s="104">
        <f t="shared" si="19"/>
        <v>138033.72</v>
      </c>
      <c r="S44" s="104">
        <f t="shared" si="19"/>
        <v>140013.72</v>
      </c>
      <c r="T44" s="104">
        <f t="shared" si="19"/>
        <v>141993.72</v>
      </c>
      <c r="U44" s="104">
        <f t="shared" si="19"/>
        <v>143973.72</v>
      </c>
      <c r="V44" s="104">
        <f t="shared" si="19"/>
        <v>145953.72</v>
      </c>
      <c r="W44" s="104">
        <f t="shared" si="19"/>
        <v>147933.72</v>
      </c>
      <c r="X44" s="104">
        <f t="shared" si="19"/>
        <v>149913.72</v>
      </c>
      <c r="Y44" s="104">
        <f t="shared" si="19"/>
        <v>151893.72</v>
      </c>
      <c r="Z44" s="104">
        <f t="shared" si="19"/>
        <v>153873.72</v>
      </c>
      <c r="AA44" s="104">
        <f t="shared" si="19"/>
        <v>174853.72</v>
      </c>
      <c r="AB44" s="104">
        <f t="shared" si="19"/>
        <v>157833.72</v>
      </c>
      <c r="AC44" s="104">
        <f t="shared" si="19"/>
        <v>159813.72</v>
      </c>
      <c r="AD44" s="104">
        <f t="shared" si="19"/>
        <v>161793.72</v>
      </c>
      <c r="AE44" s="104">
        <f t="shared" si="19"/>
        <v>163773.72</v>
      </c>
      <c r="AF44" s="104">
        <f t="shared" si="19"/>
        <v>165753.72</v>
      </c>
      <c r="AG44" s="104">
        <f t="shared" si="19"/>
        <v>167733.72</v>
      </c>
      <c r="AH44" s="104">
        <f t="shared" si="19"/>
        <v>169713.72</v>
      </c>
      <c r="AI44" s="104">
        <f t="shared" si="19"/>
        <v>171693.72</v>
      </c>
      <c r="AJ44" s="104">
        <f t="shared" si="19"/>
        <v>173673.72</v>
      </c>
      <c r="AK44" s="104">
        <f t="shared" si="19"/>
        <v>175653.72</v>
      </c>
      <c r="AL44" s="104">
        <f t="shared" si="19"/>
        <v>177633.72</v>
      </c>
      <c r="AM44" s="104">
        <f t="shared" si="19"/>
        <v>198613.72</v>
      </c>
      <c r="AN44" s="104">
        <f t="shared" si="19"/>
        <v>181593.72</v>
      </c>
      <c r="AO44" s="104">
        <f t="shared" si="19"/>
        <v>183573.72</v>
      </c>
      <c r="AP44" s="104">
        <f t="shared" si="19"/>
        <v>185553.72</v>
      </c>
      <c r="AQ44" s="104">
        <f t="shared" si="19"/>
        <v>187533.72</v>
      </c>
      <c r="AR44" s="104">
        <f t="shared" si="19"/>
        <v>189513.72</v>
      </c>
      <c r="AS44" s="104">
        <f t="shared" si="19"/>
        <v>191493.72</v>
      </c>
      <c r="AT44" s="104">
        <f t="shared" si="19"/>
        <v>193473.72</v>
      </c>
      <c r="AU44" s="104">
        <f t="shared" si="19"/>
        <v>195453.72</v>
      </c>
      <c r="AV44" s="104">
        <f t="shared" si="19"/>
        <v>197433.72</v>
      </c>
      <c r="AW44" s="104">
        <f t="shared" si="19"/>
        <v>199413.72</v>
      </c>
      <c r="AX44" s="104">
        <f t="shared" si="19"/>
        <v>201393.72</v>
      </c>
      <c r="AY44" s="104">
        <f t="shared" si="19"/>
        <v>222373.72</v>
      </c>
      <c r="AZ44" s="104">
        <f t="shared" si="19"/>
        <v>205353.72</v>
      </c>
      <c r="BA44" s="104">
        <f t="shared" si="19"/>
        <v>207333.72</v>
      </c>
      <c r="BB44" s="104">
        <f t="shared" si="19"/>
        <v>209313.72</v>
      </c>
      <c r="BC44" s="104">
        <f t="shared" si="19"/>
        <v>211293.72</v>
      </c>
      <c r="BD44" s="104">
        <f t="shared" si="19"/>
        <v>213273.72</v>
      </c>
      <c r="BE44" s="104">
        <f t="shared" si="19"/>
        <v>215253.72</v>
      </c>
      <c r="BF44" s="104">
        <f t="shared" si="19"/>
        <v>217233.72</v>
      </c>
      <c r="BG44" s="104">
        <f t="shared" si="19"/>
        <v>219213.72</v>
      </c>
      <c r="BH44" s="104">
        <f t="shared" si="19"/>
        <v>221193.72</v>
      </c>
      <c r="BI44" s="104">
        <f t="shared" si="19"/>
        <v>223173.72</v>
      </c>
      <c r="BJ44" s="104">
        <f t="shared" si="19"/>
        <v>225153.72</v>
      </c>
      <c r="BK44" s="104">
        <f t="shared" si="19"/>
        <v>227133.72</v>
      </c>
    </row>
    <row r="45" spans="2:63" x14ac:dyDescent="0.25"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</row>
    <row r="46" spans="2:63" x14ac:dyDescent="0.25">
      <c r="B46" t="s">
        <v>310</v>
      </c>
      <c r="C46" s="75"/>
      <c r="D46" s="75">
        <f>+D33-D44</f>
        <v>-25303.425000000017</v>
      </c>
      <c r="E46" s="75">
        <f t="shared" ref="E46:BK46" si="20">+E33-E44</f>
        <v>-18479.304999999993</v>
      </c>
      <c r="F46" s="75">
        <f t="shared" si="20"/>
        <v>-11398.505000000005</v>
      </c>
      <c r="G46" s="75">
        <f t="shared" si="20"/>
        <v>-4061.0450000000128</v>
      </c>
      <c r="H46" s="75">
        <f t="shared" si="20"/>
        <v>3533.0950000000012</v>
      </c>
      <c r="I46" s="75">
        <f t="shared" si="20"/>
        <v>11383.875</v>
      </c>
      <c r="J46" s="75">
        <f t="shared" si="20"/>
        <v>19491.35500000001</v>
      </c>
      <c r="K46" s="75">
        <f t="shared" si="20"/>
        <v>27855.475000000006</v>
      </c>
      <c r="L46" s="75">
        <f t="shared" si="20"/>
        <v>36476.274999999994</v>
      </c>
      <c r="M46" s="75">
        <f t="shared" si="20"/>
        <v>45353.734999999986</v>
      </c>
      <c r="N46" s="75">
        <f t="shared" si="20"/>
        <v>54487.875</v>
      </c>
      <c r="O46" s="75">
        <f t="shared" si="20"/>
        <v>44878.654999999999</v>
      </c>
      <c r="P46" s="75">
        <f t="shared" si="20"/>
        <v>64836.154999999999</v>
      </c>
      <c r="Q46" s="75">
        <f t="shared" si="20"/>
        <v>65793.654999999999</v>
      </c>
      <c r="R46" s="75">
        <f t="shared" si="20"/>
        <v>66751.154999999999</v>
      </c>
      <c r="S46" s="75">
        <f t="shared" si="20"/>
        <v>67708.654999999999</v>
      </c>
      <c r="T46" s="75">
        <f t="shared" si="20"/>
        <v>68666.154999999999</v>
      </c>
      <c r="U46" s="75">
        <f t="shared" si="20"/>
        <v>69623.654999999999</v>
      </c>
      <c r="V46" s="75">
        <f t="shared" si="20"/>
        <v>70581.154999999999</v>
      </c>
      <c r="W46" s="75">
        <f t="shared" si="20"/>
        <v>71538.654999999999</v>
      </c>
      <c r="X46" s="75">
        <f t="shared" si="20"/>
        <v>72496.154999999999</v>
      </c>
      <c r="Y46" s="75">
        <f t="shared" si="20"/>
        <v>73453.654999999999</v>
      </c>
      <c r="Z46" s="75">
        <f t="shared" si="20"/>
        <v>74411.154999999999</v>
      </c>
      <c r="AA46" s="75">
        <f t="shared" si="20"/>
        <v>56368.654999999999</v>
      </c>
      <c r="AB46" s="75">
        <f t="shared" si="20"/>
        <v>76326.154999999999</v>
      </c>
      <c r="AC46" s="75">
        <f t="shared" si="20"/>
        <v>77283.654999999999</v>
      </c>
      <c r="AD46" s="75">
        <f t="shared" si="20"/>
        <v>78241.154999999999</v>
      </c>
      <c r="AE46" s="75">
        <f t="shared" si="20"/>
        <v>79198.654999999999</v>
      </c>
      <c r="AF46" s="75">
        <f t="shared" si="20"/>
        <v>80156.154999999999</v>
      </c>
      <c r="AG46" s="75">
        <f t="shared" si="20"/>
        <v>81113.654999999999</v>
      </c>
      <c r="AH46" s="75">
        <f t="shared" si="20"/>
        <v>82071.154999999999</v>
      </c>
      <c r="AI46" s="75">
        <f t="shared" si="20"/>
        <v>83028.654999999999</v>
      </c>
      <c r="AJ46" s="75">
        <f t="shared" si="20"/>
        <v>83986.15499999997</v>
      </c>
      <c r="AK46" s="75">
        <f t="shared" si="20"/>
        <v>84943.65499999997</v>
      </c>
      <c r="AL46" s="75">
        <f t="shared" si="20"/>
        <v>85901.154999999999</v>
      </c>
      <c r="AM46" s="75">
        <f t="shared" si="20"/>
        <v>67858.654999999999</v>
      </c>
      <c r="AN46" s="75">
        <f t="shared" si="20"/>
        <v>87816.154999999999</v>
      </c>
      <c r="AO46" s="75">
        <f t="shared" si="20"/>
        <v>88773.654999999999</v>
      </c>
      <c r="AP46" s="75">
        <f t="shared" si="20"/>
        <v>89731.154999999999</v>
      </c>
      <c r="AQ46" s="75">
        <f t="shared" si="20"/>
        <v>90688.654999999999</v>
      </c>
      <c r="AR46" s="75">
        <f t="shared" si="20"/>
        <v>91646.154999999999</v>
      </c>
      <c r="AS46" s="75">
        <f t="shared" si="20"/>
        <v>92603.654999999999</v>
      </c>
      <c r="AT46" s="75">
        <f t="shared" si="20"/>
        <v>93561.154999999999</v>
      </c>
      <c r="AU46" s="75">
        <f t="shared" si="20"/>
        <v>94518.654999999999</v>
      </c>
      <c r="AV46" s="75">
        <f t="shared" si="20"/>
        <v>95476.154999999999</v>
      </c>
      <c r="AW46" s="75">
        <f t="shared" si="20"/>
        <v>96433.654999999999</v>
      </c>
      <c r="AX46" s="75">
        <f t="shared" si="20"/>
        <v>97391.154999999999</v>
      </c>
      <c r="AY46" s="75">
        <f t="shared" si="20"/>
        <v>79348.654999999999</v>
      </c>
      <c r="AZ46" s="75">
        <f t="shared" si="20"/>
        <v>99306.154999999999</v>
      </c>
      <c r="BA46" s="75">
        <f t="shared" si="20"/>
        <v>100263.655</v>
      </c>
      <c r="BB46" s="75">
        <f t="shared" si="20"/>
        <v>101221.155</v>
      </c>
      <c r="BC46" s="75">
        <f t="shared" si="20"/>
        <v>102178.655</v>
      </c>
      <c r="BD46" s="75">
        <f t="shared" si="20"/>
        <v>103136.155</v>
      </c>
      <c r="BE46" s="75">
        <f t="shared" si="20"/>
        <v>104093.655</v>
      </c>
      <c r="BF46" s="75">
        <f t="shared" si="20"/>
        <v>105051.155</v>
      </c>
      <c r="BG46" s="75">
        <f t="shared" si="20"/>
        <v>106008.655</v>
      </c>
      <c r="BH46" s="75">
        <f t="shared" si="20"/>
        <v>106966.155</v>
      </c>
      <c r="BI46" s="75">
        <f t="shared" si="20"/>
        <v>107923.655</v>
      </c>
      <c r="BJ46" s="75">
        <f t="shared" si="20"/>
        <v>108881.155</v>
      </c>
      <c r="BK46" s="75">
        <f t="shared" si="20"/>
        <v>109838.655</v>
      </c>
    </row>
    <row r="47" spans="2:63" x14ac:dyDescent="0.25">
      <c r="B47" t="s">
        <v>57</v>
      </c>
      <c r="C47" s="75">
        <f>-C44</f>
        <v>-175030</v>
      </c>
      <c r="D47" s="75">
        <f>+D46+D42</f>
        <v>-25303.425000000017</v>
      </c>
      <c r="E47" s="75">
        <f t="shared" ref="E47:BK47" si="21">+E46+E42</f>
        <v>-18479.304999999993</v>
      </c>
      <c r="F47" s="75">
        <f t="shared" si="21"/>
        <v>-11398.505000000005</v>
      </c>
      <c r="G47" s="75">
        <f t="shared" si="21"/>
        <v>-4061.0450000000128</v>
      </c>
      <c r="H47" s="75">
        <f t="shared" si="21"/>
        <v>3533.0950000000012</v>
      </c>
      <c r="I47" s="75">
        <f t="shared" si="21"/>
        <v>11383.875</v>
      </c>
      <c r="J47" s="75">
        <f t="shared" si="21"/>
        <v>19491.35500000001</v>
      </c>
      <c r="K47" s="75">
        <f t="shared" si="21"/>
        <v>27855.475000000006</v>
      </c>
      <c r="L47" s="75">
        <f t="shared" si="21"/>
        <v>36476.274999999994</v>
      </c>
      <c r="M47" s="75">
        <f t="shared" si="21"/>
        <v>45353.734999999986</v>
      </c>
      <c r="N47" s="75">
        <f t="shared" si="21"/>
        <v>54487.875</v>
      </c>
      <c r="O47" s="75">
        <f t="shared" si="21"/>
        <v>44878.654999999999</v>
      </c>
      <c r="P47" s="75">
        <f t="shared" si="21"/>
        <v>64836.154999999999</v>
      </c>
      <c r="Q47" s="75">
        <f t="shared" si="21"/>
        <v>65793.654999999999</v>
      </c>
      <c r="R47" s="75">
        <f t="shared" si="21"/>
        <v>66751.154999999999</v>
      </c>
      <c r="S47" s="75">
        <f t="shared" si="21"/>
        <v>67708.654999999999</v>
      </c>
      <c r="T47" s="75">
        <f t="shared" si="21"/>
        <v>68666.154999999999</v>
      </c>
      <c r="U47" s="75">
        <f t="shared" si="21"/>
        <v>69623.654999999999</v>
      </c>
      <c r="V47" s="75">
        <f t="shared" si="21"/>
        <v>70581.154999999999</v>
      </c>
      <c r="W47" s="75">
        <f t="shared" si="21"/>
        <v>71538.654999999999</v>
      </c>
      <c r="X47" s="75">
        <f t="shared" si="21"/>
        <v>72496.154999999999</v>
      </c>
      <c r="Y47" s="75">
        <f t="shared" si="21"/>
        <v>73453.654999999999</v>
      </c>
      <c r="Z47" s="75">
        <f t="shared" si="21"/>
        <v>74411.154999999999</v>
      </c>
      <c r="AA47" s="75">
        <f t="shared" si="21"/>
        <v>56368.654999999999</v>
      </c>
      <c r="AB47" s="75">
        <f t="shared" si="21"/>
        <v>76326.154999999999</v>
      </c>
      <c r="AC47" s="75">
        <f t="shared" si="21"/>
        <v>77283.654999999999</v>
      </c>
      <c r="AD47" s="75">
        <f t="shared" si="21"/>
        <v>78241.154999999999</v>
      </c>
      <c r="AE47" s="75">
        <f t="shared" si="21"/>
        <v>79198.654999999999</v>
      </c>
      <c r="AF47" s="75">
        <f t="shared" si="21"/>
        <v>80156.154999999999</v>
      </c>
      <c r="AG47" s="75">
        <f t="shared" si="21"/>
        <v>81113.654999999999</v>
      </c>
      <c r="AH47" s="75">
        <f t="shared" si="21"/>
        <v>82071.154999999999</v>
      </c>
      <c r="AI47" s="75">
        <f t="shared" si="21"/>
        <v>83028.654999999999</v>
      </c>
      <c r="AJ47" s="75">
        <f t="shared" si="21"/>
        <v>83986.15499999997</v>
      </c>
      <c r="AK47" s="75">
        <f t="shared" si="21"/>
        <v>84943.65499999997</v>
      </c>
      <c r="AL47" s="75">
        <f t="shared" si="21"/>
        <v>85901.154999999999</v>
      </c>
      <c r="AM47" s="75">
        <f t="shared" si="21"/>
        <v>67858.654999999999</v>
      </c>
      <c r="AN47" s="75">
        <f t="shared" si="21"/>
        <v>87816.154999999999</v>
      </c>
      <c r="AO47" s="75">
        <f t="shared" si="21"/>
        <v>88773.654999999999</v>
      </c>
      <c r="AP47" s="75">
        <f t="shared" si="21"/>
        <v>89731.154999999999</v>
      </c>
      <c r="AQ47" s="75">
        <f t="shared" si="21"/>
        <v>90688.654999999999</v>
      </c>
      <c r="AR47" s="75">
        <f t="shared" si="21"/>
        <v>91646.154999999999</v>
      </c>
      <c r="AS47" s="75">
        <f t="shared" si="21"/>
        <v>92603.654999999999</v>
      </c>
      <c r="AT47" s="75">
        <f t="shared" si="21"/>
        <v>93561.154999999999</v>
      </c>
      <c r="AU47" s="75">
        <f t="shared" si="21"/>
        <v>94518.654999999999</v>
      </c>
      <c r="AV47" s="75">
        <f t="shared" si="21"/>
        <v>95476.154999999999</v>
      </c>
      <c r="AW47" s="75">
        <f t="shared" si="21"/>
        <v>96433.654999999999</v>
      </c>
      <c r="AX47" s="75">
        <f t="shared" si="21"/>
        <v>97391.154999999999</v>
      </c>
      <c r="AY47" s="75">
        <f t="shared" si="21"/>
        <v>79348.654999999999</v>
      </c>
      <c r="AZ47" s="75">
        <f t="shared" si="21"/>
        <v>99306.154999999999</v>
      </c>
      <c r="BA47" s="75">
        <f t="shared" si="21"/>
        <v>100263.655</v>
      </c>
      <c r="BB47" s="75">
        <f t="shared" si="21"/>
        <v>101221.155</v>
      </c>
      <c r="BC47" s="75">
        <f t="shared" si="21"/>
        <v>102178.655</v>
      </c>
      <c r="BD47" s="75">
        <f t="shared" si="21"/>
        <v>103136.155</v>
      </c>
      <c r="BE47" s="75">
        <f t="shared" si="21"/>
        <v>104093.655</v>
      </c>
      <c r="BF47" s="75">
        <f t="shared" si="21"/>
        <v>105051.155</v>
      </c>
      <c r="BG47" s="75">
        <f t="shared" si="21"/>
        <v>106008.655</v>
      </c>
      <c r="BH47" s="75">
        <f t="shared" si="21"/>
        <v>106966.155</v>
      </c>
      <c r="BI47" s="75">
        <f t="shared" si="21"/>
        <v>107923.655</v>
      </c>
      <c r="BJ47" s="75">
        <f t="shared" si="21"/>
        <v>108881.155</v>
      </c>
      <c r="BK47" s="75">
        <f t="shared" si="21"/>
        <v>109838.655</v>
      </c>
    </row>
    <row r="48" spans="2:63" x14ac:dyDescent="0.25">
      <c r="B48" t="s">
        <v>311</v>
      </c>
      <c r="C48" s="75">
        <f>+C47</f>
        <v>-175030</v>
      </c>
      <c r="D48" s="75">
        <f>+C48+D47</f>
        <v>-200333.42500000002</v>
      </c>
      <c r="E48" s="75">
        <f t="shared" ref="E48:BK48" si="22">+D48+E47</f>
        <v>-218812.73</v>
      </c>
      <c r="F48" s="75">
        <f t="shared" si="22"/>
        <v>-230211.23500000002</v>
      </c>
      <c r="G48" s="75">
        <f t="shared" si="22"/>
        <v>-234272.28000000003</v>
      </c>
      <c r="H48" s="75">
        <f t="shared" si="22"/>
        <v>-230739.18500000003</v>
      </c>
      <c r="I48" s="75">
        <f t="shared" si="22"/>
        <v>-219355.31000000003</v>
      </c>
      <c r="J48" s="75">
        <f t="shared" si="22"/>
        <v>-199863.95500000002</v>
      </c>
      <c r="K48" s="75">
        <f t="shared" si="22"/>
        <v>-172008.48</v>
      </c>
      <c r="L48" s="75">
        <f t="shared" si="22"/>
        <v>-135532.20500000002</v>
      </c>
      <c r="M48" s="75">
        <f t="shared" si="22"/>
        <v>-90178.47000000003</v>
      </c>
      <c r="N48" s="75">
        <f t="shared" si="22"/>
        <v>-35690.59500000003</v>
      </c>
      <c r="O48" s="75">
        <f t="shared" si="22"/>
        <v>9188.0599999999686</v>
      </c>
      <c r="P48" s="75">
        <f t="shared" si="22"/>
        <v>74024.214999999967</v>
      </c>
      <c r="Q48" s="75">
        <f t="shared" si="22"/>
        <v>139817.86999999997</v>
      </c>
      <c r="R48" s="75">
        <f t="shared" si="22"/>
        <v>206569.02499999997</v>
      </c>
      <c r="S48" s="75">
        <f t="shared" si="22"/>
        <v>274277.67999999993</v>
      </c>
      <c r="T48" s="75">
        <f t="shared" si="22"/>
        <v>342943.83499999996</v>
      </c>
      <c r="U48" s="75">
        <f t="shared" si="22"/>
        <v>412567.49</v>
      </c>
      <c r="V48" s="75">
        <f t="shared" si="22"/>
        <v>483148.64500000002</v>
      </c>
      <c r="W48" s="75">
        <f t="shared" si="22"/>
        <v>554687.30000000005</v>
      </c>
      <c r="X48" s="75">
        <f t="shared" si="22"/>
        <v>627183.45500000007</v>
      </c>
      <c r="Y48" s="75">
        <f t="shared" si="22"/>
        <v>700637.1100000001</v>
      </c>
      <c r="Z48" s="75">
        <f t="shared" si="22"/>
        <v>775048.26500000013</v>
      </c>
      <c r="AA48" s="75">
        <f t="shared" si="22"/>
        <v>831416.92000000016</v>
      </c>
      <c r="AB48" s="75">
        <f t="shared" si="22"/>
        <v>907743.07500000019</v>
      </c>
      <c r="AC48" s="75">
        <f t="shared" si="22"/>
        <v>985026.73000000021</v>
      </c>
      <c r="AD48" s="75">
        <f t="shared" si="22"/>
        <v>1063267.8850000002</v>
      </c>
      <c r="AE48" s="75">
        <f t="shared" si="22"/>
        <v>1142466.5400000003</v>
      </c>
      <c r="AF48" s="75">
        <f t="shared" si="22"/>
        <v>1222622.6950000003</v>
      </c>
      <c r="AG48" s="75">
        <f t="shared" si="22"/>
        <v>1303736.3500000003</v>
      </c>
      <c r="AH48" s="75">
        <f t="shared" si="22"/>
        <v>1385807.5050000004</v>
      </c>
      <c r="AI48" s="75">
        <f t="shared" si="22"/>
        <v>1468836.1600000004</v>
      </c>
      <c r="AJ48" s="75">
        <f t="shared" si="22"/>
        <v>1552822.3150000004</v>
      </c>
      <c r="AK48" s="75">
        <f t="shared" si="22"/>
        <v>1637765.9700000004</v>
      </c>
      <c r="AL48" s="75">
        <f t="shared" si="22"/>
        <v>1723667.1250000005</v>
      </c>
      <c r="AM48" s="75">
        <f t="shared" si="22"/>
        <v>1791525.7800000005</v>
      </c>
      <c r="AN48" s="75">
        <f t="shared" si="22"/>
        <v>1879341.9350000005</v>
      </c>
      <c r="AO48" s="75">
        <f t="shared" si="22"/>
        <v>1968115.5900000005</v>
      </c>
      <c r="AP48" s="75">
        <f t="shared" si="22"/>
        <v>2057846.7450000006</v>
      </c>
      <c r="AQ48" s="75">
        <f t="shared" si="22"/>
        <v>2148535.4000000004</v>
      </c>
      <c r="AR48" s="75">
        <f t="shared" si="22"/>
        <v>2240181.5550000002</v>
      </c>
      <c r="AS48" s="75">
        <f t="shared" si="22"/>
        <v>2332785.21</v>
      </c>
      <c r="AT48" s="75">
        <f t="shared" si="22"/>
        <v>2426346.3649999998</v>
      </c>
      <c r="AU48" s="75">
        <f t="shared" si="22"/>
        <v>2520865.0199999996</v>
      </c>
      <c r="AV48" s="75">
        <f t="shared" si="22"/>
        <v>2616341.1749999993</v>
      </c>
      <c r="AW48" s="75">
        <f t="shared" si="22"/>
        <v>2712774.8299999991</v>
      </c>
      <c r="AX48" s="75">
        <f t="shared" si="22"/>
        <v>2810165.9849999989</v>
      </c>
      <c r="AY48" s="75">
        <f t="shared" si="22"/>
        <v>2889514.6399999987</v>
      </c>
      <c r="AZ48" s="75">
        <f t="shared" si="22"/>
        <v>2988820.7949999985</v>
      </c>
      <c r="BA48" s="75">
        <f t="shared" si="22"/>
        <v>3089084.4499999983</v>
      </c>
      <c r="BB48" s="75">
        <f t="shared" si="22"/>
        <v>3190305.6049999981</v>
      </c>
      <c r="BC48" s="75">
        <f t="shared" si="22"/>
        <v>3292484.2599999979</v>
      </c>
      <c r="BD48" s="75">
        <f t="shared" si="22"/>
        <v>3395620.4149999977</v>
      </c>
      <c r="BE48" s="75">
        <f t="shared" si="22"/>
        <v>3499714.0699999975</v>
      </c>
      <c r="BF48" s="75">
        <f t="shared" si="22"/>
        <v>3604765.2249999973</v>
      </c>
      <c r="BG48" s="75">
        <f t="shared" si="22"/>
        <v>3710773.8799999971</v>
      </c>
      <c r="BH48" s="75">
        <f t="shared" si="22"/>
        <v>3817740.0349999969</v>
      </c>
      <c r="BI48" s="75">
        <f t="shared" si="22"/>
        <v>3925663.6899999967</v>
      </c>
      <c r="BJ48" s="75">
        <f t="shared" si="22"/>
        <v>4034544.8449999965</v>
      </c>
      <c r="BK48" s="75">
        <f t="shared" si="22"/>
        <v>4144383.4999999963</v>
      </c>
    </row>
    <row r="49" spans="2:63" x14ac:dyDescent="0.25"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</row>
    <row r="50" spans="2:63" x14ac:dyDescent="0.25">
      <c r="B50" t="s">
        <v>63</v>
      </c>
      <c r="C50" s="19">
        <f>+IRR(C47:BK47)*12</f>
        <v>1.4839531976272617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</row>
    <row r="51" spans="2:63" x14ac:dyDescent="0.25">
      <c r="B51" t="s">
        <v>312</v>
      </c>
      <c r="C51" s="75">
        <f>+NPV(C52/12,D47:BK47)+C47</f>
        <v>2219167.8586867829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</row>
    <row r="52" spans="2:63" x14ac:dyDescent="0.25">
      <c r="B52" t="s">
        <v>313</v>
      </c>
      <c r="C52" s="19">
        <v>0.19950000000000001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</row>
    <row r="53" spans="2:63" x14ac:dyDescent="0.25">
      <c r="B53" t="s">
        <v>314</v>
      </c>
      <c r="C53" s="105">
        <f>+BK57</f>
        <v>7373642.7999999933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</row>
    <row r="54" spans="2:63" x14ac:dyDescent="0.25"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</row>
    <row r="55" spans="2:63" x14ac:dyDescent="0.25"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</row>
    <row r="56" spans="2:63" x14ac:dyDescent="0.25">
      <c r="B56" t="s">
        <v>239</v>
      </c>
      <c r="C56" s="75"/>
      <c r="D56" s="75">
        <f>+D37-D38</f>
        <v>7149.9799999999814</v>
      </c>
      <c r="E56" s="75">
        <f t="shared" ref="E56:BK56" si="23">+E37-E38</f>
        <v>14556.600000000006</v>
      </c>
      <c r="F56" s="75">
        <f t="shared" si="23"/>
        <v>22219.899999999994</v>
      </c>
      <c r="G56" s="75">
        <f t="shared" si="23"/>
        <v>30139.859999999986</v>
      </c>
      <c r="H56" s="75">
        <f t="shared" si="23"/>
        <v>38316.5</v>
      </c>
      <c r="I56" s="75">
        <f t="shared" si="23"/>
        <v>46749.78</v>
      </c>
      <c r="J56" s="75">
        <f t="shared" si="23"/>
        <v>55439.760000000009</v>
      </c>
      <c r="K56" s="75">
        <f t="shared" si="23"/>
        <v>64386.380000000005</v>
      </c>
      <c r="L56" s="75">
        <f t="shared" si="23"/>
        <v>73589.679999999993</v>
      </c>
      <c r="M56" s="75">
        <f t="shared" si="23"/>
        <v>83049.639999999985</v>
      </c>
      <c r="N56" s="75">
        <f t="shared" si="23"/>
        <v>92766.28</v>
      </c>
      <c r="O56" s="75">
        <f t="shared" si="23"/>
        <v>102739.56</v>
      </c>
      <c r="P56" s="75">
        <f t="shared" si="23"/>
        <v>104279.56</v>
      </c>
      <c r="Q56" s="75">
        <f t="shared" si="23"/>
        <v>105819.56</v>
      </c>
      <c r="R56" s="75">
        <f t="shared" si="23"/>
        <v>107359.56</v>
      </c>
      <c r="S56" s="75">
        <f t="shared" si="23"/>
        <v>108899.56</v>
      </c>
      <c r="T56" s="75">
        <f t="shared" si="23"/>
        <v>110439.56</v>
      </c>
      <c r="U56" s="75">
        <f t="shared" si="23"/>
        <v>111979.56</v>
      </c>
      <c r="V56" s="75">
        <f t="shared" si="23"/>
        <v>113519.56</v>
      </c>
      <c r="W56" s="75">
        <f t="shared" si="23"/>
        <v>115059.56000000003</v>
      </c>
      <c r="X56" s="75">
        <f t="shared" si="23"/>
        <v>116599.56000000003</v>
      </c>
      <c r="Y56" s="75">
        <f t="shared" si="23"/>
        <v>118139.56000000003</v>
      </c>
      <c r="Z56" s="75">
        <f t="shared" si="23"/>
        <v>119679.56000000003</v>
      </c>
      <c r="AA56" s="75">
        <f t="shared" si="23"/>
        <v>121219.56000000003</v>
      </c>
      <c r="AB56" s="75">
        <f t="shared" si="23"/>
        <v>122759.56000000003</v>
      </c>
      <c r="AC56" s="75">
        <f t="shared" si="23"/>
        <v>124299.56000000003</v>
      </c>
      <c r="AD56" s="75">
        <f t="shared" si="23"/>
        <v>125839.56000000003</v>
      </c>
      <c r="AE56" s="75">
        <f t="shared" si="23"/>
        <v>127379.56000000003</v>
      </c>
      <c r="AF56" s="75">
        <f t="shared" si="23"/>
        <v>128919.56000000003</v>
      </c>
      <c r="AG56" s="75">
        <f t="shared" si="23"/>
        <v>130459.56000000003</v>
      </c>
      <c r="AH56" s="75">
        <f t="shared" si="23"/>
        <v>131999.56000000003</v>
      </c>
      <c r="AI56" s="75">
        <f t="shared" si="23"/>
        <v>133539.56000000003</v>
      </c>
      <c r="AJ56" s="75">
        <f t="shared" si="23"/>
        <v>135079.56000000003</v>
      </c>
      <c r="AK56" s="75">
        <f t="shared" si="23"/>
        <v>136619.56000000003</v>
      </c>
      <c r="AL56" s="75">
        <f t="shared" si="23"/>
        <v>138159.56000000003</v>
      </c>
      <c r="AM56" s="75">
        <f t="shared" si="23"/>
        <v>139699.56000000003</v>
      </c>
      <c r="AN56" s="75">
        <f t="shared" si="23"/>
        <v>141239.56000000003</v>
      </c>
      <c r="AO56" s="75">
        <f t="shared" si="23"/>
        <v>142779.56000000003</v>
      </c>
      <c r="AP56" s="75">
        <f t="shared" si="23"/>
        <v>144319.56000000003</v>
      </c>
      <c r="AQ56" s="75">
        <f t="shared" si="23"/>
        <v>145859.56000000003</v>
      </c>
      <c r="AR56" s="75">
        <f t="shared" si="23"/>
        <v>147399.56000000003</v>
      </c>
      <c r="AS56" s="75">
        <f t="shared" si="23"/>
        <v>148939.56000000003</v>
      </c>
      <c r="AT56" s="75">
        <f t="shared" si="23"/>
        <v>150479.56000000003</v>
      </c>
      <c r="AU56" s="75">
        <f t="shared" si="23"/>
        <v>152019.56000000003</v>
      </c>
      <c r="AV56" s="75">
        <f t="shared" si="23"/>
        <v>153559.56000000003</v>
      </c>
      <c r="AW56" s="75">
        <f t="shared" si="23"/>
        <v>155099.56000000003</v>
      </c>
      <c r="AX56" s="75">
        <f t="shared" si="23"/>
        <v>156639.56000000003</v>
      </c>
      <c r="AY56" s="75">
        <f t="shared" si="23"/>
        <v>158179.56000000003</v>
      </c>
      <c r="AZ56" s="75">
        <f t="shared" si="23"/>
        <v>159719.56000000003</v>
      </c>
      <c r="BA56" s="75">
        <f t="shared" si="23"/>
        <v>161259.56000000003</v>
      </c>
      <c r="BB56" s="75">
        <f t="shared" si="23"/>
        <v>162799.56000000003</v>
      </c>
      <c r="BC56" s="75">
        <f t="shared" si="23"/>
        <v>164339.56000000003</v>
      </c>
      <c r="BD56" s="75">
        <f t="shared" si="23"/>
        <v>165879.56000000003</v>
      </c>
      <c r="BE56" s="75">
        <f t="shared" si="23"/>
        <v>167419.56000000003</v>
      </c>
      <c r="BF56" s="75">
        <f t="shared" si="23"/>
        <v>168959.56000000003</v>
      </c>
      <c r="BG56" s="75">
        <f t="shared" si="23"/>
        <v>170499.56000000003</v>
      </c>
      <c r="BH56" s="75">
        <f t="shared" si="23"/>
        <v>172039.56000000003</v>
      </c>
      <c r="BI56" s="75">
        <f t="shared" si="23"/>
        <v>173579.56000000003</v>
      </c>
      <c r="BJ56" s="75">
        <f t="shared" si="23"/>
        <v>175119.56000000003</v>
      </c>
      <c r="BK56" s="75">
        <f t="shared" si="23"/>
        <v>176659.56000000003</v>
      </c>
    </row>
    <row r="57" spans="2:63" x14ac:dyDescent="0.25">
      <c r="B57" t="s">
        <v>240</v>
      </c>
      <c r="C57" s="75"/>
      <c r="D57" s="75">
        <f>+D56</f>
        <v>7149.9799999999814</v>
      </c>
      <c r="E57" s="75">
        <f>+D57+E56</f>
        <v>21706.579999999987</v>
      </c>
      <c r="F57" s="75">
        <f t="shared" ref="F57:BK57" si="24">+E57+F56</f>
        <v>43926.479999999981</v>
      </c>
      <c r="G57" s="75">
        <f t="shared" si="24"/>
        <v>74066.339999999967</v>
      </c>
      <c r="H57" s="75">
        <f t="shared" si="24"/>
        <v>112382.83999999997</v>
      </c>
      <c r="I57" s="75">
        <f t="shared" si="24"/>
        <v>159132.61999999997</v>
      </c>
      <c r="J57" s="75">
        <f t="shared" si="24"/>
        <v>214572.37999999998</v>
      </c>
      <c r="K57" s="75">
        <f t="shared" si="24"/>
        <v>278958.76</v>
      </c>
      <c r="L57" s="75">
        <f t="shared" si="24"/>
        <v>352548.44</v>
      </c>
      <c r="M57" s="75">
        <f t="shared" si="24"/>
        <v>435598.07999999996</v>
      </c>
      <c r="N57" s="75">
        <f t="shared" si="24"/>
        <v>528364.36</v>
      </c>
      <c r="O57" s="75">
        <f t="shared" si="24"/>
        <v>631103.91999999993</v>
      </c>
      <c r="P57" s="75">
        <f t="shared" si="24"/>
        <v>735383.48</v>
      </c>
      <c r="Q57" s="75">
        <f t="shared" si="24"/>
        <v>841203.04</v>
      </c>
      <c r="R57" s="75">
        <f t="shared" si="24"/>
        <v>948562.60000000009</v>
      </c>
      <c r="S57" s="75">
        <f t="shared" si="24"/>
        <v>1057462.1600000001</v>
      </c>
      <c r="T57" s="75">
        <f t="shared" si="24"/>
        <v>1167901.7200000002</v>
      </c>
      <c r="U57" s="75">
        <f t="shared" si="24"/>
        <v>1279881.2800000003</v>
      </c>
      <c r="V57" s="75">
        <f t="shared" si="24"/>
        <v>1393400.8400000003</v>
      </c>
      <c r="W57" s="75">
        <f t="shared" si="24"/>
        <v>1508460.4000000004</v>
      </c>
      <c r="X57" s="75">
        <f t="shared" si="24"/>
        <v>1625059.9600000004</v>
      </c>
      <c r="Y57" s="75">
        <f t="shared" si="24"/>
        <v>1743199.5200000005</v>
      </c>
      <c r="Z57" s="75">
        <f t="shared" si="24"/>
        <v>1862879.0800000005</v>
      </c>
      <c r="AA57" s="75">
        <f t="shared" si="24"/>
        <v>1984098.6400000006</v>
      </c>
      <c r="AB57" s="75">
        <f t="shared" si="24"/>
        <v>2106858.2000000007</v>
      </c>
      <c r="AC57" s="75">
        <f t="shared" si="24"/>
        <v>2231157.7600000007</v>
      </c>
      <c r="AD57" s="75">
        <f t="shared" si="24"/>
        <v>2356997.3200000008</v>
      </c>
      <c r="AE57" s="75">
        <f t="shared" si="24"/>
        <v>2484376.8800000008</v>
      </c>
      <c r="AF57" s="75">
        <f t="shared" si="24"/>
        <v>2613296.4400000009</v>
      </c>
      <c r="AG57" s="75">
        <f t="shared" si="24"/>
        <v>2743756.0000000009</v>
      </c>
      <c r="AH57" s="75">
        <f t="shared" si="24"/>
        <v>2875755.560000001</v>
      </c>
      <c r="AI57" s="75">
        <f t="shared" si="24"/>
        <v>3009295.120000001</v>
      </c>
      <c r="AJ57" s="75">
        <f t="shared" si="24"/>
        <v>3144374.6800000011</v>
      </c>
      <c r="AK57" s="75">
        <f t="shared" si="24"/>
        <v>3280994.2400000012</v>
      </c>
      <c r="AL57" s="75">
        <f t="shared" si="24"/>
        <v>3419153.8000000012</v>
      </c>
      <c r="AM57" s="75">
        <f t="shared" si="24"/>
        <v>3558853.3600000013</v>
      </c>
      <c r="AN57" s="75">
        <f t="shared" si="24"/>
        <v>3700092.9200000013</v>
      </c>
      <c r="AO57" s="75">
        <f t="shared" si="24"/>
        <v>3842872.4800000014</v>
      </c>
      <c r="AP57" s="75">
        <f t="shared" si="24"/>
        <v>3987192.0400000014</v>
      </c>
      <c r="AQ57" s="75">
        <f t="shared" si="24"/>
        <v>4133051.6000000015</v>
      </c>
      <c r="AR57" s="75">
        <f t="shared" si="24"/>
        <v>4280451.1600000011</v>
      </c>
      <c r="AS57" s="75">
        <f t="shared" si="24"/>
        <v>4429390.7200000007</v>
      </c>
      <c r="AT57" s="75">
        <f t="shared" si="24"/>
        <v>4579870.28</v>
      </c>
      <c r="AU57" s="75">
        <f t="shared" si="24"/>
        <v>4731889.84</v>
      </c>
      <c r="AV57" s="75">
        <f t="shared" si="24"/>
        <v>4885449.3999999994</v>
      </c>
      <c r="AW57" s="75">
        <f t="shared" si="24"/>
        <v>5040548.959999999</v>
      </c>
      <c r="AX57" s="75">
        <f t="shared" si="24"/>
        <v>5197188.5199999986</v>
      </c>
      <c r="AY57" s="75">
        <f t="shared" si="24"/>
        <v>5355368.0799999982</v>
      </c>
      <c r="AZ57" s="75">
        <f t="shared" si="24"/>
        <v>5515087.6399999978</v>
      </c>
      <c r="BA57" s="75">
        <f t="shared" si="24"/>
        <v>5676347.1999999974</v>
      </c>
      <c r="BB57" s="75">
        <f t="shared" si="24"/>
        <v>5839146.759999997</v>
      </c>
      <c r="BC57" s="75">
        <f t="shared" si="24"/>
        <v>6003486.3199999966</v>
      </c>
      <c r="BD57" s="75">
        <f t="shared" si="24"/>
        <v>6169365.8799999962</v>
      </c>
      <c r="BE57" s="75">
        <f t="shared" si="24"/>
        <v>6336785.4399999958</v>
      </c>
      <c r="BF57" s="75">
        <f t="shared" si="24"/>
        <v>6505744.9999999953</v>
      </c>
      <c r="BG57" s="75">
        <f t="shared" si="24"/>
        <v>6676244.5599999949</v>
      </c>
      <c r="BH57" s="75">
        <f t="shared" si="24"/>
        <v>6848284.1199999945</v>
      </c>
      <c r="BI57" s="75">
        <f t="shared" si="24"/>
        <v>7021863.6799999941</v>
      </c>
      <c r="BJ57" s="75">
        <f t="shared" si="24"/>
        <v>7196983.2399999937</v>
      </c>
      <c r="BK57" s="75">
        <f t="shared" si="24"/>
        <v>7373642.7999999933</v>
      </c>
    </row>
    <row r="58" spans="2:63" x14ac:dyDescent="0.25">
      <c r="C58" s="75"/>
    </row>
    <row r="59" spans="2:63" x14ac:dyDescent="0.25">
      <c r="C59" s="75"/>
    </row>
    <row r="60" spans="2:63" x14ac:dyDescent="0.25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</row>
    <row r="61" spans="2:63" x14ac:dyDescent="0.25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</row>
    <row r="62" spans="2:63" x14ac:dyDescent="0.25">
      <c r="C62" s="75"/>
    </row>
    <row r="63" spans="2:63" x14ac:dyDescent="0.25">
      <c r="C63" s="75"/>
    </row>
    <row r="64" spans="2:63" x14ac:dyDescent="0.25">
      <c r="C64" s="75"/>
    </row>
    <row r="65" spans="3:3" x14ac:dyDescent="0.25">
      <c r="C65" s="75"/>
    </row>
    <row r="66" spans="3:3" x14ac:dyDescent="0.25">
      <c r="C66" s="7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C7" sqref="C7"/>
    </sheetView>
  </sheetViews>
  <sheetFormatPr baseColWidth="10" defaultRowHeight="15" x14ac:dyDescent="0.25"/>
  <cols>
    <col min="2" max="2" width="40.28515625" customWidth="1"/>
    <col min="3" max="3" width="13.5703125" customWidth="1"/>
    <col min="4" max="4" width="15.85546875" customWidth="1"/>
  </cols>
  <sheetData>
    <row r="1" spans="2:7" x14ac:dyDescent="0.25">
      <c r="B1" s="150" t="s">
        <v>331</v>
      </c>
      <c r="C1" s="150"/>
      <c r="D1" s="150"/>
      <c r="E1" s="150"/>
      <c r="F1" s="150"/>
      <c r="G1" s="150"/>
    </row>
    <row r="2" spans="2:7" x14ac:dyDescent="0.25">
      <c r="B2" s="120" t="s">
        <v>291</v>
      </c>
      <c r="C2" s="121" t="s">
        <v>292</v>
      </c>
      <c r="D2" s="121" t="s">
        <v>293</v>
      </c>
      <c r="E2" s="121" t="s">
        <v>295</v>
      </c>
      <c r="F2" s="121" t="s">
        <v>296</v>
      </c>
      <c r="G2" s="121" t="s">
        <v>297</v>
      </c>
    </row>
    <row r="3" spans="2:7" x14ac:dyDescent="0.25">
      <c r="B3" s="122" t="s">
        <v>327</v>
      </c>
      <c r="C3" s="111">
        <v>5153.3333333333339</v>
      </c>
      <c r="D3" s="111">
        <f>C3*0.08</f>
        <v>412.26666666666671</v>
      </c>
      <c r="E3" s="111">
        <f>D3</f>
        <v>412.26666666666671</v>
      </c>
      <c r="F3" s="111">
        <f t="shared" ref="F3:G3" si="0">E3</f>
        <v>412.26666666666671</v>
      </c>
      <c r="G3" s="111">
        <f t="shared" si="0"/>
        <v>412.26666666666671</v>
      </c>
    </row>
    <row r="4" spans="2:7" ht="30" x14ac:dyDescent="0.25">
      <c r="B4" s="110" t="s">
        <v>328</v>
      </c>
      <c r="C4" s="111">
        <v>8455.2000000000007</v>
      </c>
      <c r="D4" s="111">
        <v>3427.2000000000003</v>
      </c>
      <c r="E4" s="111">
        <v>3427.2000000000003</v>
      </c>
      <c r="F4" s="111">
        <v>3427.2000000000003</v>
      </c>
      <c r="G4" s="111">
        <v>3427.2000000000003</v>
      </c>
    </row>
    <row r="5" spans="2:7" x14ac:dyDescent="0.25">
      <c r="B5" s="122" t="s">
        <v>332</v>
      </c>
      <c r="C5" s="111">
        <f>995*1.12</f>
        <v>1114.4000000000001</v>
      </c>
      <c r="D5" s="111">
        <f t="shared" ref="D5:G5" si="1">995*1.12</f>
        <v>1114.4000000000001</v>
      </c>
      <c r="E5" s="111">
        <f t="shared" si="1"/>
        <v>1114.4000000000001</v>
      </c>
      <c r="F5" s="111">
        <f t="shared" si="1"/>
        <v>1114.4000000000001</v>
      </c>
      <c r="G5" s="111">
        <f t="shared" si="1"/>
        <v>1114.4000000000001</v>
      </c>
    </row>
    <row r="6" spans="2:7" ht="30" x14ac:dyDescent="0.25">
      <c r="B6" s="110" t="s">
        <v>330</v>
      </c>
      <c r="C6" s="111">
        <v>0</v>
      </c>
      <c r="D6" s="123">
        <v>0</v>
      </c>
      <c r="E6" s="123">
        <v>0</v>
      </c>
      <c r="F6" s="123">
        <v>0</v>
      </c>
      <c r="G6" s="123">
        <v>0</v>
      </c>
    </row>
    <row r="7" spans="2:7" x14ac:dyDescent="0.25">
      <c r="B7" s="124" t="s">
        <v>294</v>
      </c>
      <c r="C7" s="125">
        <f>SUM(C3:C6)</f>
        <v>14722.933333333334</v>
      </c>
      <c r="D7" s="125">
        <f>SUM(D3:D5)</f>
        <v>4953.8666666666668</v>
      </c>
      <c r="E7" s="125">
        <f>SUM(E3:E5)</f>
        <v>4953.8666666666668</v>
      </c>
      <c r="F7" s="125">
        <f>SUM(F3:F5)</f>
        <v>4953.8666666666668</v>
      </c>
      <c r="G7" s="125">
        <f>SUM(G3:G5)</f>
        <v>4953.8666666666668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opLeftCell="B7" workbookViewId="0">
      <selection activeCell="F23" sqref="F23"/>
    </sheetView>
  </sheetViews>
  <sheetFormatPr baseColWidth="10" defaultRowHeight="15" x14ac:dyDescent="0.25"/>
  <cols>
    <col min="2" max="2" width="60.140625" customWidth="1"/>
    <col min="3" max="3" width="13.5703125" customWidth="1"/>
    <col min="4" max="4" width="15.85546875" customWidth="1"/>
  </cols>
  <sheetData>
    <row r="1" spans="2:8" x14ac:dyDescent="0.25">
      <c r="B1" s="151" t="s">
        <v>290</v>
      </c>
      <c r="C1" s="152"/>
      <c r="D1" s="153"/>
    </row>
    <row r="2" spans="2:8" ht="15.75" thickBot="1" x14ac:dyDescent="0.3">
      <c r="B2" s="99" t="s">
        <v>291</v>
      </c>
      <c r="C2" s="100" t="s">
        <v>292</v>
      </c>
      <c r="D2" s="100" t="s">
        <v>293</v>
      </c>
      <c r="E2" s="100" t="s">
        <v>295</v>
      </c>
      <c r="F2" s="100" t="s">
        <v>296</v>
      </c>
      <c r="G2" s="101" t="s">
        <v>297</v>
      </c>
    </row>
    <row r="3" spans="2:8" x14ac:dyDescent="0.25">
      <c r="B3" s="108" t="s">
        <v>327</v>
      </c>
      <c r="C3" s="109">
        <v>37814.666666666672</v>
      </c>
      <c r="D3" s="109">
        <v>3025.1733333333336</v>
      </c>
      <c r="E3" s="109">
        <v>3025.1733333333336</v>
      </c>
      <c r="F3" s="109">
        <v>3025.1733333333336</v>
      </c>
      <c r="G3" s="109">
        <v>3025.1733333333336</v>
      </c>
    </row>
    <row r="4" spans="2:8" x14ac:dyDescent="0.25">
      <c r="B4" s="110" t="s">
        <v>328</v>
      </c>
      <c r="C4" s="111">
        <v>562185.33333333337</v>
      </c>
      <c r="D4" s="112">
        <v>87239.577600000019</v>
      </c>
      <c r="E4" s="112">
        <v>87239.577600000019</v>
      </c>
      <c r="F4" s="112">
        <v>87239.577600000019</v>
      </c>
      <c r="G4" s="112">
        <v>87239.577600000019</v>
      </c>
    </row>
    <row r="5" spans="2:8" x14ac:dyDescent="0.25">
      <c r="B5" s="113" t="s">
        <v>329</v>
      </c>
      <c r="C5" s="114">
        <v>11645.890000000001</v>
      </c>
      <c r="D5" s="115">
        <v>2310.1</v>
      </c>
      <c r="E5" s="115">
        <v>2310.1</v>
      </c>
      <c r="F5" s="115">
        <v>2310.1</v>
      </c>
      <c r="G5" s="115">
        <v>2310.1</v>
      </c>
    </row>
    <row r="6" spans="2:8" ht="15.75" thickBot="1" x14ac:dyDescent="0.3">
      <c r="B6" s="110" t="s">
        <v>330</v>
      </c>
      <c r="C6" s="111">
        <v>0</v>
      </c>
      <c r="D6" s="116">
        <v>0</v>
      </c>
      <c r="E6" s="116">
        <v>0</v>
      </c>
      <c r="F6" s="116">
        <v>0</v>
      </c>
      <c r="G6" s="116">
        <v>0</v>
      </c>
    </row>
    <row r="7" spans="2:8" ht="15.75" thickBot="1" x14ac:dyDescent="0.3">
      <c r="B7" s="117" t="s">
        <v>294</v>
      </c>
      <c r="C7" s="118">
        <f>SUM(C3:C6)</f>
        <v>611645.89</v>
      </c>
      <c r="D7" s="118">
        <f>SUM(D3:D6)</f>
        <v>92574.850933333364</v>
      </c>
      <c r="E7" s="118">
        <f>SUM(E3:E6)</f>
        <v>92574.850933333364</v>
      </c>
      <c r="F7" s="118">
        <f>SUM(F3:F6)</f>
        <v>92574.850933333364</v>
      </c>
      <c r="G7" s="119">
        <f>SUM(G3:G6)</f>
        <v>92574.850933333364</v>
      </c>
    </row>
    <row r="8" spans="2:8" x14ac:dyDescent="0.25">
      <c r="B8" t="s">
        <v>306</v>
      </c>
      <c r="C8" s="4">
        <f>+C7/48</f>
        <v>12742.622708333334</v>
      </c>
    </row>
    <row r="12" spans="2:8" x14ac:dyDescent="0.25">
      <c r="B12" s="154" t="s">
        <v>353</v>
      </c>
      <c r="C12" s="154"/>
      <c r="D12" s="154"/>
      <c r="E12" s="154"/>
      <c r="F12" s="154"/>
      <c r="G12" s="154"/>
      <c r="H12" s="154"/>
    </row>
    <row r="13" spans="2:8" x14ac:dyDescent="0.25">
      <c r="B13" s="131" t="s">
        <v>291</v>
      </c>
      <c r="C13" s="132" t="s">
        <v>292</v>
      </c>
      <c r="D13" s="132" t="s">
        <v>293</v>
      </c>
      <c r="E13" s="132" t="s">
        <v>295</v>
      </c>
      <c r="F13" s="132" t="s">
        <v>296</v>
      </c>
      <c r="G13" s="132" t="s">
        <v>297</v>
      </c>
      <c r="H13" s="132"/>
    </row>
    <row r="14" spans="2:8" x14ac:dyDescent="0.25">
      <c r="B14" s="133" t="s">
        <v>354</v>
      </c>
      <c r="C14" s="134">
        <v>49647</v>
      </c>
      <c r="D14" s="134">
        <f>+C14</f>
        <v>49647</v>
      </c>
      <c r="E14" s="134">
        <f t="shared" ref="E14:G14" si="0">+D14</f>
        <v>49647</v>
      </c>
      <c r="F14" s="134">
        <f t="shared" si="0"/>
        <v>49647</v>
      </c>
      <c r="G14" s="134">
        <f t="shared" si="0"/>
        <v>49647</v>
      </c>
      <c r="H14" s="134"/>
    </row>
    <row r="15" spans="2:8" x14ac:dyDescent="0.25">
      <c r="B15" s="133" t="s">
        <v>355</v>
      </c>
      <c r="C15" s="134">
        <v>80025</v>
      </c>
      <c r="D15" s="134">
        <v>16005</v>
      </c>
      <c r="E15" s="134">
        <v>16005</v>
      </c>
      <c r="F15" s="134">
        <v>16005</v>
      </c>
      <c r="G15" s="134">
        <v>16005</v>
      </c>
      <c r="H15" s="134"/>
    </row>
    <row r="16" spans="2:8" x14ac:dyDescent="0.25">
      <c r="B16" s="135" t="s">
        <v>332</v>
      </c>
      <c r="C16" s="136">
        <v>1114.4000000000001</v>
      </c>
      <c r="D16" s="136">
        <v>1114.4000000000001</v>
      </c>
      <c r="E16" s="136">
        <v>1114.4000000000001</v>
      </c>
      <c r="F16" s="136">
        <v>1114.4000000000001</v>
      </c>
      <c r="G16" s="136">
        <v>1114.4000000000001</v>
      </c>
      <c r="H16" s="136"/>
    </row>
    <row r="17" spans="2:8" x14ac:dyDescent="0.25">
      <c r="B17" s="137" t="s">
        <v>294</v>
      </c>
      <c r="C17" s="138">
        <f>SUM(C14:C16)</f>
        <v>130786.4</v>
      </c>
      <c r="D17" s="138">
        <f>SUM(D14:D16)</f>
        <v>66766.399999999994</v>
      </c>
      <c r="E17" s="138">
        <f>SUM(E14:E16)</f>
        <v>66766.399999999994</v>
      </c>
      <c r="F17" s="138">
        <f>SUM(F14:F16)</f>
        <v>66766.399999999994</v>
      </c>
      <c r="G17" s="138">
        <f>SUM(G14:G16)</f>
        <v>66766.399999999994</v>
      </c>
      <c r="H17" s="138"/>
    </row>
  </sheetData>
  <mergeCells count="2">
    <mergeCell ref="B1:D1"/>
    <mergeCell ref="B12:H1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"/>
  <sheetViews>
    <sheetView topLeftCell="A2" workbookViewId="0">
      <pane xSplit="2" ySplit="1" topLeftCell="H3" activePane="bottomRight" state="frozen"/>
      <selection activeCell="A2" sqref="A2"/>
      <selection pane="topRight" activeCell="C2" sqref="C2"/>
      <selection pane="bottomLeft" activeCell="A3" sqref="A3"/>
      <selection pane="bottomRight" activeCell="P17" sqref="P17"/>
    </sheetView>
  </sheetViews>
  <sheetFormatPr baseColWidth="10" defaultColWidth="9.140625" defaultRowHeight="15" x14ac:dyDescent="0.25"/>
  <cols>
    <col min="1" max="1" width="11.5703125" bestFit="1" customWidth="1"/>
    <col min="2" max="2" width="27.85546875" customWidth="1"/>
    <col min="3" max="3" width="31.28515625" customWidth="1"/>
    <col min="4" max="4" width="16.140625" customWidth="1"/>
    <col min="5" max="5" width="5.42578125" style="91" customWidth="1"/>
    <col min="6" max="6" width="6" style="91" customWidth="1"/>
    <col min="7" max="8" width="7.140625" style="91" customWidth="1"/>
    <col min="9" max="9" width="26.7109375" customWidth="1"/>
    <col min="10" max="10" width="9.5703125" style="92" bestFit="1" customWidth="1"/>
    <col min="11" max="11" width="9.85546875" style="92" bestFit="1" customWidth="1"/>
    <col min="12" max="12" width="10.5703125" style="92" bestFit="1" customWidth="1"/>
    <col min="13" max="13" width="10.5703125" style="88" bestFit="1" customWidth="1"/>
    <col min="14" max="14" width="11.5703125" style="88" bestFit="1" customWidth="1"/>
    <col min="15" max="15" width="10.5703125" style="88" bestFit="1" customWidth="1"/>
    <col min="16" max="17" width="11.5703125" style="92" bestFit="1" customWidth="1"/>
    <col min="18" max="18" width="14.5703125" style="92" bestFit="1" customWidth="1"/>
    <col min="19" max="19" width="47" customWidth="1"/>
  </cols>
  <sheetData>
    <row r="2" spans="1:19" ht="38.25" x14ac:dyDescent="0.25">
      <c r="A2" s="77" t="s">
        <v>248</v>
      </c>
      <c r="B2" s="77" t="s">
        <v>249</v>
      </c>
      <c r="C2" s="78" t="s">
        <v>250</v>
      </c>
      <c r="D2" s="78" t="s">
        <v>251</v>
      </c>
      <c r="E2" s="79" t="s">
        <v>252</v>
      </c>
      <c r="F2" s="79" t="s">
        <v>253</v>
      </c>
      <c r="G2" s="79" t="s">
        <v>254</v>
      </c>
      <c r="H2" s="79" t="s">
        <v>255</v>
      </c>
      <c r="I2" s="78" t="s">
        <v>256</v>
      </c>
      <c r="J2" s="80" t="s">
        <v>257</v>
      </c>
      <c r="K2" s="80" t="s">
        <v>258</v>
      </c>
      <c r="L2" s="80" t="s">
        <v>259</v>
      </c>
      <c r="M2" s="80" t="s">
        <v>260</v>
      </c>
      <c r="N2" s="80" t="s">
        <v>261</v>
      </c>
      <c r="O2" s="80" t="s">
        <v>262</v>
      </c>
      <c r="P2" s="81" t="s">
        <v>263</v>
      </c>
      <c r="Q2" s="81" t="s">
        <v>264</v>
      </c>
      <c r="R2" s="80" t="s">
        <v>265</v>
      </c>
    </row>
    <row r="3" spans="1:19" x14ac:dyDescent="0.25">
      <c r="A3" s="155" t="s">
        <v>266</v>
      </c>
      <c r="B3" s="82" t="s">
        <v>267</v>
      </c>
      <c r="C3" s="82" t="s">
        <v>268</v>
      </c>
      <c r="D3" s="83" t="s">
        <v>269</v>
      </c>
      <c r="E3" s="84">
        <v>1</v>
      </c>
      <c r="F3" s="84">
        <v>2</v>
      </c>
      <c r="G3" s="84">
        <v>12</v>
      </c>
      <c r="H3" s="84">
        <v>250</v>
      </c>
      <c r="I3" s="85" t="s">
        <v>270</v>
      </c>
      <c r="J3" s="86">
        <f t="shared" ref="J3:J15" si="0">((448*G3)/6)</f>
        <v>896</v>
      </c>
      <c r="K3" s="86">
        <f t="shared" ref="K3:K15" si="1">(H3*488)/100</f>
        <v>1220</v>
      </c>
      <c r="L3" s="86">
        <f t="shared" ref="L3:L15" si="2">J3+K3</f>
        <v>2116</v>
      </c>
      <c r="M3" s="86">
        <f t="shared" ref="M3:M15" si="3">$D$19</f>
        <v>1676</v>
      </c>
      <c r="N3" s="86">
        <v>0</v>
      </c>
      <c r="O3" s="86">
        <v>0</v>
      </c>
      <c r="P3" s="86">
        <v>0</v>
      </c>
      <c r="Q3" s="86">
        <f t="shared" ref="Q3:Q15" si="4">$D$23</f>
        <v>1142.4000000000001</v>
      </c>
      <c r="R3" s="87">
        <f t="shared" ref="R3:R15" si="5">SUM(L3:Q3)</f>
        <v>4934.3999999999996</v>
      </c>
      <c r="S3" s="88"/>
    </row>
    <row r="4" spans="1:19" x14ac:dyDescent="0.25">
      <c r="A4" s="156"/>
      <c r="B4" s="82" t="s">
        <v>271</v>
      </c>
      <c r="C4" s="82" t="s">
        <v>268</v>
      </c>
      <c r="D4" s="83" t="s">
        <v>269</v>
      </c>
      <c r="E4" s="84">
        <v>1</v>
      </c>
      <c r="F4" s="84">
        <v>2</v>
      </c>
      <c r="G4" s="84">
        <v>12</v>
      </c>
      <c r="H4" s="84">
        <v>250</v>
      </c>
      <c r="I4" s="85" t="s">
        <v>270</v>
      </c>
      <c r="J4" s="86">
        <f t="shared" si="0"/>
        <v>896</v>
      </c>
      <c r="K4" s="86">
        <f t="shared" si="1"/>
        <v>1220</v>
      </c>
      <c r="L4" s="86">
        <f t="shared" si="2"/>
        <v>2116</v>
      </c>
      <c r="M4" s="86">
        <f t="shared" si="3"/>
        <v>1676</v>
      </c>
      <c r="N4" s="86">
        <v>0</v>
      </c>
      <c r="O4" s="86">
        <v>0</v>
      </c>
      <c r="P4" s="86">
        <v>0</v>
      </c>
      <c r="Q4" s="86">
        <f t="shared" si="4"/>
        <v>1142.4000000000001</v>
      </c>
      <c r="R4" s="87">
        <f t="shared" si="5"/>
        <v>4934.3999999999996</v>
      </c>
      <c r="S4" s="88"/>
    </row>
    <row r="5" spans="1:19" x14ac:dyDescent="0.25">
      <c r="A5" s="156"/>
      <c r="B5" s="82" t="s">
        <v>272</v>
      </c>
      <c r="C5" s="82" t="s">
        <v>273</v>
      </c>
      <c r="D5" s="83" t="s">
        <v>269</v>
      </c>
      <c r="E5" s="84">
        <v>1</v>
      </c>
      <c r="F5" s="84">
        <v>2</v>
      </c>
      <c r="G5" s="84">
        <v>12</v>
      </c>
      <c r="H5" s="84">
        <v>250</v>
      </c>
      <c r="I5" s="85" t="s">
        <v>270</v>
      </c>
      <c r="J5" s="86">
        <f t="shared" si="0"/>
        <v>896</v>
      </c>
      <c r="K5" s="86">
        <f t="shared" si="1"/>
        <v>1220</v>
      </c>
      <c r="L5" s="86">
        <f t="shared" si="2"/>
        <v>2116</v>
      </c>
      <c r="M5" s="86">
        <f t="shared" si="3"/>
        <v>1676</v>
      </c>
      <c r="N5" s="86"/>
      <c r="O5" s="86">
        <f>$D$24*($F5*100)</f>
        <v>17418.240000000002</v>
      </c>
      <c r="P5" s="86"/>
      <c r="Q5" s="86">
        <f t="shared" si="4"/>
        <v>1142.4000000000001</v>
      </c>
      <c r="R5" s="87">
        <f t="shared" si="5"/>
        <v>22352.640000000003</v>
      </c>
      <c r="S5" s="88"/>
    </row>
    <row r="6" spans="1:19" x14ac:dyDescent="0.25">
      <c r="A6" s="156"/>
      <c r="B6" s="82" t="s">
        <v>267</v>
      </c>
      <c r="C6" s="82" t="s">
        <v>274</v>
      </c>
      <c r="D6" s="83" t="s">
        <v>269</v>
      </c>
      <c r="E6" s="84">
        <v>1</v>
      </c>
      <c r="F6" s="84">
        <v>4</v>
      </c>
      <c r="G6" s="84">
        <v>16</v>
      </c>
      <c r="H6" s="84">
        <v>500</v>
      </c>
      <c r="I6" s="85" t="s">
        <v>270</v>
      </c>
      <c r="J6" s="86">
        <f t="shared" si="0"/>
        <v>1194.6666666666667</v>
      </c>
      <c r="K6" s="86">
        <f t="shared" si="1"/>
        <v>2440</v>
      </c>
      <c r="L6" s="86">
        <f t="shared" si="2"/>
        <v>3634.666666666667</v>
      </c>
      <c r="M6" s="86">
        <f t="shared" si="3"/>
        <v>1676</v>
      </c>
      <c r="N6" s="86">
        <f>$D$18*($F6*100)</f>
        <v>87843.840000000011</v>
      </c>
      <c r="P6" s="86">
        <v>0</v>
      </c>
      <c r="Q6" s="86">
        <f t="shared" si="4"/>
        <v>1142.4000000000001</v>
      </c>
      <c r="R6" s="87">
        <f t="shared" si="5"/>
        <v>94296.906666666677</v>
      </c>
      <c r="S6" s="88"/>
    </row>
    <row r="7" spans="1:19" x14ac:dyDescent="0.25">
      <c r="A7" s="156"/>
      <c r="B7" s="82" t="s">
        <v>271</v>
      </c>
      <c r="C7" s="82" t="s">
        <v>274</v>
      </c>
      <c r="D7" s="83" t="s">
        <v>269</v>
      </c>
      <c r="E7" s="84">
        <v>1</v>
      </c>
      <c r="F7" s="84">
        <v>4</v>
      </c>
      <c r="G7" s="84">
        <v>16</v>
      </c>
      <c r="H7" s="84">
        <v>500</v>
      </c>
      <c r="I7" s="85" t="s">
        <v>270</v>
      </c>
      <c r="J7" s="86">
        <f t="shared" si="0"/>
        <v>1194.6666666666667</v>
      </c>
      <c r="K7" s="86">
        <f t="shared" si="1"/>
        <v>2440</v>
      </c>
      <c r="L7" s="86">
        <f t="shared" si="2"/>
        <v>3634.666666666667</v>
      </c>
      <c r="M7" s="86">
        <f t="shared" si="3"/>
        <v>1676</v>
      </c>
      <c r="N7" s="86">
        <f>$D$18*($F7*100)</f>
        <v>87843.840000000011</v>
      </c>
      <c r="O7" s="86"/>
      <c r="P7" s="86">
        <v>0</v>
      </c>
      <c r="Q7" s="86">
        <f t="shared" si="4"/>
        <v>1142.4000000000001</v>
      </c>
      <c r="R7" s="87">
        <f t="shared" si="5"/>
        <v>94296.906666666677</v>
      </c>
      <c r="S7" s="88"/>
    </row>
    <row r="8" spans="1:19" x14ac:dyDescent="0.25">
      <c r="A8" s="156"/>
      <c r="B8" s="82" t="s">
        <v>275</v>
      </c>
      <c r="C8" s="82" t="s">
        <v>276</v>
      </c>
      <c r="D8" s="83" t="s">
        <v>269</v>
      </c>
      <c r="E8" s="84">
        <v>1</v>
      </c>
      <c r="F8" s="89">
        <v>10</v>
      </c>
      <c r="G8" s="84">
        <v>24</v>
      </c>
      <c r="H8" s="84">
        <v>500</v>
      </c>
      <c r="I8" s="85" t="s">
        <v>270</v>
      </c>
      <c r="J8" s="90">
        <f t="shared" si="0"/>
        <v>1792</v>
      </c>
      <c r="K8" s="90">
        <f t="shared" si="1"/>
        <v>2440</v>
      </c>
      <c r="L8" s="90">
        <f t="shared" si="2"/>
        <v>4232</v>
      </c>
      <c r="M8" s="90">
        <f t="shared" si="3"/>
        <v>1676</v>
      </c>
      <c r="N8" s="90">
        <v>0</v>
      </c>
      <c r="O8" s="90">
        <v>0</v>
      </c>
      <c r="P8" s="90">
        <v>0</v>
      </c>
      <c r="Q8" s="86">
        <f t="shared" si="4"/>
        <v>1142.4000000000001</v>
      </c>
      <c r="R8" s="87">
        <f t="shared" si="5"/>
        <v>7050.4</v>
      </c>
      <c r="S8" s="88"/>
    </row>
    <row r="9" spans="1:19" x14ac:dyDescent="0.25">
      <c r="A9" s="157"/>
      <c r="B9" s="82" t="s">
        <v>277</v>
      </c>
      <c r="C9" s="82" t="s">
        <v>278</v>
      </c>
      <c r="D9" s="83" t="s">
        <v>269</v>
      </c>
      <c r="E9" s="84">
        <v>1</v>
      </c>
      <c r="F9" s="89">
        <v>10</v>
      </c>
      <c r="G9" s="84">
        <v>24</v>
      </c>
      <c r="H9" s="84">
        <v>500</v>
      </c>
      <c r="I9" s="85" t="s">
        <v>270</v>
      </c>
      <c r="J9" s="90">
        <f t="shared" si="0"/>
        <v>1792</v>
      </c>
      <c r="K9" s="90">
        <f t="shared" si="1"/>
        <v>2440</v>
      </c>
      <c r="L9" s="90">
        <f t="shared" si="2"/>
        <v>4232</v>
      </c>
      <c r="M9" s="90">
        <f t="shared" si="3"/>
        <v>1676</v>
      </c>
      <c r="N9" s="90">
        <v>0</v>
      </c>
      <c r="O9" s="90">
        <v>0</v>
      </c>
      <c r="P9" s="90">
        <v>0</v>
      </c>
      <c r="Q9" s="86">
        <f t="shared" si="4"/>
        <v>1142.4000000000001</v>
      </c>
      <c r="R9" s="87">
        <f t="shared" si="5"/>
        <v>7050.4</v>
      </c>
      <c r="S9" s="88"/>
    </row>
    <row r="10" spans="1:19" x14ac:dyDescent="0.25">
      <c r="A10" s="155" t="s">
        <v>279</v>
      </c>
      <c r="B10" s="82" t="s">
        <v>267</v>
      </c>
      <c r="C10" s="82" t="s">
        <v>268</v>
      </c>
      <c r="D10" s="83" t="s">
        <v>269</v>
      </c>
      <c r="E10" s="84">
        <v>1</v>
      </c>
      <c r="F10" s="84">
        <v>2</v>
      </c>
      <c r="G10" s="84">
        <v>12</v>
      </c>
      <c r="H10" s="84">
        <v>250</v>
      </c>
      <c r="I10" s="85" t="s">
        <v>270</v>
      </c>
      <c r="J10" s="86">
        <f t="shared" si="0"/>
        <v>896</v>
      </c>
      <c r="K10" s="86">
        <f t="shared" si="1"/>
        <v>1220</v>
      </c>
      <c r="L10" s="86">
        <f t="shared" si="2"/>
        <v>2116</v>
      </c>
      <c r="M10" s="86">
        <f t="shared" si="3"/>
        <v>1676</v>
      </c>
      <c r="N10" s="86">
        <v>0</v>
      </c>
      <c r="O10" s="86">
        <v>0</v>
      </c>
      <c r="P10" s="86">
        <v>0</v>
      </c>
      <c r="Q10" s="86">
        <f t="shared" si="4"/>
        <v>1142.4000000000001</v>
      </c>
      <c r="R10" s="87">
        <f t="shared" si="5"/>
        <v>4934.3999999999996</v>
      </c>
      <c r="S10" s="88"/>
    </row>
    <row r="11" spans="1:19" x14ac:dyDescent="0.25">
      <c r="A11" s="156"/>
      <c r="B11" s="82" t="s">
        <v>272</v>
      </c>
      <c r="C11" s="82" t="s">
        <v>273</v>
      </c>
      <c r="D11" s="83" t="s">
        <v>269</v>
      </c>
      <c r="E11" s="84">
        <v>1</v>
      </c>
      <c r="F11" s="84">
        <v>2</v>
      </c>
      <c r="G11" s="84">
        <v>12</v>
      </c>
      <c r="H11" s="84">
        <v>250</v>
      </c>
      <c r="I11" s="85" t="s">
        <v>270</v>
      </c>
      <c r="J11" s="86">
        <f t="shared" si="0"/>
        <v>896</v>
      </c>
      <c r="K11" s="86">
        <f t="shared" si="1"/>
        <v>1220</v>
      </c>
      <c r="L11" s="86">
        <f t="shared" si="2"/>
        <v>2116</v>
      </c>
      <c r="M11" s="86">
        <f t="shared" si="3"/>
        <v>1676</v>
      </c>
      <c r="N11" s="86"/>
      <c r="O11" s="86">
        <f>$D$24*($F11*100)</f>
        <v>17418.240000000002</v>
      </c>
      <c r="P11" s="86"/>
      <c r="Q11" s="86">
        <f t="shared" si="4"/>
        <v>1142.4000000000001</v>
      </c>
      <c r="R11" s="87">
        <f t="shared" si="5"/>
        <v>22352.640000000003</v>
      </c>
      <c r="S11" s="88"/>
    </row>
    <row r="12" spans="1:19" x14ac:dyDescent="0.25">
      <c r="A12" s="156"/>
      <c r="B12" s="82" t="s">
        <v>267</v>
      </c>
      <c r="C12" s="82" t="s">
        <v>274</v>
      </c>
      <c r="D12" s="83" t="s">
        <v>269</v>
      </c>
      <c r="E12" s="84">
        <v>1</v>
      </c>
      <c r="F12" s="84">
        <v>4</v>
      </c>
      <c r="G12" s="84">
        <v>16</v>
      </c>
      <c r="H12" s="84">
        <v>500</v>
      </c>
      <c r="I12" s="85" t="s">
        <v>270</v>
      </c>
      <c r="J12" s="86">
        <f t="shared" si="0"/>
        <v>1194.6666666666667</v>
      </c>
      <c r="K12" s="86">
        <f t="shared" si="1"/>
        <v>2440</v>
      </c>
      <c r="L12" s="86">
        <f t="shared" si="2"/>
        <v>3634.666666666667</v>
      </c>
      <c r="M12" s="86">
        <f t="shared" si="3"/>
        <v>1676</v>
      </c>
      <c r="N12" s="86">
        <f>$D$18*($F12*100)</f>
        <v>87843.840000000011</v>
      </c>
      <c r="P12" s="86">
        <v>0</v>
      </c>
      <c r="Q12" s="86">
        <f t="shared" si="4"/>
        <v>1142.4000000000001</v>
      </c>
      <c r="R12" s="87">
        <f t="shared" si="5"/>
        <v>94296.906666666677</v>
      </c>
      <c r="S12" s="88"/>
    </row>
    <row r="13" spans="1:19" x14ac:dyDescent="0.25">
      <c r="A13" s="156"/>
      <c r="B13" s="82" t="s">
        <v>275</v>
      </c>
      <c r="C13" s="82" t="s">
        <v>276</v>
      </c>
      <c r="D13" s="83" t="s">
        <v>269</v>
      </c>
      <c r="E13" s="84">
        <v>1</v>
      </c>
      <c r="F13" s="89">
        <v>10</v>
      </c>
      <c r="G13" s="84">
        <v>24</v>
      </c>
      <c r="H13" s="84">
        <v>500</v>
      </c>
      <c r="I13" s="85" t="s">
        <v>270</v>
      </c>
      <c r="J13" s="90">
        <f t="shared" si="0"/>
        <v>1792</v>
      </c>
      <c r="K13" s="90">
        <f t="shared" si="1"/>
        <v>2440</v>
      </c>
      <c r="L13" s="90">
        <f t="shared" si="2"/>
        <v>4232</v>
      </c>
      <c r="M13" s="90">
        <f t="shared" si="3"/>
        <v>1676</v>
      </c>
      <c r="N13" s="90">
        <v>0</v>
      </c>
      <c r="O13" s="90">
        <v>0</v>
      </c>
      <c r="P13" s="90">
        <v>0</v>
      </c>
      <c r="Q13" s="86">
        <f t="shared" si="4"/>
        <v>1142.4000000000001</v>
      </c>
      <c r="R13" s="87">
        <f t="shared" si="5"/>
        <v>7050.4</v>
      </c>
      <c r="S13" s="88"/>
    </row>
    <row r="14" spans="1:19" ht="25.5" x14ac:dyDescent="0.25">
      <c r="A14" s="155" t="s">
        <v>280</v>
      </c>
      <c r="B14" s="82" t="s">
        <v>267</v>
      </c>
      <c r="C14" s="82" t="s">
        <v>281</v>
      </c>
      <c r="D14" s="83" t="s">
        <v>269</v>
      </c>
      <c r="E14" s="84">
        <v>1</v>
      </c>
      <c r="F14" s="84">
        <v>1</v>
      </c>
      <c r="G14" s="84">
        <v>8</v>
      </c>
      <c r="H14" s="84">
        <v>250</v>
      </c>
      <c r="I14" s="85" t="s">
        <v>270</v>
      </c>
      <c r="J14" s="86">
        <f t="shared" si="0"/>
        <v>597.33333333333337</v>
      </c>
      <c r="K14" s="86">
        <f t="shared" si="1"/>
        <v>1220</v>
      </c>
      <c r="L14" s="86">
        <f t="shared" si="2"/>
        <v>1817.3333333333335</v>
      </c>
      <c r="M14" s="86">
        <f t="shared" si="3"/>
        <v>1676</v>
      </c>
      <c r="N14" s="86">
        <f>$D$18*($F14*100)</f>
        <v>21960.960000000003</v>
      </c>
      <c r="O14" s="86">
        <f>$D$24*($F14*100)</f>
        <v>8709.1200000000008</v>
      </c>
      <c r="P14" s="86">
        <v>0</v>
      </c>
      <c r="Q14" s="86">
        <f t="shared" si="4"/>
        <v>1142.4000000000001</v>
      </c>
      <c r="R14" s="87">
        <f t="shared" si="5"/>
        <v>35305.813333333339</v>
      </c>
      <c r="S14" s="107"/>
    </row>
    <row r="15" spans="1:19" x14ac:dyDescent="0.25">
      <c r="A15" s="157"/>
      <c r="B15" s="82" t="s">
        <v>275</v>
      </c>
      <c r="C15" s="82" t="s">
        <v>276</v>
      </c>
      <c r="D15" s="83" t="s">
        <v>269</v>
      </c>
      <c r="E15" s="84">
        <v>1</v>
      </c>
      <c r="F15" s="84">
        <v>1</v>
      </c>
      <c r="G15" s="84">
        <v>8</v>
      </c>
      <c r="H15" s="84">
        <v>250</v>
      </c>
      <c r="I15" s="85" t="s">
        <v>270</v>
      </c>
      <c r="J15" s="90">
        <f t="shared" si="0"/>
        <v>597.33333333333337</v>
      </c>
      <c r="K15" s="90">
        <f t="shared" si="1"/>
        <v>1220</v>
      </c>
      <c r="L15" s="90">
        <f t="shared" si="2"/>
        <v>1817.3333333333335</v>
      </c>
      <c r="M15" s="90">
        <f t="shared" si="3"/>
        <v>1676</v>
      </c>
      <c r="N15" s="90">
        <v>0</v>
      </c>
      <c r="O15" s="90">
        <v>0</v>
      </c>
      <c r="P15" s="90">
        <v>0</v>
      </c>
      <c r="Q15" s="86">
        <f t="shared" si="4"/>
        <v>1142.4000000000001</v>
      </c>
      <c r="R15" s="87">
        <f t="shared" si="5"/>
        <v>4635.7333333333336</v>
      </c>
    </row>
    <row r="16" spans="1:19" ht="15.75" thickBot="1" x14ac:dyDescent="0.3">
      <c r="L16" s="86">
        <f t="shared" ref="L16:R16" si="6">SUM(L3:L15)</f>
        <v>37814.666666666672</v>
      </c>
      <c r="M16" s="86">
        <f t="shared" si="6"/>
        <v>21788</v>
      </c>
      <c r="N16" s="86">
        <f t="shared" si="6"/>
        <v>285492.48000000004</v>
      </c>
      <c r="O16" s="86">
        <f t="shared" si="6"/>
        <v>43545.600000000006</v>
      </c>
      <c r="P16" s="86">
        <f t="shared" si="6"/>
        <v>0</v>
      </c>
      <c r="Q16" s="86">
        <f t="shared" si="6"/>
        <v>14851.199999999997</v>
      </c>
      <c r="R16" s="93">
        <f t="shared" si="6"/>
        <v>403491.94666666671</v>
      </c>
    </row>
    <row r="17" spans="3:17" x14ac:dyDescent="0.25">
      <c r="C17" s="94" t="s">
        <v>282</v>
      </c>
      <c r="D17" s="95" t="s">
        <v>283</v>
      </c>
      <c r="P17" s="86">
        <f>SUM(N16:P16)</f>
        <v>329038.08000000007</v>
      </c>
      <c r="Q17" s="86">
        <f>SUM(M16:Q16)</f>
        <v>365677.28000000009</v>
      </c>
    </row>
    <row r="18" spans="3:17" x14ac:dyDescent="0.25">
      <c r="C18" s="96" t="s">
        <v>284</v>
      </c>
      <c r="D18" s="97">
        <f>196.08*1.12</f>
        <v>219.60960000000003</v>
      </c>
    </row>
    <row r="19" spans="3:17" x14ac:dyDescent="0.25">
      <c r="C19" s="96" t="s">
        <v>260</v>
      </c>
      <c r="D19" s="97">
        <v>1676</v>
      </c>
    </row>
    <row r="20" spans="3:17" x14ac:dyDescent="0.25">
      <c r="C20" s="96" t="s">
        <v>285</v>
      </c>
      <c r="D20" s="97">
        <f>(1409 * 1.12)</f>
        <v>1578.0800000000002</v>
      </c>
    </row>
    <row r="21" spans="3:17" x14ac:dyDescent="0.25">
      <c r="C21" s="96" t="s">
        <v>286</v>
      </c>
      <c r="D21" s="97">
        <f>17500*1.12</f>
        <v>19600.000000000004</v>
      </c>
      <c r="G21" s="98" t="s">
        <v>287</v>
      </c>
    </row>
    <row r="22" spans="3:17" x14ac:dyDescent="0.25">
      <c r="C22" s="96" t="s">
        <v>288</v>
      </c>
      <c r="D22" s="97">
        <f>3850*1.12</f>
        <v>4312</v>
      </c>
    </row>
    <row r="23" spans="3:17" x14ac:dyDescent="0.25">
      <c r="C23" s="96" t="s">
        <v>264</v>
      </c>
      <c r="D23" s="97">
        <f>1020*1.12</f>
        <v>1142.4000000000001</v>
      </c>
    </row>
    <row r="24" spans="3:17" x14ac:dyDescent="0.25">
      <c r="C24" s="96" t="s">
        <v>289</v>
      </c>
      <c r="D24" s="97">
        <f>77.76*1.12</f>
        <v>87.091200000000015</v>
      </c>
    </row>
  </sheetData>
  <mergeCells count="3">
    <mergeCell ref="A3:A9"/>
    <mergeCell ref="A14:A15"/>
    <mergeCell ref="A10:A13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21" sqref="D21"/>
    </sheetView>
  </sheetViews>
  <sheetFormatPr baseColWidth="10" defaultRowHeight="15" x14ac:dyDescent="0.25"/>
  <cols>
    <col min="2" max="2" width="20" customWidth="1"/>
    <col min="3" max="3" width="13" customWidth="1"/>
    <col min="4" max="4" width="13.7109375" customWidth="1"/>
    <col min="5" max="5" width="12.7109375" customWidth="1"/>
  </cols>
  <sheetData>
    <row r="2" spans="2:5" x14ac:dyDescent="0.25">
      <c r="B2" s="76" t="s">
        <v>109</v>
      </c>
      <c r="C2" s="76" t="s">
        <v>243</v>
      </c>
      <c r="D2" s="76" t="s">
        <v>244</v>
      </c>
      <c r="E2" s="76" t="s">
        <v>54</v>
      </c>
    </row>
    <row r="3" spans="2:5" x14ac:dyDescent="0.25">
      <c r="B3" t="s">
        <v>245</v>
      </c>
      <c r="C3" s="5">
        <f>2100*1.12</f>
        <v>2352</v>
      </c>
      <c r="D3">
        <v>10</v>
      </c>
      <c r="E3" s="5">
        <f>C3*D3</f>
        <v>23520</v>
      </c>
    </row>
    <row r="4" spans="2:5" x14ac:dyDescent="0.25">
      <c r="B4" t="s">
        <v>246</v>
      </c>
      <c r="C4" s="5">
        <f>1800+1.12</f>
        <v>1801.12</v>
      </c>
      <c r="D4">
        <v>10</v>
      </c>
      <c r="E4" s="5">
        <f>C4*D4</f>
        <v>18011.199999999997</v>
      </c>
    </row>
    <row r="5" spans="2:5" x14ac:dyDescent="0.25">
      <c r="B5" t="s">
        <v>247</v>
      </c>
      <c r="C5" s="5">
        <v>0</v>
      </c>
      <c r="D5">
        <v>10</v>
      </c>
      <c r="E5" s="5">
        <f>C5*D5</f>
        <v>0</v>
      </c>
    </row>
    <row r="6" spans="2:5" x14ac:dyDescent="0.25">
      <c r="B6" t="s">
        <v>333</v>
      </c>
      <c r="C6" s="5">
        <f>2437*2</f>
        <v>4874</v>
      </c>
      <c r="D6">
        <v>10</v>
      </c>
      <c r="E6" s="5">
        <f>C6*D6</f>
        <v>48740</v>
      </c>
    </row>
    <row r="11" spans="2:5" x14ac:dyDescent="0.25">
      <c r="C11" s="6">
        <f>SUM(C3:C10)</f>
        <v>9027.119999999999</v>
      </c>
      <c r="D11" s="13" t="s">
        <v>54</v>
      </c>
      <c r="E11" s="18">
        <f>+SUM(E3:E10)</f>
        <v>90271.2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opLeftCell="A6" workbookViewId="0">
      <selection activeCell="G31" sqref="G31"/>
    </sheetView>
  </sheetViews>
  <sheetFormatPr baseColWidth="10" defaultRowHeight="15" x14ac:dyDescent="0.25"/>
  <cols>
    <col min="2" max="2" width="15.85546875" bestFit="1" customWidth="1"/>
    <col min="3" max="3" width="17.85546875" bestFit="1" customWidth="1"/>
    <col min="4" max="4" width="14.7109375" bestFit="1" customWidth="1"/>
    <col min="6" max="6" width="12.85546875" bestFit="1" customWidth="1"/>
  </cols>
  <sheetData>
    <row r="2" spans="2:11" x14ac:dyDescent="0.25">
      <c r="B2" t="s">
        <v>382</v>
      </c>
    </row>
    <row r="3" spans="2:11" x14ac:dyDescent="0.25">
      <c r="K3">
        <f>60*60</f>
        <v>3600</v>
      </c>
    </row>
    <row r="4" spans="2:11" x14ac:dyDescent="0.25">
      <c r="B4" s="142" t="s">
        <v>383</v>
      </c>
      <c r="C4" s="142" t="s">
        <v>384</v>
      </c>
      <c r="D4" s="142" t="s">
        <v>385</v>
      </c>
      <c r="E4" s="142"/>
      <c r="F4" s="142"/>
      <c r="G4" s="142"/>
    </row>
    <row r="5" spans="2:11" x14ac:dyDescent="0.25">
      <c r="B5" s="142"/>
      <c r="C5" s="142" t="s">
        <v>386</v>
      </c>
      <c r="D5" s="142"/>
      <c r="E5" s="142"/>
      <c r="F5" s="142"/>
      <c r="G5" s="143" t="s">
        <v>387</v>
      </c>
    </row>
    <row r="6" spans="2:11" x14ac:dyDescent="0.25">
      <c r="B6" s="144" t="s">
        <v>389</v>
      </c>
      <c r="C6" s="144" t="s">
        <v>390</v>
      </c>
      <c r="D6" s="144" t="s">
        <v>391</v>
      </c>
      <c r="E6" s="144" t="s">
        <v>392</v>
      </c>
      <c r="F6" s="144" t="s">
        <v>393</v>
      </c>
      <c r="G6" s="145"/>
    </row>
    <row r="7" spans="2:11" x14ac:dyDescent="0.25">
      <c r="B7" s="139" t="s">
        <v>358</v>
      </c>
      <c r="C7" s="140">
        <v>18345</v>
      </c>
      <c r="D7" s="140">
        <v>4325</v>
      </c>
      <c r="E7" s="140">
        <v>561</v>
      </c>
      <c r="F7" s="140">
        <v>31481</v>
      </c>
      <c r="G7" s="141">
        <v>54712</v>
      </c>
      <c r="H7" s="92">
        <f>G7/3600</f>
        <v>15.197777777777778</v>
      </c>
    </row>
    <row r="8" spans="2:11" x14ac:dyDescent="0.25">
      <c r="B8" s="139" t="s">
        <v>359</v>
      </c>
      <c r="C8" s="140">
        <v>8921</v>
      </c>
      <c r="D8" s="140">
        <v>2116</v>
      </c>
      <c r="E8" s="140">
        <v>265</v>
      </c>
      <c r="F8" s="140">
        <v>12562</v>
      </c>
      <c r="G8" s="141">
        <v>23864</v>
      </c>
      <c r="H8" s="92">
        <f t="shared" ref="H8:H30" si="0">G8/3600</f>
        <v>6.6288888888888886</v>
      </c>
    </row>
    <row r="9" spans="2:11" x14ac:dyDescent="0.25">
      <c r="B9" s="139" t="s">
        <v>360</v>
      </c>
      <c r="C9" s="140">
        <v>5160</v>
      </c>
      <c r="D9" s="140">
        <v>1254</v>
      </c>
      <c r="E9" s="140">
        <v>146</v>
      </c>
      <c r="F9" s="140">
        <v>6298</v>
      </c>
      <c r="G9" s="141">
        <v>12858</v>
      </c>
      <c r="H9" s="92">
        <f t="shared" si="0"/>
        <v>3.5716666666666668</v>
      </c>
    </row>
    <row r="10" spans="2:11" x14ac:dyDescent="0.25">
      <c r="B10" s="139" t="s">
        <v>361</v>
      </c>
      <c r="C10" s="140">
        <v>4192</v>
      </c>
      <c r="D10" s="140">
        <v>1351</v>
      </c>
      <c r="E10" s="140">
        <v>102</v>
      </c>
      <c r="F10" s="140">
        <v>4883</v>
      </c>
      <c r="G10" s="141">
        <v>10528</v>
      </c>
      <c r="H10" s="92">
        <f t="shared" si="0"/>
        <v>2.9244444444444446</v>
      </c>
    </row>
    <row r="11" spans="2:11" x14ac:dyDescent="0.25">
      <c r="B11" s="139" t="s">
        <v>362</v>
      </c>
      <c r="C11" s="140">
        <v>5410</v>
      </c>
      <c r="D11" s="140">
        <v>2107</v>
      </c>
      <c r="E11" s="140">
        <v>153</v>
      </c>
      <c r="F11" s="140">
        <v>6763</v>
      </c>
      <c r="G11" s="141">
        <v>14433</v>
      </c>
      <c r="H11" s="92">
        <f t="shared" si="0"/>
        <v>4.0091666666666663</v>
      </c>
    </row>
    <row r="12" spans="2:11" x14ac:dyDescent="0.25">
      <c r="B12" s="139" t="s">
        <v>363</v>
      </c>
      <c r="C12" s="140">
        <v>18477</v>
      </c>
      <c r="D12" s="140">
        <v>5309</v>
      </c>
      <c r="E12" s="140">
        <v>551</v>
      </c>
      <c r="F12" s="140">
        <v>18919</v>
      </c>
      <c r="G12" s="141">
        <v>43256</v>
      </c>
      <c r="H12" s="92">
        <f t="shared" si="0"/>
        <v>12.015555555555556</v>
      </c>
    </row>
    <row r="13" spans="2:11" x14ac:dyDescent="0.25">
      <c r="B13" s="139" t="s">
        <v>364</v>
      </c>
      <c r="C13" s="140">
        <v>63864</v>
      </c>
      <c r="D13" s="140">
        <v>21204</v>
      </c>
      <c r="E13" s="140">
        <v>2070</v>
      </c>
      <c r="F13" s="140">
        <v>61560</v>
      </c>
      <c r="G13" s="141">
        <v>148698</v>
      </c>
      <c r="H13" s="92">
        <f t="shared" si="0"/>
        <v>41.305</v>
      </c>
    </row>
    <row r="14" spans="2:11" x14ac:dyDescent="0.25">
      <c r="B14" s="139" t="s">
        <v>365</v>
      </c>
      <c r="C14" s="140">
        <v>115726</v>
      </c>
      <c r="D14" s="140">
        <v>45081</v>
      </c>
      <c r="E14" s="140">
        <v>4089</v>
      </c>
      <c r="F14" s="140">
        <v>133953</v>
      </c>
      <c r="G14" s="141">
        <v>298849</v>
      </c>
      <c r="H14" s="92">
        <f t="shared" si="0"/>
        <v>83.013611111111118</v>
      </c>
    </row>
    <row r="15" spans="2:11" x14ac:dyDescent="0.25">
      <c r="B15" s="139" t="s">
        <v>366</v>
      </c>
      <c r="C15" s="140">
        <v>159625</v>
      </c>
      <c r="D15" s="140">
        <v>60308</v>
      </c>
      <c r="E15" s="140">
        <v>7333</v>
      </c>
      <c r="F15" s="140">
        <v>330298</v>
      </c>
      <c r="G15" s="141">
        <v>557564</v>
      </c>
      <c r="H15" s="92">
        <f t="shared" si="0"/>
        <v>154.87888888888889</v>
      </c>
    </row>
    <row r="16" spans="2:11" x14ac:dyDescent="0.25">
      <c r="B16" s="139" t="s">
        <v>367</v>
      </c>
      <c r="C16" s="140">
        <v>190657</v>
      </c>
      <c r="D16" s="140">
        <v>78299</v>
      </c>
      <c r="E16" s="140">
        <v>11825</v>
      </c>
      <c r="F16" s="140">
        <v>480271</v>
      </c>
      <c r="G16" s="141">
        <v>761052</v>
      </c>
      <c r="H16" s="92">
        <f t="shared" si="0"/>
        <v>211.40333333333334</v>
      </c>
    </row>
    <row r="17" spans="2:8" x14ac:dyDescent="0.25">
      <c r="B17" s="139" t="s">
        <v>368</v>
      </c>
      <c r="C17" s="140">
        <v>187240</v>
      </c>
      <c r="D17" s="140">
        <v>94646</v>
      </c>
      <c r="E17" s="140">
        <v>14351</v>
      </c>
      <c r="F17" s="140">
        <v>481026</v>
      </c>
      <c r="G17" s="141">
        <v>777263</v>
      </c>
      <c r="H17" s="92">
        <f t="shared" si="0"/>
        <v>215.9063888888889</v>
      </c>
    </row>
    <row r="18" spans="2:8" x14ac:dyDescent="0.25">
      <c r="B18" s="139" t="s">
        <v>369</v>
      </c>
      <c r="C18" s="140">
        <v>198243</v>
      </c>
      <c r="D18" s="140">
        <v>95666</v>
      </c>
      <c r="E18" s="140">
        <v>15064</v>
      </c>
      <c r="F18" s="140">
        <v>477390</v>
      </c>
      <c r="G18" s="141">
        <v>786363</v>
      </c>
      <c r="H18" s="92">
        <f t="shared" si="0"/>
        <v>218.43416666666667</v>
      </c>
    </row>
    <row r="19" spans="2:8" x14ac:dyDescent="0.25">
      <c r="B19" s="139" t="s">
        <v>370</v>
      </c>
      <c r="C19" s="140">
        <v>201220</v>
      </c>
      <c r="D19" s="140">
        <v>96556</v>
      </c>
      <c r="E19" s="140">
        <v>16137</v>
      </c>
      <c r="F19" s="140">
        <v>431480</v>
      </c>
      <c r="G19" s="141">
        <v>745393</v>
      </c>
      <c r="H19" s="92">
        <f t="shared" si="0"/>
        <v>207.05361111111111</v>
      </c>
    </row>
    <row r="20" spans="2:8" x14ac:dyDescent="0.25">
      <c r="B20" s="139" t="s">
        <v>371</v>
      </c>
      <c r="C20" s="140">
        <v>214890</v>
      </c>
      <c r="D20" s="140">
        <v>98042</v>
      </c>
      <c r="E20" s="140">
        <v>15647</v>
      </c>
      <c r="F20" s="140">
        <v>365508</v>
      </c>
      <c r="G20" s="141">
        <v>694087</v>
      </c>
      <c r="H20" s="92">
        <f t="shared" si="0"/>
        <v>192.80194444444444</v>
      </c>
    </row>
    <row r="21" spans="2:8" x14ac:dyDescent="0.25">
      <c r="B21" s="139" t="s">
        <v>372</v>
      </c>
      <c r="C21" s="140">
        <v>203225</v>
      </c>
      <c r="D21" s="140">
        <v>96315</v>
      </c>
      <c r="E21" s="140">
        <v>15166</v>
      </c>
      <c r="F21" s="140">
        <v>393888</v>
      </c>
      <c r="G21" s="141">
        <v>708594</v>
      </c>
      <c r="H21" s="92">
        <f t="shared" si="0"/>
        <v>196.83166666666668</v>
      </c>
    </row>
    <row r="22" spans="2:8" x14ac:dyDescent="0.25">
      <c r="B22" s="139" t="s">
        <v>373</v>
      </c>
      <c r="C22" s="140">
        <v>192274</v>
      </c>
      <c r="D22" s="140">
        <v>95110</v>
      </c>
      <c r="E22" s="140">
        <v>15534</v>
      </c>
      <c r="F22" s="140">
        <v>409266</v>
      </c>
      <c r="G22" s="141">
        <v>712184</v>
      </c>
      <c r="H22" s="92">
        <f t="shared" si="0"/>
        <v>197.82888888888888</v>
      </c>
    </row>
    <row r="23" spans="2:8" x14ac:dyDescent="0.25">
      <c r="B23" s="139" t="s">
        <v>374</v>
      </c>
      <c r="C23" s="140">
        <v>191150</v>
      </c>
      <c r="D23" s="140">
        <v>97839</v>
      </c>
      <c r="E23" s="140">
        <v>13951</v>
      </c>
      <c r="F23" s="140">
        <v>396822</v>
      </c>
      <c r="G23" s="141">
        <v>699762</v>
      </c>
      <c r="H23" s="92">
        <f t="shared" si="0"/>
        <v>194.37833333333333</v>
      </c>
    </row>
    <row r="24" spans="2:8" x14ac:dyDescent="0.25">
      <c r="B24" s="139" t="s">
        <v>375</v>
      </c>
      <c r="C24" s="140">
        <v>185252</v>
      </c>
      <c r="D24" s="140">
        <v>110423</v>
      </c>
      <c r="E24" s="140">
        <v>11979</v>
      </c>
      <c r="F24" s="140">
        <v>327354</v>
      </c>
      <c r="G24" s="141">
        <v>635008</v>
      </c>
      <c r="H24" s="92">
        <f t="shared" si="0"/>
        <v>176.39111111111112</v>
      </c>
    </row>
    <row r="25" spans="2:8" x14ac:dyDescent="0.25">
      <c r="B25" s="139" t="s">
        <v>376</v>
      </c>
      <c r="C25" s="140">
        <v>163860</v>
      </c>
      <c r="D25" s="140">
        <v>110290</v>
      </c>
      <c r="E25" s="140">
        <v>9299</v>
      </c>
      <c r="F25" s="140">
        <v>226328</v>
      </c>
      <c r="G25" s="141">
        <v>509777</v>
      </c>
      <c r="H25" s="92">
        <f t="shared" si="0"/>
        <v>141.60472222222222</v>
      </c>
    </row>
    <row r="26" spans="2:8" x14ac:dyDescent="0.25">
      <c r="B26" s="139" t="s">
        <v>377</v>
      </c>
      <c r="C26" s="140">
        <v>140731</v>
      </c>
      <c r="D26" s="140">
        <v>91243</v>
      </c>
      <c r="E26" s="140">
        <v>7239</v>
      </c>
      <c r="F26" s="140">
        <v>179416</v>
      </c>
      <c r="G26" s="141">
        <v>418629</v>
      </c>
      <c r="H26" s="92">
        <f t="shared" si="0"/>
        <v>116.28583333333333</v>
      </c>
    </row>
    <row r="27" spans="2:8" x14ac:dyDescent="0.25">
      <c r="B27" s="139" t="s">
        <v>378</v>
      </c>
      <c r="C27" s="140">
        <v>128695</v>
      </c>
      <c r="D27" s="140">
        <v>65014</v>
      </c>
      <c r="E27" s="140">
        <v>5438</v>
      </c>
      <c r="F27" s="140">
        <v>160125</v>
      </c>
      <c r="G27" s="141">
        <v>359272</v>
      </c>
      <c r="H27" s="92">
        <f t="shared" si="0"/>
        <v>99.797777777777782</v>
      </c>
    </row>
    <row r="28" spans="2:8" x14ac:dyDescent="0.25">
      <c r="B28" s="139" t="s">
        <v>379</v>
      </c>
      <c r="C28" s="140">
        <v>107721</v>
      </c>
      <c r="D28" s="140">
        <v>38329</v>
      </c>
      <c r="E28" s="140">
        <v>3833</v>
      </c>
      <c r="F28" s="140">
        <v>157246</v>
      </c>
      <c r="G28" s="141">
        <v>307129</v>
      </c>
      <c r="H28" s="92">
        <f t="shared" si="0"/>
        <v>85.313611111111115</v>
      </c>
    </row>
    <row r="29" spans="2:8" x14ac:dyDescent="0.25">
      <c r="B29" s="139" t="s">
        <v>380</v>
      </c>
      <c r="C29" s="140">
        <v>87562</v>
      </c>
      <c r="D29" s="140">
        <v>19330</v>
      </c>
      <c r="E29" s="140">
        <v>2506</v>
      </c>
      <c r="F29" s="140">
        <v>126151</v>
      </c>
      <c r="G29" s="141">
        <v>235549</v>
      </c>
      <c r="H29" s="92">
        <f t="shared" si="0"/>
        <v>65.430277777777775</v>
      </c>
    </row>
    <row r="30" spans="2:8" x14ac:dyDescent="0.25">
      <c r="B30" s="139" t="s">
        <v>381</v>
      </c>
      <c r="C30" s="140">
        <v>39784</v>
      </c>
      <c r="D30" s="140">
        <v>8412</v>
      </c>
      <c r="E30" s="140">
        <v>1165</v>
      </c>
      <c r="F30" s="140">
        <v>69043</v>
      </c>
      <c r="G30" s="141">
        <v>118404</v>
      </c>
      <c r="H30" s="92">
        <f t="shared" si="0"/>
        <v>32.89</v>
      </c>
    </row>
    <row r="31" spans="2:8" x14ac:dyDescent="0.25">
      <c r="B31" s="146" t="s">
        <v>388</v>
      </c>
      <c r="C31" s="147">
        <v>2832224</v>
      </c>
      <c r="D31" s="147">
        <v>1338569</v>
      </c>
      <c r="E31" s="147">
        <v>174404</v>
      </c>
      <c r="F31" s="147">
        <v>5288031</v>
      </c>
      <c r="G31" s="147">
        <v>9633228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workbookViewId="0">
      <selection activeCell="D6" sqref="D6:D14"/>
    </sheetView>
  </sheetViews>
  <sheetFormatPr baseColWidth="10" defaultRowHeight="15" x14ac:dyDescent="0.25"/>
  <cols>
    <col min="1" max="1" width="23.28515625" customWidth="1"/>
  </cols>
  <sheetData>
    <row r="1" spans="1:13" x14ac:dyDescent="0.25">
      <c r="A1" s="26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158" t="s">
        <v>141</v>
      </c>
      <c r="B2" s="158"/>
      <c r="C2" s="158"/>
      <c r="D2" s="158"/>
      <c r="E2" s="69"/>
      <c r="F2" s="69"/>
      <c r="G2" s="69"/>
      <c r="H2" s="69"/>
      <c r="I2" s="69"/>
      <c r="J2" s="69"/>
      <c r="K2" s="69"/>
      <c r="L2" s="69"/>
      <c r="M2" s="70"/>
    </row>
    <row r="3" spans="1:13" x14ac:dyDescent="0.25">
      <c r="A3" s="27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1:13" x14ac:dyDescent="0.25">
      <c r="A4" s="29" t="s">
        <v>116</v>
      </c>
      <c r="B4" s="159" t="s">
        <v>117</v>
      </c>
      <c r="C4" s="159"/>
      <c r="D4" s="159"/>
      <c r="E4" s="159"/>
      <c r="F4" s="159" t="s">
        <v>118</v>
      </c>
      <c r="G4" s="159"/>
      <c r="H4" s="159"/>
      <c r="I4" s="159"/>
      <c r="J4" s="159" t="s">
        <v>54</v>
      </c>
      <c r="K4" s="159"/>
      <c r="L4" s="159"/>
      <c r="M4" s="159"/>
    </row>
    <row r="5" spans="1:13" x14ac:dyDescent="0.25">
      <c r="A5" s="30" t="s">
        <v>120</v>
      </c>
      <c r="B5" s="31">
        <v>2016</v>
      </c>
      <c r="C5" s="31">
        <v>2017</v>
      </c>
      <c r="D5" s="31">
        <v>2018</v>
      </c>
      <c r="E5" s="32" t="s">
        <v>121</v>
      </c>
      <c r="F5" s="31">
        <v>2016</v>
      </c>
      <c r="G5" s="31">
        <v>2017</v>
      </c>
      <c r="H5" s="31">
        <v>2018</v>
      </c>
      <c r="I5" s="32" t="s">
        <v>121</v>
      </c>
      <c r="J5" s="31">
        <v>2016</v>
      </c>
      <c r="K5" s="31">
        <v>2017</v>
      </c>
      <c r="L5" s="31">
        <v>2018</v>
      </c>
      <c r="M5" s="32" t="s">
        <v>121</v>
      </c>
    </row>
    <row r="6" spans="1:13" x14ac:dyDescent="0.25">
      <c r="A6" s="33" t="s">
        <v>122</v>
      </c>
      <c r="B6" s="34">
        <v>80531</v>
      </c>
      <c r="C6" s="34">
        <v>83573</v>
      </c>
      <c r="D6" s="34">
        <v>101187</v>
      </c>
      <c r="E6" s="35">
        <f>D6-C6</f>
        <v>17614</v>
      </c>
      <c r="F6" s="34">
        <v>5423</v>
      </c>
      <c r="G6" s="34">
        <v>5482</v>
      </c>
      <c r="H6" s="34">
        <v>5878</v>
      </c>
      <c r="I6" s="35">
        <f>H6-G6</f>
        <v>396</v>
      </c>
      <c r="J6" s="34">
        <v>85954</v>
      </c>
      <c r="K6" s="34">
        <f t="shared" ref="K6:L16" si="0">C6+G6</f>
        <v>89055</v>
      </c>
      <c r="L6" s="34">
        <f t="shared" si="0"/>
        <v>107065</v>
      </c>
      <c r="M6" s="35">
        <f>L6-K6</f>
        <v>18010</v>
      </c>
    </row>
    <row r="7" spans="1:13" x14ac:dyDescent="0.25">
      <c r="A7" s="38" t="s">
        <v>123</v>
      </c>
      <c r="B7" s="37">
        <v>83952</v>
      </c>
      <c r="C7" s="37">
        <v>83674</v>
      </c>
      <c r="D7" s="37">
        <v>106445</v>
      </c>
      <c r="E7" s="39">
        <f>D7-C7</f>
        <v>22771</v>
      </c>
      <c r="F7" s="37">
        <v>5591</v>
      </c>
      <c r="G7" s="37">
        <v>5478</v>
      </c>
      <c r="H7" s="37">
        <v>5968</v>
      </c>
      <c r="I7" s="39">
        <f>H7-G7</f>
        <v>490</v>
      </c>
      <c r="J7" s="37">
        <v>89543</v>
      </c>
      <c r="K7" s="37">
        <f t="shared" si="0"/>
        <v>89152</v>
      </c>
      <c r="L7" s="37">
        <f>D7+H7</f>
        <v>112413</v>
      </c>
      <c r="M7" s="39">
        <f>L7-K7</f>
        <v>23261</v>
      </c>
    </row>
    <row r="8" spans="1:13" x14ac:dyDescent="0.25">
      <c r="A8" s="38" t="s">
        <v>124</v>
      </c>
      <c r="B8" s="37">
        <v>86875</v>
      </c>
      <c r="C8" s="37">
        <v>85150</v>
      </c>
      <c r="D8" s="37">
        <v>107421</v>
      </c>
      <c r="E8" s="39">
        <f>D8-C8</f>
        <v>22271</v>
      </c>
      <c r="F8" s="37">
        <v>5730</v>
      </c>
      <c r="G8" s="37">
        <v>5562</v>
      </c>
      <c r="H8" s="37">
        <v>5800</v>
      </c>
      <c r="I8" s="39">
        <f>H8-G8</f>
        <v>238</v>
      </c>
      <c r="J8" s="37">
        <v>92605</v>
      </c>
      <c r="K8" s="37">
        <f t="shared" si="0"/>
        <v>90712</v>
      </c>
      <c r="L8" s="37">
        <f t="shared" si="0"/>
        <v>113221</v>
      </c>
      <c r="M8" s="39">
        <f>L8-K8</f>
        <v>22509</v>
      </c>
    </row>
    <row r="9" spans="1:13" x14ac:dyDescent="0.25">
      <c r="A9" s="38" t="s">
        <v>125</v>
      </c>
      <c r="B9" s="37">
        <v>90133</v>
      </c>
      <c r="C9" s="37">
        <v>86857</v>
      </c>
      <c r="D9" s="37">
        <v>111478</v>
      </c>
      <c r="E9" s="39">
        <f>D9-C9</f>
        <v>24621</v>
      </c>
      <c r="F9" s="37">
        <v>5859</v>
      </c>
      <c r="G9" s="37">
        <v>5616</v>
      </c>
      <c r="H9" s="37">
        <v>5782</v>
      </c>
      <c r="I9" s="39">
        <f>H9-G9</f>
        <v>166</v>
      </c>
      <c r="J9" s="37">
        <v>95992</v>
      </c>
      <c r="K9" s="37">
        <f t="shared" si="0"/>
        <v>92473</v>
      </c>
      <c r="L9" s="37">
        <f>D9+H9</f>
        <v>117260</v>
      </c>
      <c r="M9" s="39">
        <f>L9-K9</f>
        <v>24787</v>
      </c>
    </row>
    <row r="10" spans="1:13" x14ac:dyDescent="0.25">
      <c r="A10" s="38" t="s">
        <v>126</v>
      </c>
      <c r="B10" s="37">
        <v>93446</v>
      </c>
      <c r="C10" s="37">
        <v>87741</v>
      </c>
      <c r="D10" s="37">
        <v>113485</v>
      </c>
      <c r="E10" s="39">
        <f>D10-C10</f>
        <v>25744</v>
      </c>
      <c r="F10" s="37">
        <v>6010</v>
      </c>
      <c r="G10" s="37">
        <v>5794</v>
      </c>
      <c r="H10" s="37">
        <v>5826</v>
      </c>
      <c r="I10" s="39">
        <f>H10-G10</f>
        <v>32</v>
      </c>
      <c r="J10" s="37">
        <v>99456</v>
      </c>
      <c r="K10" s="37">
        <f t="shared" si="0"/>
        <v>93535</v>
      </c>
      <c r="L10" s="37">
        <f t="shared" si="0"/>
        <v>119311</v>
      </c>
      <c r="M10" s="39">
        <f>L10-K10</f>
        <v>25776</v>
      </c>
    </row>
    <row r="11" spans="1:13" x14ac:dyDescent="0.25">
      <c r="A11" s="38" t="s">
        <v>127</v>
      </c>
      <c r="B11" s="37">
        <v>96378</v>
      </c>
      <c r="C11" s="37">
        <v>88929</v>
      </c>
      <c r="D11" s="37">
        <v>114206</v>
      </c>
      <c r="E11" s="39">
        <f t="shared" ref="E11:E12" si="1">D11-C11</f>
        <v>25277</v>
      </c>
      <c r="F11" s="37">
        <v>6121</v>
      </c>
      <c r="G11" s="37">
        <v>5879</v>
      </c>
      <c r="H11" s="37">
        <v>5907</v>
      </c>
      <c r="I11" s="39">
        <f t="shared" ref="I11:I17" si="2">H11-G11</f>
        <v>28</v>
      </c>
      <c r="J11" s="37">
        <v>102499</v>
      </c>
      <c r="K11" s="37">
        <f t="shared" si="0"/>
        <v>94808</v>
      </c>
      <c r="L11" s="37">
        <f t="shared" si="0"/>
        <v>120113</v>
      </c>
      <c r="M11" s="39">
        <f t="shared" ref="M11:M17" si="3">L11-K11</f>
        <v>25305</v>
      </c>
    </row>
    <row r="12" spans="1:13" x14ac:dyDescent="0.25">
      <c r="A12" s="38" t="s">
        <v>128</v>
      </c>
      <c r="B12" s="37">
        <v>87197</v>
      </c>
      <c r="C12" s="37">
        <v>90773</v>
      </c>
      <c r="D12" s="37">
        <v>116971</v>
      </c>
      <c r="E12" s="39">
        <f t="shared" si="1"/>
        <v>26198</v>
      </c>
      <c r="F12" s="37">
        <v>5773</v>
      </c>
      <c r="G12" s="37">
        <v>5851</v>
      </c>
      <c r="H12" s="37">
        <v>5951</v>
      </c>
      <c r="I12" s="39">
        <f t="shared" si="2"/>
        <v>100</v>
      </c>
      <c r="J12" s="37">
        <v>92970</v>
      </c>
      <c r="K12" s="37">
        <f t="shared" si="0"/>
        <v>96624</v>
      </c>
      <c r="L12" s="37">
        <f t="shared" si="0"/>
        <v>122922</v>
      </c>
      <c r="M12" s="39">
        <f t="shared" si="3"/>
        <v>26298</v>
      </c>
    </row>
    <row r="13" spans="1:13" x14ac:dyDescent="0.25">
      <c r="A13" s="38" t="s">
        <v>129</v>
      </c>
      <c r="B13" s="37">
        <v>82570</v>
      </c>
      <c r="C13" s="37">
        <v>92908</v>
      </c>
      <c r="D13" s="37">
        <v>118713</v>
      </c>
      <c r="E13" s="39">
        <f>D13-C13</f>
        <v>25805</v>
      </c>
      <c r="F13" s="37">
        <v>5507</v>
      </c>
      <c r="G13" s="37">
        <v>5924</v>
      </c>
      <c r="H13" s="37">
        <v>6226</v>
      </c>
      <c r="I13" s="39">
        <f t="shared" si="2"/>
        <v>302</v>
      </c>
      <c r="J13" s="37">
        <v>88077</v>
      </c>
      <c r="K13" s="37">
        <f t="shared" si="0"/>
        <v>98832</v>
      </c>
      <c r="L13" s="37">
        <f t="shared" si="0"/>
        <v>124939</v>
      </c>
      <c r="M13" s="39">
        <f t="shared" si="3"/>
        <v>26107</v>
      </c>
    </row>
    <row r="14" spans="1:13" x14ac:dyDescent="0.25">
      <c r="A14" s="38" t="s">
        <v>130</v>
      </c>
      <c r="B14" s="37">
        <v>82554</v>
      </c>
      <c r="C14" s="37">
        <v>94392</v>
      </c>
      <c r="D14" s="37">
        <v>111427</v>
      </c>
      <c r="E14" s="39">
        <f>D14-C14</f>
        <v>17035</v>
      </c>
      <c r="F14" s="37">
        <v>5478</v>
      </c>
      <c r="G14" s="37">
        <v>6060</v>
      </c>
      <c r="H14" s="37">
        <v>5850</v>
      </c>
      <c r="I14" s="39">
        <f t="shared" si="2"/>
        <v>-210</v>
      </c>
      <c r="J14" s="37">
        <v>88032</v>
      </c>
      <c r="K14" s="37">
        <f t="shared" si="0"/>
        <v>100452</v>
      </c>
      <c r="L14" s="37">
        <f t="shared" si="0"/>
        <v>117277</v>
      </c>
      <c r="M14" s="39">
        <f t="shared" si="3"/>
        <v>16825</v>
      </c>
    </row>
    <row r="15" spans="1:13" x14ac:dyDescent="0.25">
      <c r="A15" s="38" t="s">
        <v>131</v>
      </c>
      <c r="B15" s="37">
        <v>82968</v>
      </c>
      <c r="C15" s="37">
        <v>95835</v>
      </c>
      <c r="D15" s="37"/>
      <c r="E15" s="39">
        <f>D15-C15</f>
        <v>-95835</v>
      </c>
      <c r="F15" s="37">
        <v>5455</v>
      </c>
      <c r="G15" s="37">
        <v>6021</v>
      </c>
      <c r="H15" s="37"/>
      <c r="I15" s="39">
        <f t="shared" si="2"/>
        <v>-6021</v>
      </c>
      <c r="J15" s="37">
        <v>88423</v>
      </c>
      <c r="K15" s="37">
        <f t="shared" si="0"/>
        <v>101856</v>
      </c>
      <c r="L15" s="37">
        <f t="shared" si="0"/>
        <v>0</v>
      </c>
      <c r="M15" s="39">
        <f t="shared" si="3"/>
        <v>-101856</v>
      </c>
    </row>
    <row r="16" spans="1:13" x14ac:dyDescent="0.25">
      <c r="A16" s="38" t="s">
        <v>132</v>
      </c>
      <c r="B16" s="37">
        <v>82816</v>
      </c>
      <c r="C16" s="37">
        <v>97124</v>
      </c>
      <c r="D16" s="37"/>
      <c r="E16" s="39">
        <f>D16-C16</f>
        <v>-97124</v>
      </c>
      <c r="F16" s="37">
        <v>5491</v>
      </c>
      <c r="G16" s="37">
        <v>5954</v>
      </c>
      <c r="H16" s="37"/>
      <c r="I16" s="39">
        <f t="shared" si="2"/>
        <v>-5954</v>
      </c>
      <c r="J16" s="37">
        <v>88307</v>
      </c>
      <c r="K16" s="37">
        <f>C16+G16</f>
        <v>103078</v>
      </c>
      <c r="L16" s="37">
        <f t="shared" si="0"/>
        <v>0</v>
      </c>
      <c r="M16" s="39">
        <f t="shared" si="3"/>
        <v>-103078</v>
      </c>
    </row>
    <row r="17" spans="1:13" x14ac:dyDescent="0.25">
      <c r="A17" s="41" t="s">
        <v>133</v>
      </c>
      <c r="B17" s="42">
        <v>85947</v>
      </c>
      <c r="C17" s="42">
        <v>103090</v>
      </c>
      <c r="D17" s="42"/>
      <c r="E17" s="43">
        <f>D17-C17</f>
        <v>-103090</v>
      </c>
      <c r="F17" s="42">
        <v>5595</v>
      </c>
      <c r="G17" s="42">
        <v>6024</v>
      </c>
      <c r="H17" s="42"/>
      <c r="I17" s="43">
        <f t="shared" si="2"/>
        <v>-6024</v>
      </c>
      <c r="J17" s="42">
        <v>91542</v>
      </c>
      <c r="K17" s="42">
        <f>C17+G17</f>
        <v>109114</v>
      </c>
      <c r="L17" s="42">
        <f>D17+H17</f>
        <v>0</v>
      </c>
      <c r="M17" s="43">
        <f t="shared" si="3"/>
        <v>-109114</v>
      </c>
    </row>
    <row r="18" spans="1:13" x14ac:dyDescent="0.25">
      <c r="A18" s="26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25">
      <c r="A19" s="26"/>
      <c r="B19" s="25"/>
      <c r="C19" s="25"/>
      <c r="D19" s="25"/>
      <c r="E19" s="25"/>
      <c r="F19" s="25"/>
      <c r="G19" s="25"/>
      <c r="H19" s="25"/>
      <c r="I19" s="25"/>
      <c r="J19" s="25"/>
      <c r="K19" s="25"/>
      <c r="M19" s="25"/>
    </row>
  </sheetData>
  <mergeCells count="4">
    <mergeCell ref="A2:D2"/>
    <mergeCell ref="B4:E4"/>
    <mergeCell ref="F4:I4"/>
    <mergeCell ref="J4:M4"/>
  </mergeCells>
  <conditionalFormatting sqref="B6:B15 F6:F15">
    <cfRule type="cellIs" dxfId="84" priority="16" operator="lessThan">
      <formula>0</formula>
    </cfRule>
  </conditionalFormatting>
  <conditionalFormatting sqref="B6:B15 F6:F15">
    <cfRule type="cellIs" dxfId="83" priority="15" operator="lessThan">
      <formula>0</formula>
    </cfRule>
  </conditionalFormatting>
  <conditionalFormatting sqref="E6:E17">
    <cfRule type="cellIs" dxfId="82" priority="13" operator="lessThan">
      <formula>0</formula>
    </cfRule>
  </conditionalFormatting>
  <conditionalFormatting sqref="E6:E17">
    <cfRule type="cellIs" dxfId="81" priority="14" operator="lessThan">
      <formula>0</formula>
    </cfRule>
  </conditionalFormatting>
  <conditionalFormatting sqref="E17">
    <cfRule type="cellIs" dxfId="80" priority="12" operator="lessThan">
      <formula>0</formula>
    </cfRule>
  </conditionalFormatting>
  <conditionalFormatting sqref="E17">
    <cfRule type="cellIs" dxfId="79" priority="11" operator="lessThan">
      <formula>0</formula>
    </cfRule>
  </conditionalFormatting>
  <conditionalFormatting sqref="I6:I17">
    <cfRule type="cellIs" dxfId="78" priority="9" operator="lessThan">
      <formula>0</formula>
    </cfRule>
  </conditionalFormatting>
  <conditionalFormatting sqref="I6:I17">
    <cfRule type="cellIs" dxfId="77" priority="10" operator="lessThan">
      <formula>0</formula>
    </cfRule>
  </conditionalFormatting>
  <conditionalFormatting sqref="I17">
    <cfRule type="cellIs" dxfId="76" priority="8" operator="lessThan">
      <formula>0</formula>
    </cfRule>
  </conditionalFormatting>
  <conditionalFormatting sqref="I17">
    <cfRule type="cellIs" dxfId="75" priority="7" operator="lessThan">
      <formula>0</formula>
    </cfRule>
  </conditionalFormatting>
  <conditionalFormatting sqref="J6:J15">
    <cfRule type="cellIs" dxfId="74" priority="6" operator="lessThan">
      <formula>0</formula>
    </cfRule>
  </conditionalFormatting>
  <conditionalFormatting sqref="J6:J15">
    <cfRule type="cellIs" dxfId="73" priority="5" operator="lessThan">
      <formula>0</formula>
    </cfRule>
  </conditionalFormatting>
  <conditionalFormatting sqref="M6:M17">
    <cfRule type="cellIs" dxfId="72" priority="3" operator="lessThan">
      <formula>0</formula>
    </cfRule>
  </conditionalFormatting>
  <conditionalFormatting sqref="M6:M17">
    <cfRule type="cellIs" dxfId="71" priority="4" operator="lessThan">
      <formula>0</formula>
    </cfRule>
  </conditionalFormatting>
  <conditionalFormatting sqref="M17">
    <cfRule type="cellIs" dxfId="70" priority="2" operator="lessThan">
      <formula>0</formula>
    </cfRule>
  </conditionalFormatting>
  <conditionalFormatting sqref="M17">
    <cfRule type="cellIs" dxfId="69" priority="1" operator="less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"/>
  <sheetViews>
    <sheetView showGridLines="0" topLeftCell="A40" zoomScaleNormal="100" workbookViewId="0">
      <selection activeCell="D57" sqref="D57"/>
    </sheetView>
  </sheetViews>
  <sheetFormatPr baseColWidth="10" defaultRowHeight="15" customHeight="1" x14ac:dyDescent="0.25"/>
  <cols>
    <col min="1" max="1" width="16.7109375" style="26" customWidth="1"/>
    <col min="2" max="9" width="8.85546875" style="25" customWidth="1"/>
    <col min="10" max="16" width="9" style="25" customWidth="1"/>
    <col min="17" max="17" width="9" style="26" customWidth="1"/>
    <col min="18" max="16384" width="11.42578125" style="26"/>
  </cols>
  <sheetData>
    <row r="1" spans="1:17" ht="15" customHeight="1" x14ac:dyDescent="0.25">
      <c r="A1" s="160" t="s">
        <v>114</v>
      </c>
      <c r="B1" s="160"/>
      <c r="C1" s="160"/>
    </row>
    <row r="3" spans="1:17" ht="15" customHeight="1" x14ac:dyDescent="0.25">
      <c r="A3" s="158" t="s">
        <v>115</v>
      </c>
      <c r="B3" s="158"/>
      <c r="C3" s="158"/>
      <c r="D3" s="158"/>
      <c r="E3" s="158"/>
      <c r="F3" s="27"/>
      <c r="G3" s="27"/>
      <c r="H3" s="27"/>
      <c r="I3" s="27"/>
      <c r="J3" s="27"/>
      <c r="K3" s="27"/>
      <c r="L3" s="27"/>
      <c r="M3" s="28"/>
      <c r="N3" s="28"/>
      <c r="O3" s="28"/>
      <c r="P3" s="28"/>
    </row>
    <row r="4" spans="1:17" ht="1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  <c r="N4" s="26"/>
      <c r="O4" s="26"/>
      <c r="P4" s="26"/>
    </row>
    <row r="5" spans="1:17" ht="15" customHeight="1" x14ac:dyDescent="0.25">
      <c r="A5" s="29" t="s">
        <v>116</v>
      </c>
      <c r="B5" s="159" t="s">
        <v>117</v>
      </c>
      <c r="C5" s="159"/>
      <c r="D5" s="159"/>
      <c r="E5" s="159"/>
      <c r="F5" s="159" t="s">
        <v>118</v>
      </c>
      <c r="G5" s="159"/>
      <c r="H5" s="159"/>
      <c r="I5" s="159"/>
      <c r="J5" s="159" t="s">
        <v>119</v>
      </c>
      <c r="K5" s="159"/>
      <c r="L5" s="159"/>
      <c r="M5" s="159"/>
      <c r="N5" s="159" t="s">
        <v>54</v>
      </c>
      <c r="O5" s="159"/>
      <c r="P5" s="159"/>
      <c r="Q5" s="159"/>
    </row>
    <row r="6" spans="1:17" ht="15" customHeight="1" x14ac:dyDescent="0.25">
      <c r="A6" s="30" t="s">
        <v>120</v>
      </c>
      <c r="B6" s="31">
        <v>2016</v>
      </c>
      <c r="C6" s="31">
        <v>2017</v>
      </c>
      <c r="D6" s="31">
        <v>2018</v>
      </c>
      <c r="E6" s="32" t="s">
        <v>121</v>
      </c>
      <c r="F6" s="31">
        <v>2016</v>
      </c>
      <c r="G6" s="31">
        <v>2017</v>
      </c>
      <c r="H6" s="31">
        <v>2018</v>
      </c>
      <c r="I6" s="32" t="s">
        <v>121</v>
      </c>
      <c r="J6" s="31">
        <v>2016</v>
      </c>
      <c r="K6" s="31">
        <v>2017</v>
      </c>
      <c r="L6" s="31">
        <v>2018</v>
      </c>
      <c r="M6" s="32" t="s">
        <v>121</v>
      </c>
      <c r="N6" s="31">
        <v>2016</v>
      </c>
      <c r="O6" s="31">
        <v>2017</v>
      </c>
      <c r="P6" s="31">
        <v>2018</v>
      </c>
      <c r="Q6" s="32" t="s">
        <v>121</v>
      </c>
    </row>
    <row r="7" spans="1:17" ht="15" customHeight="1" x14ac:dyDescent="0.25">
      <c r="A7" s="33" t="s">
        <v>122</v>
      </c>
      <c r="B7" s="34">
        <v>2459115</v>
      </c>
      <c r="C7" s="34">
        <v>3040445</v>
      </c>
      <c r="D7" s="34">
        <v>4137243</v>
      </c>
      <c r="E7" s="35">
        <f>D7-C7</f>
        <v>1096798</v>
      </c>
      <c r="F7" s="34">
        <v>2522</v>
      </c>
      <c r="G7" s="34">
        <v>1337</v>
      </c>
      <c r="H7" s="34">
        <v>1424</v>
      </c>
      <c r="I7" s="35">
        <f>H7-G7</f>
        <v>87</v>
      </c>
      <c r="J7" s="34">
        <v>504756</v>
      </c>
      <c r="K7" s="34">
        <v>621982</v>
      </c>
      <c r="L7" s="34">
        <v>1924256</v>
      </c>
      <c r="M7" s="35">
        <f>L7-K7</f>
        <v>1302274</v>
      </c>
      <c r="N7" s="36">
        <v>2966393</v>
      </c>
      <c r="O7" s="34">
        <v>3663764</v>
      </c>
      <c r="P7" s="37">
        <f t="shared" ref="P7:P15" si="0">D7+H7+L7</f>
        <v>6062923</v>
      </c>
      <c r="Q7" s="35">
        <f t="shared" ref="Q7:Q20" si="1">P7-O7</f>
        <v>2399159</v>
      </c>
    </row>
    <row r="8" spans="1:17" ht="15" customHeight="1" x14ac:dyDescent="0.25">
      <c r="A8" s="38" t="s">
        <v>123</v>
      </c>
      <c r="B8" s="37">
        <v>2602631</v>
      </c>
      <c r="C8" s="37">
        <v>2787629</v>
      </c>
      <c r="D8" s="37">
        <v>3770069</v>
      </c>
      <c r="E8" s="39">
        <f>D8-C8</f>
        <v>982440</v>
      </c>
      <c r="F8" s="37">
        <v>2266</v>
      </c>
      <c r="G8" s="37">
        <v>1332</v>
      </c>
      <c r="H8" s="37">
        <v>1214</v>
      </c>
      <c r="I8" s="39">
        <f t="shared" ref="I8:I17" si="2">H8-G8</f>
        <v>-118</v>
      </c>
      <c r="J8" s="37">
        <v>411559</v>
      </c>
      <c r="K8" s="37">
        <v>650624</v>
      </c>
      <c r="L8" s="37">
        <v>1829577</v>
      </c>
      <c r="M8" s="39">
        <f t="shared" ref="M8:M17" si="3">L8-K8</f>
        <v>1178953</v>
      </c>
      <c r="N8" s="40">
        <v>3016456</v>
      </c>
      <c r="O8" s="37">
        <v>3439585</v>
      </c>
      <c r="P8" s="37">
        <f t="shared" si="0"/>
        <v>5600860</v>
      </c>
      <c r="Q8" s="39">
        <f t="shared" si="1"/>
        <v>2161275</v>
      </c>
    </row>
    <row r="9" spans="1:17" ht="15" customHeight="1" x14ac:dyDescent="0.25">
      <c r="A9" s="38" t="s">
        <v>124</v>
      </c>
      <c r="B9" s="37">
        <v>2786538</v>
      </c>
      <c r="C9" s="37">
        <v>2937852</v>
      </c>
      <c r="D9" s="37">
        <v>4430407</v>
      </c>
      <c r="E9" s="39">
        <f>D9-C9</f>
        <v>1492555</v>
      </c>
      <c r="F9" s="37">
        <v>2907</v>
      </c>
      <c r="G9" s="37">
        <v>1727</v>
      </c>
      <c r="H9" s="37">
        <v>1392</v>
      </c>
      <c r="I9" s="39">
        <f>H9-G9</f>
        <v>-335</v>
      </c>
      <c r="J9" s="37">
        <v>405237</v>
      </c>
      <c r="K9" s="37">
        <v>433606</v>
      </c>
      <c r="L9" s="37">
        <v>2235725</v>
      </c>
      <c r="M9" s="39">
        <f>L9-K9</f>
        <v>1802119</v>
      </c>
      <c r="N9" s="40">
        <v>3194682</v>
      </c>
      <c r="O9" s="37">
        <v>3373185</v>
      </c>
      <c r="P9" s="37">
        <f t="shared" si="0"/>
        <v>6667524</v>
      </c>
      <c r="Q9" s="39">
        <f t="shared" si="1"/>
        <v>3294339</v>
      </c>
    </row>
    <row r="10" spans="1:17" ht="15" customHeight="1" x14ac:dyDescent="0.25">
      <c r="A10" s="38" t="s">
        <v>125</v>
      </c>
      <c r="B10" s="37">
        <v>2917581</v>
      </c>
      <c r="C10" s="37">
        <v>3673006</v>
      </c>
      <c r="D10" s="37">
        <v>4175530</v>
      </c>
      <c r="E10" s="39">
        <f>D10-C10</f>
        <v>502524</v>
      </c>
      <c r="F10" s="37">
        <v>1745</v>
      </c>
      <c r="G10" s="37">
        <v>1293</v>
      </c>
      <c r="H10" s="37">
        <v>1348</v>
      </c>
      <c r="I10" s="39">
        <f>H10-G10</f>
        <v>55</v>
      </c>
      <c r="J10" s="37">
        <v>368183</v>
      </c>
      <c r="K10" s="37">
        <v>319934</v>
      </c>
      <c r="L10" s="37">
        <v>2183107</v>
      </c>
      <c r="M10" s="39">
        <f>L10-K10</f>
        <v>1863173</v>
      </c>
      <c r="N10" s="40">
        <v>3287509</v>
      </c>
      <c r="O10" s="37">
        <v>3994233</v>
      </c>
      <c r="P10" s="37">
        <f t="shared" si="0"/>
        <v>6359985</v>
      </c>
      <c r="Q10" s="39">
        <f t="shared" si="1"/>
        <v>2365752</v>
      </c>
    </row>
    <row r="11" spans="1:17" ht="15" customHeight="1" x14ac:dyDescent="0.25">
      <c r="A11" s="38" t="s">
        <v>126</v>
      </c>
      <c r="B11" s="37">
        <v>2930328</v>
      </c>
      <c r="C11" s="37">
        <v>3597883</v>
      </c>
      <c r="D11" s="37">
        <v>4457790</v>
      </c>
      <c r="E11" s="39">
        <f t="shared" ref="E11:E16" si="4">D11-C11</f>
        <v>859907</v>
      </c>
      <c r="F11" s="37">
        <v>1819</v>
      </c>
      <c r="G11" s="37">
        <v>1323</v>
      </c>
      <c r="H11" s="37">
        <v>1014</v>
      </c>
      <c r="I11" s="39">
        <f t="shared" si="2"/>
        <v>-309</v>
      </c>
      <c r="J11" s="37">
        <v>388334</v>
      </c>
      <c r="K11" s="37">
        <v>555354</v>
      </c>
      <c r="L11" s="37">
        <v>2124179</v>
      </c>
      <c r="M11" s="39">
        <f t="shared" si="3"/>
        <v>1568825</v>
      </c>
      <c r="N11" s="40">
        <v>3320481</v>
      </c>
      <c r="O11" s="37">
        <v>4154560</v>
      </c>
      <c r="P11" s="37">
        <f t="shared" si="0"/>
        <v>6582983</v>
      </c>
      <c r="Q11" s="39">
        <f t="shared" si="1"/>
        <v>2428423</v>
      </c>
    </row>
    <row r="12" spans="1:17" ht="15" customHeight="1" x14ac:dyDescent="0.25">
      <c r="A12" s="38" t="s">
        <v>127</v>
      </c>
      <c r="B12" s="37">
        <v>3013418</v>
      </c>
      <c r="C12" s="37">
        <v>3429452</v>
      </c>
      <c r="D12" s="37">
        <v>4356955</v>
      </c>
      <c r="E12" s="39">
        <f t="shared" si="4"/>
        <v>927503</v>
      </c>
      <c r="F12" s="37">
        <v>1732</v>
      </c>
      <c r="G12" s="37">
        <v>1254</v>
      </c>
      <c r="H12" s="37">
        <v>922</v>
      </c>
      <c r="I12" s="39">
        <f t="shared" si="2"/>
        <v>-332</v>
      </c>
      <c r="J12" s="37">
        <v>396602</v>
      </c>
      <c r="K12" s="37">
        <v>1859952</v>
      </c>
      <c r="L12" s="37">
        <v>2048696</v>
      </c>
      <c r="M12" s="39">
        <f t="shared" si="3"/>
        <v>188744</v>
      </c>
      <c r="N12" s="40">
        <v>3411752</v>
      </c>
      <c r="O12" s="37">
        <v>5290658</v>
      </c>
      <c r="P12" s="37">
        <f t="shared" si="0"/>
        <v>6406573</v>
      </c>
      <c r="Q12" s="39">
        <f t="shared" si="1"/>
        <v>1115915</v>
      </c>
    </row>
    <row r="13" spans="1:17" ht="15" customHeight="1" x14ac:dyDescent="0.25">
      <c r="A13" s="38" t="s">
        <v>128</v>
      </c>
      <c r="B13" s="37">
        <v>2823365</v>
      </c>
      <c r="C13" s="37">
        <v>3709181</v>
      </c>
      <c r="D13" s="37">
        <v>4640202</v>
      </c>
      <c r="E13" s="39">
        <f t="shared" si="4"/>
        <v>931021</v>
      </c>
      <c r="F13" s="37">
        <v>1537</v>
      </c>
      <c r="G13" s="37">
        <v>1401</v>
      </c>
      <c r="H13" s="37">
        <v>968</v>
      </c>
      <c r="I13" s="39">
        <f t="shared" si="2"/>
        <v>-433</v>
      </c>
      <c r="J13" s="37">
        <v>395636</v>
      </c>
      <c r="K13" s="37">
        <v>1981465</v>
      </c>
      <c r="L13" s="37">
        <v>2032644</v>
      </c>
      <c r="M13" s="39">
        <f>L13-K13</f>
        <v>51179</v>
      </c>
      <c r="N13" s="40">
        <v>3220538</v>
      </c>
      <c r="O13" s="37">
        <v>5692047</v>
      </c>
      <c r="P13" s="37">
        <f t="shared" si="0"/>
        <v>6673814</v>
      </c>
      <c r="Q13" s="39">
        <f t="shared" si="1"/>
        <v>981767</v>
      </c>
    </row>
    <row r="14" spans="1:17" ht="15" customHeight="1" x14ac:dyDescent="0.25">
      <c r="A14" s="38" t="s">
        <v>129</v>
      </c>
      <c r="B14" s="37">
        <v>2758171</v>
      </c>
      <c r="C14" s="37">
        <v>3777330</v>
      </c>
      <c r="D14" s="37">
        <v>4704074</v>
      </c>
      <c r="E14" s="39">
        <f t="shared" si="4"/>
        <v>926744</v>
      </c>
      <c r="F14" s="37">
        <v>1617</v>
      </c>
      <c r="G14" s="37">
        <v>1391</v>
      </c>
      <c r="H14" s="37">
        <v>934</v>
      </c>
      <c r="I14" s="39">
        <f t="shared" si="2"/>
        <v>-457</v>
      </c>
      <c r="J14" s="37">
        <v>429056</v>
      </c>
      <c r="K14" s="37">
        <v>1912947</v>
      </c>
      <c r="L14" s="37">
        <v>2127033</v>
      </c>
      <c r="M14" s="39">
        <f t="shared" si="3"/>
        <v>214086</v>
      </c>
      <c r="N14" s="40">
        <v>3188844</v>
      </c>
      <c r="O14" s="37">
        <v>5691668</v>
      </c>
      <c r="P14" s="37">
        <f t="shared" si="0"/>
        <v>6832041</v>
      </c>
      <c r="Q14" s="39">
        <f t="shared" si="1"/>
        <v>1140373</v>
      </c>
    </row>
    <row r="15" spans="1:17" ht="15" customHeight="1" x14ac:dyDescent="0.25">
      <c r="A15" s="38" t="s">
        <v>130</v>
      </c>
      <c r="B15" s="37">
        <v>2742586</v>
      </c>
      <c r="C15" s="37">
        <v>3364499</v>
      </c>
      <c r="D15" s="37">
        <v>4604901</v>
      </c>
      <c r="E15" s="39">
        <f>D15-C15</f>
        <v>1240402</v>
      </c>
      <c r="F15" s="37">
        <v>1682</v>
      </c>
      <c r="G15" s="37">
        <v>1285</v>
      </c>
      <c r="H15" s="37">
        <v>803</v>
      </c>
      <c r="I15" s="39">
        <f t="shared" si="2"/>
        <v>-482</v>
      </c>
      <c r="J15" s="37">
        <v>316880</v>
      </c>
      <c r="K15" s="37">
        <v>1839447</v>
      </c>
      <c r="L15" s="37">
        <v>2065036</v>
      </c>
      <c r="M15" s="39">
        <f t="shared" si="3"/>
        <v>225589</v>
      </c>
      <c r="N15" s="40">
        <v>3061148</v>
      </c>
      <c r="O15" s="37">
        <v>5205231</v>
      </c>
      <c r="P15" s="37">
        <f t="shared" si="0"/>
        <v>6670740</v>
      </c>
      <c r="Q15" s="39">
        <f t="shared" si="1"/>
        <v>1465509</v>
      </c>
    </row>
    <row r="16" spans="1:17" ht="15" customHeight="1" x14ac:dyDescent="0.25">
      <c r="A16" s="38" t="s">
        <v>131</v>
      </c>
      <c r="B16" s="37">
        <v>2827482</v>
      </c>
      <c r="C16" s="37">
        <v>3616173</v>
      </c>
      <c r="D16" s="37"/>
      <c r="E16" s="39">
        <f t="shared" si="4"/>
        <v>-3616173</v>
      </c>
      <c r="F16" s="37">
        <v>1620</v>
      </c>
      <c r="G16" s="37">
        <v>1411</v>
      </c>
      <c r="H16" s="37"/>
      <c r="I16" s="39">
        <f t="shared" si="2"/>
        <v>-1411</v>
      </c>
      <c r="J16" s="37">
        <v>429320</v>
      </c>
      <c r="K16" s="37">
        <v>1944635</v>
      </c>
      <c r="L16" s="37"/>
      <c r="M16" s="39">
        <f t="shared" si="3"/>
        <v>-1944635</v>
      </c>
      <c r="N16" s="40">
        <v>3258422</v>
      </c>
      <c r="O16" s="37">
        <v>5562219</v>
      </c>
      <c r="P16" s="37"/>
      <c r="Q16" s="39">
        <f t="shared" si="1"/>
        <v>-5562219</v>
      </c>
    </row>
    <row r="17" spans="1:17" ht="15" customHeight="1" x14ac:dyDescent="0.25">
      <c r="A17" s="38" t="s">
        <v>132</v>
      </c>
      <c r="B17" s="37">
        <v>2721679</v>
      </c>
      <c r="C17" s="37">
        <v>3849189</v>
      </c>
      <c r="D17" s="37"/>
      <c r="E17" s="39">
        <f>D17-C17</f>
        <v>-3849189</v>
      </c>
      <c r="F17" s="37">
        <v>1594</v>
      </c>
      <c r="G17" s="37">
        <v>1444</v>
      </c>
      <c r="H17" s="37"/>
      <c r="I17" s="39">
        <f t="shared" si="2"/>
        <v>-1444</v>
      </c>
      <c r="J17" s="37">
        <v>478424</v>
      </c>
      <c r="K17" s="37">
        <v>1957233</v>
      </c>
      <c r="L17" s="37"/>
      <c r="M17" s="39">
        <f t="shared" si="3"/>
        <v>-1957233</v>
      </c>
      <c r="N17" s="40">
        <v>3201697</v>
      </c>
      <c r="O17" s="37">
        <v>5807866</v>
      </c>
      <c r="P17" s="37"/>
      <c r="Q17" s="39">
        <f t="shared" si="1"/>
        <v>-5807866</v>
      </c>
    </row>
    <row r="18" spans="1:17" ht="15" customHeight="1" x14ac:dyDescent="0.25">
      <c r="A18" s="41" t="s">
        <v>133</v>
      </c>
      <c r="B18" s="42">
        <v>2847141</v>
      </c>
      <c r="C18" s="42">
        <v>3871955</v>
      </c>
      <c r="D18" s="42"/>
      <c r="E18" s="43">
        <f>D18-C18</f>
        <v>-3871955</v>
      </c>
      <c r="F18" s="42">
        <v>2151</v>
      </c>
      <c r="G18" s="42">
        <v>1666</v>
      </c>
      <c r="H18" s="42"/>
      <c r="I18" s="43">
        <f>H18-G18</f>
        <v>-1666</v>
      </c>
      <c r="J18" s="42">
        <v>569549</v>
      </c>
      <c r="K18" s="42">
        <v>2437224</v>
      </c>
      <c r="L18" s="42"/>
      <c r="M18" s="43">
        <f>L18-K18</f>
        <v>-2437224</v>
      </c>
      <c r="N18" s="44">
        <v>3418451</v>
      </c>
      <c r="O18" s="42">
        <v>6310845</v>
      </c>
      <c r="P18" s="42"/>
      <c r="Q18" s="43">
        <f t="shared" si="1"/>
        <v>-6310845</v>
      </c>
    </row>
    <row r="19" spans="1:17" ht="15" customHeight="1" x14ac:dyDescent="0.25">
      <c r="A19" s="45" t="s">
        <v>134</v>
      </c>
      <c r="B19" s="46">
        <f>SUM(B7:B15)</f>
        <v>25033733</v>
      </c>
      <c r="C19" s="46">
        <f>SUM(C7:C15)</f>
        <v>30317277</v>
      </c>
      <c r="D19" s="46">
        <f>SUM(D7:D15)</f>
        <v>39277171</v>
      </c>
      <c r="E19" s="47">
        <f>D19-C19</f>
        <v>8959894</v>
      </c>
      <c r="F19" s="46">
        <f>SUM(F7:F15)</f>
        <v>17827</v>
      </c>
      <c r="G19" s="46">
        <f>SUM(G7:G15)</f>
        <v>12343</v>
      </c>
      <c r="H19" s="46">
        <f>SUM(H7:H15)</f>
        <v>10019</v>
      </c>
      <c r="I19" s="47">
        <f>H19-G19</f>
        <v>-2324</v>
      </c>
      <c r="J19" s="46">
        <f>SUM(J7:J15)</f>
        <v>3616243</v>
      </c>
      <c r="K19" s="46">
        <f>SUM(K7:K15)</f>
        <v>10175311</v>
      </c>
      <c r="L19" s="46">
        <f>SUM(L7:L15)</f>
        <v>18570253</v>
      </c>
      <c r="M19" s="47">
        <f>L19-K19</f>
        <v>8394942</v>
      </c>
      <c r="N19" s="46">
        <f>SUM(N7:N15)</f>
        <v>28667803</v>
      </c>
      <c r="O19" s="46">
        <f>SUM(O7:O15)</f>
        <v>40504931</v>
      </c>
      <c r="P19" s="46">
        <f>SUM(P7:P15)</f>
        <v>57857443</v>
      </c>
      <c r="Q19" s="47">
        <f t="shared" si="1"/>
        <v>17352512</v>
      </c>
    </row>
    <row r="20" spans="1:17" ht="15" customHeight="1" x14ac:dyDescent="0.25">
      <c r="A20" s="48" t="s">
        <v>54</v>
      </c>
      <c r="B20" s="49">
        <f>SUM(B7:B18)</f>
        <v>33430035</v>
      </c>
      <c r="C20" s="46">
        <f>SUM(C7:C18)</f>
        <v>41654594</v>
      </c>
      <c r="D20" s="46">
        <f>SUM(D7:D18)</f>
        <v>39277171</v>
      </c>
      <c r="E20" s="47">
        <f>D20-C20</f>
        <v>-2377423</v>
      </c>
      <c r="F20" s="49">
        <f>SUM(F7:F18)</f>
        <v>23192</v>
      </c>
      <c r="G20" s="46">
        <f>SUM(G7:G18)</f>
        <v>16864</v>
      </c>
      <c r="H20" s="46">
        <f>SUM(H7:H18)</f>
        <v>10019</v>
      </c>
      <c r="I20" s="47">
        <f>H20-G20</f>
        <v>-6845</v>
      </c>
      <c r="J20" s="49">
        <f>SUM(J7:J18)</f>
        <v>5093536</v>
      </c>
      <c r="K20" s="46">
        <f>SUM(K7:K18)</f>
        <v>16514403</v>
      </c>
      <c r="L20" s="46">
        <f>SUM(L7:L18)</f>
        <v>18570253</v>
      </c>
      <c r="M20" s="47">
        <f>L20-K20</f>
        <v>2055850</v>
      </c>
      <c r="N20" s="49">
        <f>SUM(N7:N18)</f>
        <v>38546373</v>
      </c>
      <c r="O20" s="46">
        <f>SUM(O7:O18)</f>
        <v>58185861</v>
      </c>
      <c r="P20" s="46">
        <f>SUM(P7:P18)</f>
        <v>57857443</v>
      </c>
      <c r="Q20" s="47">
        <f t="shared" si="1"/>
        <v>-328418</v>
      </c>
    </row>
    <row r="21" spans="1:17" ht="15" customHeight="1" x14ac:dyDescent="0.25">
      <c r="A21" s="50"/>
      <c r="N21" s="26"/>
      <c r="O21" s="26"/>
      <c r="P21" s="26"/>
    </row>
    <row r="24" spans="1:17" ht="15" customHeight="1" x14ac:dyDescent="0.25">
      <c r="A24" s="158" t="s">
        <v>135</v>
      </c>
      <c r="B24" s="158"/>
      <c r="C24" s="158"/>
      <c r="D24" s="158"/>
      <c r="E24" s="27"/>
      <c r="F24" s="27"/>
      <c r="G24" s="27"/>
      <c r="H24" s="27"/>
      <c r="I24" s="27"/>
      <c r="J24" s="27"/>
      <c r="K24" s="27"/>
      <c r="L24" s="27"/>
      <c r="M24" s="28"/>
      <c r="N24" s="28"/>
      <c r="O24" s="28"/>
      <c r="P24" s="28"/>
    </row>
    <row r="25" spans="1:17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8"/>
      <c r="O25" s="28"/>
      <c r="P25" s="28"/>
    </row>
    <row r="26" spans="1:17" ht="15" customHeight="1" x14ac:dyDescent="0.25">
      <c r="A26" s="29" t="s">
        <v>116</v>
      </c>
      <c r="B26" s="159" t="s">
        <v>117</v>
      </c>
      <c r="C26" s="159"/>
      <c r="D26" s="159"/>
      <c r="E26" s="159"/>
      <c r="F26" s="159" t="s">
        <v>118</v>
      </c>
      <c r="G26" s="159"/>
      <c r="H26" s="159"/>
      <c r="I26" s="159"/>
      <c r="J26" s="159" t="s">
        <v>119</v>
      </c>
      <c r="K26" s="159"/>
      <c r="L26" s="159"/>
      <c r="M26" s="159"/>
      <c r="N26" s="159" t="s">
        <v>54</v>
      </c>
      <c r="O26" s="159"/>
      <c r="P26" s="159"/>
      <c r="Q26" s="159"/>
    </row>
    <row r="27" spans="1:17" ht="15" customHeight="1" x14ac:dyDescent="0.25">
      <c r="A27" s="51" t="s">
        <v>120</v>
      </c>
      <c r="B27" s="52">
        <v>2016</v>
      </c>
      <c r="C27" s="52">
        <v>2017</v>
      </c>
      <c r="D27" s="52">
        <v>2018</v>
      </c>
      <c r="E27" s="53" t="s">
        <v>121</v>
      </c>
      <c r="F27" s="52">
        <v>2016</v>
      </c>
      <c r="G27" s="52">
        <v>2017</v>
      </c>
      <c r="H27" s="52">
        <v>2018</v>
      </c>
      <c r="I27" s="32" t="s">
        <v>121</v>
      </c>
      <c r="J27" s="52">
        <v>2016</v>
      </c>
      <c r="K27" s="52">
        <v>2017</v>
      </c>
      <c r="L27" s="52">
        <v>2018</v>
      </c>
      <c r="M27" s="32" t="s">
        <v>121</v>
      </c>
      <c r="N27" s="52">
        <v>2016</v>
      </c>
      <c r="O27" s="52">
        <v>2017</v>
      </c>
      <c r="P27" s="52">
        <v>2018</v>
      </c>
      <c r="Q27" s="32" t="s">
        <v>121</v>
      </c>
    </row>
    <row r="28" spans="1:17" ht="15" customHeight="1" x14ac:dyDescent="0.25">
      <c r="A28" s="33" t="s">
        <v>122</v>
      </c>
      <c r="B28" s="37">
        <f>IFERROR($N28*$B7/$N7,0)</f>
        <v>58265.362449041641</v>
      </c>
      <c r="C28" s="37">
        <f>IFERROR($O28*$C7/$O7,0)</f>
        <v>57170.691086870138</v>
      </c>
      <c r="D28" s="37">
        <f>IFERROR($P28*$D7/$P7,0)</f>
        <v>68085.056558347322</v>
      </c>
      <c r="E28" s="39">
        <f>D28-C28</f>
        <v>10914.365471477184</v>
      </c>
      <c r="F28" s="37">
        <f>+IFERROR($N28*$F7/$N7,0)</f>
        <v>59.755336410246379</v>
      </c>
      <c r="G28" s="37">
        <f>+IFERROR($O28*$G7/$O7,0)</f>
        <v>25.140140335755248</v>
      </c>
      <c r="H28" s="37">
        <f>+IFERROR($P28*$H7/$P7,0)</f>
        <v>23.434233990869419</v>
      </c>
      <c r="I28" s="39">
        <f>H28-G28</f>
        <v>-1.7059063448858289</v>
      </c>
      <c r="J28" s="37">
        <f>+IFERROR($N28*$J7/$N7,0)</f>
        <v>11959.502214548107</v>
      </c>
      <c r="K28" s="37">
        <f>+IFERROR($O28*$K7/$O7,0)</f>
        <v>11695.373796794107</v>
      </c>
      <c r="L28" s="37">
        <f>+IFERROR($P28*$L7/$P7,0)</f>
        <v>31666.759383661818</v>
      </c>
      <c r="M28" s="39">
        <f>L28-K28</f>
        <v>19971.385586867713</v>
      </c>
      <c r="N28" s="34">
        <v>70284.62</v>
      </c>
      <c r="O28" s="34">
        <v>68891.205023999995</v>
      </c>
      <c r="P28" s="34">
        <v>99775.250176000001</v>
      </c>
      <c r="Q28" s="39">
        <f t="shared" ref="Q28:Q39" si="5">O28-N28</f>
        <v>-1393.414976</v>
      </c>
    </row>
    <row r="29" spans="1:17" ht="15" customHeight="1" x14ac:dyDescent="0.25">
      <c r="A29" s="38" t="s">
        <v>123</v>
      </c>
      <c r="B29" s="37">
        <f t="shared" ref="B29:B39" si="6">IFERROR($N29*$B8/$N8,0)</f>
        <v>58956.158996564307</v>
      </c>
      <c r="C29" s="37">
        <f t="shared" ref="C29:C39" si="7">IFERROR($O29*$C8/$O8,0)</f>
        <v>54211.750819725108</v>
      </c>
      <c r="D29" s="37">
        <f t="shared" ref="D29:D39" si="8">IFERROR($P29*$D8/$P8,0)</f>
        <v>62478.084034747211</v>
      </c>
      <c r="E29" s="39">
        <f t="shared" ref="E29:E38" si="9">D29-C29</f>
        <v>8266.3332150221031</v>
      </c>
      <c r="F29" s="37">
        <f t="shared" ref="F29:F39" si="10">+IFERROR($N29*$F8/$N8,0)</f>
        <v>51.330617473708223</v>
      </c>
      <c r="G29" s="37">
        <f t="shared" ref="G29:G39" si="11">+IFERROR($O29*$G8/$O8,0)</f>
        <v>25.903752648531725</v>
      </c>
      <c r="H29" s="37">
        <f t="shared" ref="H29:H39" si="12">+IFERROR($P29*$H8/$P8,0)</f>
        <v>20.118569187509063</v>
      </c>
      <c r="I29" s="39">
        <f t="shared" ref="I29:I37" si="13">H29-G29</f>
        <v>-5.7851834610226618</v>
      </c>
      <c r="J29" s="37">
        <f t="shared" ref="J29:J39" si="14">+IFERROR($N29*$J8/$N8,0)</f>
        <v>9322.8497779619956</v>
      </c>
      <c r="K29" s="37">
        <f t="shared" ref="K29:K39" si="15">+IFERROR($O29*$K8/$O8,0)</f>
        <v>12652.855227626354</v>
      </c>
      <c r="L29" s="37">
        <f t="shared" ref="L29:L39" si="16">+IFERROR($P29*$L8/$P8,0)</f>
        <v>30319.992964065295</v>
      </c>
      <c r="M29" s="39">
        <f t="shared" ref="M29:M38" si="17">L29-K29</f>
        <v>17667.137736438941</v>
      </c>
      <c r="N29" s="37">
        <v>68330.339392000009</v>
      </c>
      <c r="O29" s="37">
        <v>66890.5098</v>
      </c>
      <c r="P29" s="37">
        <v>92818.19556800001</v>
      </c>
      <c r="Q29" s="39">
        <f t="shared" si="5"/>
        <v>-1439.8295920000091</v>
      </c>
    </row>
    <row r="30" spans="1:17" ht="15" customHeight="1" x14ac:dyDescent="0.25">
      <c r="A30" s="38" t="s">
        <v>124</v>
      </c>
      <c r="B30" s="37">
        <f t="shared" si="6"/>
        <v>60302.355113995996</v>
      </c>
      <c r="C30" s="37">
        <f t="shared" si="7"/>
        <v>64118.249215319716</v>
      </c>
      <c r="D30" s="37">
        <f t="shared" si="8"/>
        <v>71981.403740490146</v>
      </c>
      <c r="E30" s="39">
        <f t="shared" si="9"/>
        <v>7863.1545251704301</v>
      </c>
      <c r="F30" s="37">
        <f t="shared" si="10"/>
        <v>62.90922510885779</v>
      </c>
      <c r="G30" s="37">
        <f t="shared" si="11"/>
        <v>37.691557095067125</v>
      </c>
      <c r="H30" s="37">
        <f t="shared" si="12"/>
        <v>22.61600661220567</v>
      </c>
      <c r="I30" s="39">
        <f t="shared" si="13"/>
        <v>-15.075550482861455</v>
      </c>
      <c r="J30" s="37">
        <f t="shared" si="14"/>
        <v>8769.5719488951509</v>
      </c>
      <c r="K30" s="37">
        <f t="shared" si="15"/>
        <v>9463.3962395852213</v>
      </c>
      <c r="L30" s="37">
        <f t="shared" si="16"/>
        <v>36324.117372897643</v>
      </c>
      <c r="M30" s="39">
        <f t="shared" si="17"/>
        <v>26860.721133312421</v>
      </c>
      <c r="N30" s="37">
        <v>69134.836288000006</v>
      </c>
      <c r="O30" s="37">
        <v>73619.337012000004</v>
      </c>
      <c r="P30" s="37">
        <v>108328.13712</v>
      </c>
      <c r="Q30" s="39">
        <f t="shared" si="5"/>
        <v>4484.5007239999977</v>
      </c>
    </row>
    <row r="31" spans="1:17" ht="15" customHeight="1" x14ac:dyDescent="0.25">
      <c r="A31" s="38" t="s">
        <v>125</v>
      </c>
      <c r="B31" s="37">
        <f t="shared" si="6"/>
        <v>63776.151796126876</v>
      </c>
      <c r="C31" s="37">
        <f t="shared" si="7"/>
        <v>66083.126410817116</v>
      </c>
      <c r="D31" s="37">
        <f t="shared" si="8"/>
        <v>67425.451234135529</v>
      </c>
      <c r="E31" s="39">
        <f t="shared" si="9"/>
        <v>1342.3248233184131</v>
      </c>
      <c r="F31" s="37">
        <f t="shared" si="10"/>
        <v>38.14440280638015</v>
      </c>
      <c r="G31" s="37">
        <f t="shared" si="11"/>
        <v>23.263093621188347</v>
      </c>
      <c r="H31" s="37">
        <f t="shared" si="12"/>
        <v>21.767178840438149</v>
      </c>
      <c r="I31" s="39">
        <f t="shared" si="13"/>
        <v>-1.4959147807501978</v>
      </c>
      <c r="J31" s="37">
        <f t="shared" si="14"/>
        <v>8048.2066810667402</v>
      </c>
      <c r="K31" s="37">
        <f t="shared" si="15"/>
        <v>5756.1133755616956</v>
      </c>
      <c r="L31" s="37">
        <f t="shared" si="16"/>
        <v>35252.285235024043</v>
      </c>
      <c r="M31" s="39">
        <f t="shared" si="17"/>
        <v>29496.171859462345</v>
      </c>
      <c r="N31" s="37">
        <v>71862.50288</v>
      </c>
      <c r="O31" s="37">
        <v>71862.50288</v>
      </c>
      <c r="P31" s="37">
        <v>102699.50364800001</v>
      </c>
      <c r="Q31" s="39">
        <f t="shared" si="5"/>
        <v>0</v>
      </c>
    </row>
    <row r="32" spans="1:17" ht="15" customHeight="1" x14ac:dyDescent="0.25">
      <c r="A32" s="38" t="s">
        <v>126</v>
      </c>
      <c r="B32" s="37">
        <f t="shared" si="6"/>
        <v>67465.207858992188</v>
      </c>
      <c r="C32" s="37">
        <f t="shared" si="7"/>
        <v>61916.699014519043</v>
      </c>
      <c r="D32" s="37">
        <f t="shared" si="8"/>
        <v>71808.065724935994</v>
      </c>
      <c r="E32" s="39">
        <f t="shared" si="9"/>
        <v>9891.3667104169508</v>
      </c>
      <c r="F32" s="37">
        <f t="shared" si="10"/>
        <v>41.879002314930879</v>
      </c>
      <c r="G32" s="37">
        <f t="shared" si="11"/>
        <v>22.767775604767774</v>
      </c>
      <c r="H32" s="37">
        <f t="shared" si="12"/>
        <v>16.333963386585076</v>
      </c>
      <c r="I32" s="39">
        <f t="shared" si="13"/>
        <v>-6.4338122181826982</v>
      </c>
      <c r="J32" s="37">
        <f t="shared" si="14"/>
        <v>8940.648974692891</v>
      </c>
      <c r="K32" s="37">
        <f t="shared" si="15"/>
        <v>9557.1997378761916</v>
      </c>
      <c r="L32" s="37">
        <f t="shared" si="16"/>
        <v>34217.22091967742</v>
      </c>
      <c r="M32" s="39">
        <f t="shared" si="17"/>
        <v>24660.021181801229</v>
      </c>
      <c r="N32" s="37">
        <v>76447.735836000007</v>
      </c>
      <c r="O32" s="37">
        <v>71496.666528000002</v>
      </c>
      <c r="P32" s="37">
        <v>106041.620608</v>
      </c>
      <c r="Q32" s="39">
        <f t="shared" si="5"/>
        <v>-4951.0693080000055</v>
      </c>
    </row>
    <row r="33" spans="1:18" ht="15" customHeight="1" x14ac:dyDescent="0.25">
      <c r="A33" s="38" t="s">
        <v>127</v>
      </c>
      <c r="B33" s="37">
        <f t="shared" si="6"/>
        <v>64931.701737992029</v>
      </c>
      <c r="C33" s="37">
        <f t="shared" si="7"/>
        <v>59237.514451555144</v>
      </c>
      <c r="D33" s="37">
        <f t="shared" si="8"/>
        <v>70350.358094357565</v>
      </c>
      <c r="E33" s="39">
        <f t="shared" si="9"/>
        <v>11112.843642802422</v>
      </c>
      <c r="F33" s="37">
        <f t="shared" si="10"/>
        <v>37.320314476850605</v>
      </c>
      <c r="G33" s="37">
        <f t="shared" si="11"/>
        <v>21.660557757405599</v>
      </c>
      <c r="H33" s="37">
        <f t="shared" si="12"/>
        <v>14.887238946236</v>
      </c>
      <c r="I33" s="39">
        <f t="shared" si="13"/>
        <v>-6.7733188111695988</v>
      </c>
      <c r="J33" s="37">
        <f t="shared" si="14"/>
        <v>8545.7917795311223</v>
      </c>
      <c r="K33" s="37">
        <f t="shared" si="15"/>
        <v>32127.27091068745</v>
      </c>
      <c r="L33" s="37">
        <f t="shared" si="16"/>
        <v>33079.638698696217</v>
      </c>
      <c r="M33" s="39">
        <f t="shared" si="17"/>
        <v>952.36778800876709</v>
      </c>
      <c r="N33" s="37">
        <v>73514.813832</v>
      </c>
      <c r="O33" s="37">
        <v>91386.445919999998</v>
      </c>
      <c r="P33" s="37">
        <v>103444.88403200002</v>
      </c>
      <c r="Q33" s="39">
        <f t="shared" si="5"/>
        <v>17871.632087999998</v>
      </c>
    </row>
    <row r="34" spans="1:18" ht="15" customHeight="1" x14ac:dyDescent="0.25">
      <c r="A34" s="38" t="s">
        <v>128</v>
      </c>
      <c r="B34" s="37">
        <f t="shared" si="6"/>
        <v>63745.197205946606</v>
      </c>
      <c r="C34" s="37">
        <f t="shared" si="7"/>
        <v>60057.959738303602</v>
      </c>
      <c r="D34" s="37">
        <f t="shared" si="8"/>
        <v>73048.721720997448</v>
      </c>
      <c r="E34" s="39">
        <f t="shared" si="9"/>
        <v>12990.761982693846</v>
      </c>
      <c r="F34" s="37">
        <f t="shared" si="10"/>
        <v>34.701984371677035</v>
      </c>
      <c r="G34" s="37">
        <f>+IFERROR($O34*$G13/$O13,0)</f>
        <v>22.684576889982814</v>
      </c>
      <c r="H34" s="37">
        <f t="shared" si="12"/>
        <v>15.238811290095889</v>
      </c>
      <c r="I34" s="39">
        <f t="shared" si="13"/>
        <v>-7.4457655998869257</v>
      </c>
      <c r="J34" s="37">
        <f t="shared" si="14"/>
        <v>8932.5662256817268</v>
      </c>
      <c r="K34" s="37">
        <f t="shared" si="15"/>
        <v>32083.294180806421</v>
      </c>
      <c r="L34" s="37">
        <f t="shared" si="16"/>
        <v>31999.04786771247</v>
      </c>
      <c r="M34" s="39">
        <f t="shared" si="17"/>
        <v>-84.246313093950448</v>
      </c>
      <c r="N34" s="37">
        <v>72712.465416000006</v>
      </c>
      <c r="O34" s="37">
        <v>92163.938496000002</v>
      </c>
      <c r="P34" s="37">
        <v>105063.00840000001</v>
      </c>
      <c r="Q34" s="39">
        <f t="shared" si="5"/>
        <v>19451.473079999996</v>
      </c>
    </row>
    <row r="35" spans="1:18" ht="15" customHeight="1" x14ac:dyDescent="0.25">
      <c r="A35" s="38" t="s">
        <v>129</v>
      </c>
      <c r="B35" s="37">
        <f t="shared" si="6"/>
        <v>61277.147626265069</v>
      </c>
      <c r="C35" s="37">
        <f t="shared" si="7"/>
        <v>62276.363651054715</v>
      </c>
      <c r="D35" s="37">
        <f t="shared" si="8"/>
        <v>74156.629179698168</v>
      </c>
      <c r="E35" s="39">
        <f t="shared" si="9"/>
        <v>11880.265528643453</v>
      </c>
      <c r="F35" s="37">
        <f t="shared" si="10"/>
        <v>35.924222142742643</v>
      </c>
      <c r="G35" s="37">
        <f t="shared" si="11"/>
        <v>22.933241691516788</v>
      </c>
      <c r="H35" s="37">
        <f>+IFERROR($P35*$H14/$P14,0)</f>
        <v>14.723895001192176</v>
      </c>
      <c r="I35" s="39">
        <f t="shared" si="13"/>
        <v>-8.2093466903246117</v>
      </c>
      <c r="J35" s="37">
        <f t="shared" si="14"/>
        <v>9532.1602075921983</v>
      </c>
      <c r="K35" s="37">
        <f t="shared" si="15"/>
        <v>31538.516099253749</v>
      </c>
      <c r="L35" s="37">
        <f t="shared" si="16"/>
        <v>33531.274685300639</v>
      </c>
      <c r="M35" s="39">
        <f t="shared" si="17"/>
        <v>1992.7585860468898</v>
      </c>
      <c r="N35" s="37">
        <v>70845.232056000008</v>
      </c>
      <c r="O35" s="37">
        <v>93837.812991999977</v>
      </c>
      <c r="P35" s="37">
        <v>107702.62776</v>
      </c>
      <c r="Q35" s="39">
        <f t="shared" si="5"/>
        <v>22992.580935999969</v>
      </c>
    </row>
    <row r="36" spans="1:18" ht="15" customHeight="1" x14ac:dyDescent="0.25">
      <c r="A36" s="38" t="s">
        <v>130</v>
      </c>
      <c r="B36" s="37">
        <f t="shared" si="6"/>
        <v>61190.084394580081</v>
      </c>
      <c r="C36" s="37">
        <f t="shared" si="7"/>
        <v>58339.062418812035</v>
      </c>
      <c r="D36" s="37">
        <f t="shared" si="8"/>
        <v>72166.242705628363</v>
      </c>
      <c r="E36" s="39">
        <f t="shared" si="9"/>
        <v>13827.180286816329</v>
      </c>
      <c r="F36" s="37">
        <f t="shared" si="10"/>
        <v>37.527254186991286</v>
      </c>
      <c r="G36" s="37">
        <f t="shared" si="11"/>
        <v>22.281384303628403</v>
      </c>
      <c r="H36" s="37">
        <f t="shared" si="12"/>
        <v>12.584308086671044</v>
      </c>
      <c r="I36" s="39">
        <f t="shared" si="13"/>
        <v>-9.6970762169573597</v>
      </c>
      <c r="J36" s="37">
        <f t="shared" si="14"/>
        <v>7069.9383512329359</v>
      </c>
      <c r="K36" s="37">
        <f t="shared" si="15"/>
        <v>31895.272772884324</v>
      </c>
      <c r="L36" s="37">
        <f t="shared" si="16"/>
        <v>32362.452346284965</v>
      </c>
      <c r="M36" s="39">
        <f t="shared" si="17"/>
        <v>467.17957340064095</v>
      </c>
      <c r="N36" s="37">
        <v>68297.55</v>
      </c>
      <c r="O36" s="37">
        <v>90256.616575999986</v>
      </c>
      <c r="P36" s="37">
        <v>104541.27936</v>
      </c>
      <c r="Q36" s="39">
        <f t="shared" si="5"/>
        <v>21959.066575999983</v>
      </c>
      <c r="R36" s="54"/>
    </row>
    <row r="37" spans="1:18" ht="15" customHeight="1" x14ac:dyDescent="0.25">
      <c r="A37" s="38" t="s">
        <v>131</v>
      </c>
      <c r="B37" s="37">
        <f t="shared" si="6"/>
        <v>60870.760736041906</v>
      </c>
      <c r="C37" s="37">
        <f t="shared" si="7"/>
        <v>60999.294406910529</v>
      </c>
      <c r="D37" s="37">
        <f t="shared" si="8"/>
        <v>0</v>
      </c>
      <c r="E37" s="39">
        <f t="shared" si="9"/>
        <v>-60999.294406910529</v>
      </c>
      <c r="F37" s="37">
        <f>+IFERROR($N37*$F16/$N16,0)</f>
        <v>34.875777243635113</v>
      </c>
      <c r="G37" s="37">
        <f t="shared" si="11"/>
        <v>23.801406738048971</v>
      </c>
      <c r="H37" s="37">
        <f t="shared" si="12"/>
        <v>0</v>
      </c>
      <c r="I37" s="39">
        <f t="shared" si="13"/>
        <v>-23.801406738048971</v>
      </c>
      <c r="J37" s="37">
        <f t="shared" si="14"/>
        <v>9242.5115347144601</v>
      </c>
      <c r="K37" s="37">
        <f t="shared" si="15"/>
        <v>32803.011050351422</v>
      </c>
      <c r="L37" s="37">
        <f t="shared" si="16"/>
        <v>0</v>
      </c>
      <c r="M37" s="39">
        <f t="shared" si="17"/>
        <v>-32803.011050351422</v>
      </c>
      <c r="N37" s="37">
        <v>70148.148048000003</v>
      </c>
      <c r="O37" s="37">
        <v>93826.106864000001</v>
      </c>
      <c r="P37" s="37"/>
      <c r="Q37" s="39">
        <f t="shared" si="5"/>
        <v>23677.958815999998</v>
      </c>
    </row>
    <row r="38" spans="1:18" ht="15" customHeight="1" x14ac:dyDescent="0.25">
      <c r="A38" s="38" t="s">
        <v>132</v>
      </c>
      <c r="B38" s="37">
        <f t="shared" si="6"/>
        <v>60412.120881089955</v>
      </c>
      <c r="C38" s="37">
        <f t="shared" si="7"/>
        <v>63684.973287015782</v>
      </c>
      <c r="D38" s="37">
        <f t="shared" si="8"/>
        <v>0</v>
      </c>
      <c r="E38" s="39">
        <f t="shared" si="9"/>
        <v>-63684.973287015782</v>
      </c>
      <c r="F38" s="37">
        <f t="shared" si="10"/>
        <v>35.381439429285152</v>
      </c>
      <c r="G38" s="37">
        <f t="shared" si="11"/>
        <v>23.891033001094723</v>
      </c>
      <c r="H38" s="37">
        <f t="shared" si="12"/>
        <v>0</v>
      </c>
      <c r="I38" s="39">
        <f>H38-G38</f>
        <v>-23.891033001094723</v>
      </c>
      <c r="J38" s="37">
        <f>+IFERROR($N38*$J17/$N17,0)</f>
        <v>10619.403875480753</v>
      </c>
      <c r="K38" s="37">
        <f t="shared" si="15"/>
        <v>32382.491823983117</v>
      </c>
      <c r="L38" s="37">
        <f t="shared" si="16"/>
        <v>0</v>
      </c>
      <c r="M38" s="39">
        <f t="shared" si="17"/>
        <v>-32382.491823983117</v>
      </c>
      <c r="N38" s="37">
        <v>71066.906195999996</v>
      </c>
      <c r="O38" s="37">
        <v>96091.35614399999</v>
      </c>
      <c r="P38" s="37"/>
      <c r="Q38" s="39">
        <f t="shared" si="5"/>
        <v>25024.449947999994</v>
      </c>
    </row>
    <row r="39" spans="1:18" ht="15" customHeight="1" x14ac:dyDescent="0.25">
      <c r="A39" s="41" t="s">
        <v>133</v>
      </c>
      <c r="B39" s="37">
        <f t="shared" si="6"/>
        <v>66949.492067343439</v>
      </c>
      <c r="C39" s="37">
        <f t="shared" si="7"/>
        <v>66033.004304962829</v>
      </c>
      <c r="D39" s="37">
        <f t="shared" si="8"/>
        <v>0</v>
      </c>
      <c r="E39" s="39">
        <f>D39-C39</f>
        <v>-66033.004304962829</v>
      </c>
      <c r="F39" s="37">
        <f t="shared" si="10"/>
        <v>50.579987937673522</v>
      </c>
      <c r="G39" s="37">
        <f t="shared" si="11"/>
        <v>28.412258193100925</v>
      </c>
      <c r="H39" s="37">
        <f t="shared" si="12"/>
        <v>0</v>
      </c>
      <c r="I39" s="39">
        <f>G39-F39</f>
        <v>-22.167729744572597</v>
      </c>
      <c r="J39" s="37">
        <f t="shared" si="14"/>
        <v>13392.738981828923</v>
      </c>
      <c r="K39" s="37">
        <f t="shared" si="15"/>
        <v>41564.848476844061</v>
      </c>
      <c r="L39" s="37">
        <f t="shared" si="16"/>
        <v>0</v>
      </c>
      <c r="M39" s="39">
        <f>L39-K39</f>
        <v>-41564.848476844061</v>
      </c>
      <c r="N39" s="37">
        <v>80383.640327999994</v>
      </c>
      <c r="O39" s="37">
        <v>107626.26504</v>
      </c>
      <c r="P39" s="37"/>
      <c r="Q39" s="39">
        <f t="shared" si="5"/>
        <v>27242.624712000004</v>
      </c>
    </row>
    <row r="40" spans="1:18" ht="15" customHeight="1" x14ac:dyDescent="0.25">
      <c r="A40" s="55" t="s">
        <v>134</v>
      </c>
      <c r="B40" s="46">
        <f>SUM(B28:B36)</f>
        <v>559909.36717950471</v>
      </c>
      <c r="C40" s="46">
        <f>SUM(C28:C36)</f>
        <v>543411.41680697666</v>
      </c>
      <c r="D40" s="46">
        <f>SUM(D28:D36)</f>
        <v>631500.01299333782</v>
      </c>
      <c r="E40" s="47">
        <f>D40-C40</f>
        <v>88088.596186361159</v>
      </c>
      <c r="F40" s="46">
        <f>SUM(F28:F36)</f>
        <v>399.492359292385</v>
      </c>
      <c r="G40" s="46">
        <f>SUM(G28:G36)</f>
        <v>224.32607994784385</v>
      </c>
      <c r="H40" s="46">
        <f>SUM(H28:H36)</f>
        <v>161.70420534180249</v>
      </c>
      <c r="I40" s="47">
        <f>H40-G40</f>
        <v>-62.621874606041359</v>
      </c>
      <c r="J40" s="46">
        <f>SUM(J28:J36)</f>
        <v>81121.236161202876</v>
      </c>
      <c r="K40" s="46">
        <f>SUM(K28:K36)</f>
        <v>176769.29234107552</v>
      </c>
      <c r="L40" s="46">
        <f>SUM(L28:L36)</f>
        <v>298752.78947332053</v>
      </c>
      <c r="M40" s="47">
        <f>L40-K40</f>
        <v>121983.49713224501</v>
      </c>
      <c r="N40" s="46">
        <f>SUM(N28:N36)</f>
        <v>641430.09570000006</v>
      </c>
      <c r="O40" s="46">
        <f>SUM(O28:O36)</f>
        <v>720405.03522800002</v>
      </c>
      <c r="P40" s="46">
        <f>SUM(P28:P36)</f>
        <v>930414.50667200005</v>
      </c>
      <c r="Q40" s="47">
        <f t="shared" ref="Q40:Q41" si="18">P40-O40</f>
        <v>210009.47144400002</v>
      </c>
    </row>
    <row r="41" spans="1:18" ht="15" customHeight="1" x14ac:dyDescent="0.25">
      <c r="A41" s="48" t="s">
        <v>54</v>
      </c>
      <c r="B41" s="49">
        <f>SUM(B28:B39)</f>
        <v>748141.74086398003</v>
      </c>
      <c r="C41" s="46">
        <f>SUM(C28:C39)</f>
        <v>734128.68880586582</v>
      </c>
      <c r="D41" s="46">
        <f>SUM(D28:D39)</f>
        <v>631500.01299333782</v>
      </c>
      <c r="E41" s="47">
        <f>D41-C41</f>
        <v>-102628.675812528</v>
      </c>
      <c r="F41" s="49">
        <f>SUM(F28:F39)</f>
        <v>520.32956390297875</v>
      </c>
      <c r="G41" s="46">
        <f>SUM(G28:G39)</f>
        <v>300.43077788008844</v>
      </c>
      <c r="H41" s="46">
        <f>SUM(H28:H39)</f>
        <v>161.70420534180249</v>
      </c>
      <c r="I41" s="47">
        <f>H41-G41</f>
        <v>-138.72657253828595</v>
      </c>
      <c r="J41" s="49">
        <f>SUM(J28:J39)</f>
        <v>114375.89055322701</v>
      </c>
      <c r="K41" s="46">
        <f>SUM(K28:K39)</f>
        <v>283519.64369225415</v>
      </c>
      <c r="L41" s="46">
        <f>SUM(L28:L39)</f>
        <v>298752.78947332053</v>
      </c>
      <c r="M41" s="47">
        <f>L41-K41</f>
        <v>15233.145781066385</v>
      </c>
      <c r="N41" s="46">
        <f>SUM(N28:N39)</f>
        <v>863028.79027200013</v>
      </c>
      <c r="O41" s="46">
        <f t="shared" ref="O41:P41" si="19">SUM(O28:O39)</f>
        <v>1017948.7632759999</v>
      </c>
      <c r="P41" s="46">
        <f t="shared" si="19"/>
        <v>930414.50667200005</v>
      </c>
      <c r="Q41" s="47">
        <f t="shared" si="18"/>
        <v>-87534.256603999878</v>
      </c>
    </row>
    <row r="45" spans="1:18" ht="15" customHeight="1" x14ac:dyDescent="0.25">
      <c r="A45" s="158" t="s">
        <v>136</v>
      </c>
      <c r="B45" s="158"/>
      <c r="C45" s="158"/>
      <c r="D45" s="56"/>
      <c r="E45" s="56"/>
      <c r="F45" s="27"/>
      <c r="G45" s="27"/>
      <c r="H45" s="56"/>
      <c r="I45" s="27"/>
      <c r="J45" s="27"/>
      <c r="K45" s="27"/>
      <c r="L45" s="56"/>
      <c r="M45" s="27"/>
      <c r="N45" s="27"/>
      <c r="O45" s="27"/>
      <c r="P45" s="56"/>
    </row>
    <row r="46" spans="1:18" ht="15" customHeight="1" x14ac:dyDescent="0.25">
      <c r="A46" s="27"/>
      <c r="B46" s="27"/>
      <c r="C46" s="27"/>
      <c r="D46" s="56"/>
      <c r="E46" s="56"/>
      <c r="F46" s="27"/>
      <c r="G46" s="27"/>
      <c r="H46" s="56"/>
      <c r="I46" s="27"/>
      <c r="J46" s="27"/>
      <c r="K46" s="27"/>
      <c r="L46" s="56"/>
      <c r="M46" s="27"/>
      <c r="N46" s="27"/>
      <c r="O46" s="27"/>
      <c r="P46" s="56"/>
    </row>
    <row r="47" spans="1:18" ht="15" customHeight="1" x14ac:dyDescent="0.25">
      <c r="A47" s="29" t="s">
        <v>116</v>
      </c>
      <c r="B47" s="159" t="s">
        <v>117</v>
      </c>
      <c r="C47" s="159"/>
      <c r="D47" s="159"/>
      <c r="E47" s="159"/>
      <c r="F47" s="159" t="s">
        <v>118</v>
      </c>
      <c r="G47" s="159"/>
      <c r="H47" s="159"/>
      <c r="I47" s="159"/>
      <c r="J47" s="159" t="s">
        <v>119</v>
      </c>
      <c r="K47" s="159"/>
      <c r="L47" s="159"/>
      <c r="M47" s="159"/>
      <c r="N47" s="159" t="s">
        <v>73</v>
      </c>
      <c r="O47" s="159"/>
      <c r="P47" s="159"/>
      <c r="Q47" s="159"/>
    </row>
    <row r="48" spans="1:18" ht="15" customHeight="1" x14ac:dyDescent="0.25">
      <c r="A48" s="30" t="s">
        <v>120</v>
      </c>
      <c r="B48" s="31">
        <v>2016</v>
      </c>
      <c r="C48" s="31">
        <v>2017</v>
      </c>
      <c r="D48" s="31">
        <v>2018</v>
      </c>
      <c r="E48" s="32" t="s">
        <v>121</v>
      </c>
      <c r="F48" s="31">
        <v>2016</v>
      </c>
      <c r="G48" s="31">
        <v>2017</v>
      </c>
      <c r="H48" s="31">
        <v>2018</v>
      </c>
      <c r="I48" s="32" t="s">
        <v>121</v>
      </c>
      <c r="J48" s="31">
        <v>2016</v>
      </c>
      <c r="K48" s="31">
        <v>2017</v>
      </c>
      <c r="L48" s="31">
        <v>2018</v>
      </c>
      <c r="M48" s="32" t="s">
        <v>121</v>
      </c>
      <c r="N48" s="31">
        <v>2016</v>
      </c>
      <c r="O48" s="31">
        <v>2017</v>
      </c>
      <c r="P48" s="31">
        <v>2018</v>
      </c>
      <c r="Q48" s="32" t="s">
        <v>121</v>
      </c>
    </row>
    <row r="49" spans="1:17" ht="15" customHeight="1" x14ac:dyDescent="0.25">
      <c r="A49" s="33" t="s">
        <v>122</v>
      </c>
      <c r="B49" s="57">
        <v>140638.75</v>
      </c>
      <c r="C49" s="57">
        <v>148370.12</v>
      </c>
      <c r="D49" s="57">
        <v>177516.5</v>
      </c>
      <c r="E49" s="35">
        <f t="shared" ref="E49:E60" si="20">D49-C49</f>
        <v>29146.380000000005</v>
      </c>
      <c r="F49" s="57">
        <v>8181</v>
      </c>
      <c r="G49" s="57">
        <v>8388.99</v>
      </c>
      <c r="H49" s="57">
        <v>8827.5</v>
      </c>
      <c r="I49" s="35">
        <f t="shared" ref="I49:I60" si="21">H49-G49</f>
        <v>438.51000000000022</v>
      </c>
      <c r="J49" s="36">
        <v>0</v>
      </c>
      <c r="K49" s="57">
        <v>0</v>
      </c>
      <c r="L49" s="57">
        <v>0</v>
      </c>
      <c r="M49" s="35">
        <f>L49-K49</f>
        <v>0</v>
      </c>
      <c r="N49" s="57">
        <f>B49+F49+J49</f>
        <v>148819.75</v>
      </c>
      <c r="O49" s="57">
        <f>C49+G49+K49</f>
        <v>156759.10999999999</v>
      </c>
      <c r="P49" s="57">
        <f>D49+H49+L49</f>
        <v>186344</v>
      </c>
      <c r="Q49" s="35">
        <f>P49-O49</f>
        <v>29584.890000000014</v>
      </c>
    </row>
    <row r="50" spans="1:17" ht="15" customHeight="1" x14ac:dyDescent="0.25">
      <c r="A50" s="38" t="s">
        <v>123</v>
      </c>
      <c r="B50" s="57">
        <v>140122.5</v>
      </c>
      <c r="C50" s="57">
        <v>147882.4</v>
      </c>
      <c r="D50" s="57">
        <v>1403.5</v>
      </c>
      <c r="E50" s="39">
        <f t="shared" si="20"/>
        <v>-146478.9</v>
      </c>
      <c r="F50" s="57">
        <v>8203.5</v>
      </c>
      <c r="G50" s="57">
        <v>8427.24</v>
      </c>
      <c r="H50" s="57">
        <v>0</v>
      </c>
      <c r="I50" s="39">
        <f t="shared" si="21"/>
        <v>-8427.24</v>
      </c>
      <c r="J50" s="37">
        <v>0</v>
      </c>
      <c r="K50" s="57">
        <v>0</v>
      </c>
      <c r="L50" s="57">
        <v>0</v>
      </c>
      <c r="M50" s="39">
        <f t="shared" ref="M50:M59" si="22">L50-K50</f>
        <v>0</v>
      </c>
      <c r="N50" s="57">
        <f t="shared" ref="N50:P60" si="23">B50+F50+J50</f>
        <v>148326</v>
      </c>
      <c r="O50" s="57">
        <f t="shared" si="23"/>
        <v>156309.63999999998</v>
      </c>
      <c r="P50" s="57">
        <f t="shared" si="23"/>
        <v>1403.5</v>
      </c>
      <c r="Q50" s="39">
        <f t="shared" ref="Q50:Q62" si="24">P50-O50</f>
        <v>-154906.13999999998</v>
      </c>
    </row>
    <row r="51" spans="1:17" ht="15" customHeight="1" x14ac:dyDescent="0.25">
      <c r="A51" s="38" t="s">
        <v>124</v>
      </c>
      <c r="B51" s="57">
        <v>141006.25</v>
      </c>
      <c r="C51" s="57">
        <v>149694.44</v>
      </c>
      <c r="D51" s="57">
        <v>350413</v>
      </c>
      <c r="E51" s="39">
        <f t="shared" si="20"/>
        <v>200718.56</v>
      </c>
      <c r="F51" s="57">
        <v>8274</v>
      </c>
      <c r="G51" s="57">
        <v>8541.99</v>
      </c>
      <c r="H51" s="57">
        <v>17086.5</v>
      </c>
      <c r="I51" s="39">
        <f t="shared" si="21"/>
        <v>8544.51</v>
      </c>
      <c r="J51" s="37">
        <v>0</v>
      </c>
      <c r="K51" s="57">
        <v>0</v>
      </c>
      <c r="L51" s="57">
        <v>0</v>
      </c>
      <c r="M51" s="39">
        <f t="shared" si="22"/>
        <v>0</v>
      </c>
      <c r="N51" s="57">
        <f t="shared" si="23"/>
        <v>149280.25</v>
      </c>
      <c r="O51" s="57">
        <f t="shared" si="23"/>
        <v>158236.43</v>
      </c>
      <c r="P51" s="57">
        <f>D51+H51+L51</f>
        <v>367499.5</v>
      </c>
      <c r="Q51" s="39">
        <f t="shared" si="24"/>
        <v>209263.07</v>
      </c>
    </row>
    <row r="52" spans="1:17" ht="15" customHeight="1" x14ac:dyDescent="0.25">
      <c r="A52" s="38" t="s">
        <v>125</v>
      </c>
      <c r="B52" s="57">
        <v>143276</v>
      </c>
      <c r="C52" s="57">
        <v>153398.62</v>
      </c>
      <c r="D52" s="57">
        <v>179942</v>
      </c>
      <c r="E52" s="39">
        <f t="shared" si="20"/>
        <v>26543.380000000005</v>
      </c>
      <c r="F52" s="57">
        <v>8341.5</v>
      </c>
      <c r="G52" s="57">
        <v>8597.07</v>
      </c>
      <c r="H52" s="57">
        <v>8565</v>
      </c>
      <c r="I52" s="39">
        <f t="shared" si="21"/>
        <v>-32.069999999999709</v>
      </c>
      <c r="J52" s="37">
        <v>0</v>
      </c>
      <c r="K52" s="57">
        <v>0</v>
      </c>
      <c r="L52" s="57">
        <v>0</v>
      </c>
      <c r="M52" s="39">
        <f t="shared" si="22"/>
        <v>0</v>
      </c>
      <c r="N52" s="57">
        <f t="shared" si="23"/>
        <v>151617.5</v>
      </c>
      <c r="O52" s="57">
        <f t="shared" si="23"/>
        <v>161995.69</v>
      </c>
      <c r="P52" s="57">
        <f>D52+H52+L52</f>
        <v>188507</v>
      </c>
      <c r="Q52" s="39">
        <f t="shared" si="24"/>
        <v>26511.309999999998</v>
      </c>
    </row>
    <row r="53" spans="1:17" ht="15" customHeight="1" x14ac:dyDescent="0.25">
      <c r="A53" s="38" t="s">
        <v>126</v>
      </c>
      <c r="B53" s="57">
        <v>144956</v>
      </c>
      <c r="C53" s="57">
        <v>155659.22</v>
      </c>
      <c r="D53" s="57">
        <v>185594.5</v>
      </c>
      <c r="E53" s="39">
        <f t="shared" si="20"/>
        <v>29935.279999999999</v>
      </c>
      <c r="F53" s="57">
        <v>8455.5</v>
      </c>
      <c r="G53" s="57">
        <v>8847.99</v>
      </c>
      <c r="H53" s="57">
        <v>8511</v>
      </c>
      <c r="I53" s="39">
        <f t="shared" si="21"/>
        <v>-336.98999999999978</v>
      </c>
      <c r="J53" s="37">
        <v>0</v>
      </c>
      <c r="K53" s="57">
        <v>0</v>
      </c>
      <c r="L53" s="57">
        <v>0</v>
      </c>
      <c r="M53" s="39">
        <f t="shared" si="22"/>
        <v>0</v>
      </c>
      <c r="N53" s="57">
        <f t="shared" si="23"/>
        <v>153411.5</v>
      </c>
      <c r="O53" s="57">
        <f t="shared" si="23"/>
        <v>164507.21</v>
      </c>
      <c r="P53" s="57">
        <f>D53+H53+L53</f>
        <v>194105.5</v>
      </c>
      <c r="Q53" s="39">
        <f t="shared" si="24"/>
        <v>29598.290000000008</v>
      </c>
    </row>
    <row r="54" spans="1:17" ht="15" customHeight="1" x14ac:dyDescent="0.25">
      <c r="A54" s="38" t="s">
        <v>127</v>
      </c>
      <c r="B54" s="57">
        <v>146160</v>
      </c>
      <c r="C54" s="57">
        <v>156935.48000000001</v>
      </c>
      <c r="D54" s="57">
        <v>188415.5</v>
      </c>
      <c r="E54" s="39">
        <f t="shared" si="20"/>
        <v>31480.01999999999</v>
      </c>
      <c r="F54" s="57">
        <v>8454</v>
      </c>
      <c r="G54" s="57">
        <v>9053.01</v>
      </c>
      <c r="H54" s="57">
        <v>8565</v>
      </c>
      <c r="I54" s="39">
        <f t="shared" si="21"/>
        <v>-488.01000000000022</v>
      </c>
      <c r="J54" s="37">
        <v>0</v>
      </c>
      <c r="K54" s="57">
        <v>0</v>
      </c>
      <c r="L54" s="57">
        <v>0</v>
      </c>
      <c r="M54" s="39">
        <f t="shared" si="22"/>
        <v>0</v>
      </c>
      <c r="N54" s="57">
        <f t="shared" si="23"/>
        <v>154614</v>
      </c>
      <c r="O54" s="57">
        <f t="shared" si="23"/>
        <v>165988.49000000002</v>
      </c>
      <c r="P54" s="57">
        <f t="shared" si="23"/>
        <v>196980.5</v>
      </c>
      <c r="Q54" s="39">
        <f t="shared" si="24"/>
        <v>30992.00999999998</v>
      </c>
    </row>
    <row r="55" spans="1:17" ht="15" customHeight="1" x14ac:dyDescent="0.25">
      <c r="A55" s="38" t="s">
        <v>128</v>
      </c>
      <c r="B55" s="57">
        <v>149085.68</v>
      </c>
      <c r="C55" s="57">
        <v>156672.25</v>
      </c>
      <c r="D55" s="57">
        <v>190821.75</v>
      </c>
      <c r="E55" s="39">
        <f t="shared" si="20"/>
        <v>34149.5</v>
      </c>
      <c r="F55" s="57">
        <v>8618.49</v>
      </c>
      <c r="G55" s="57">
        <v>8806.5</v>
      </c>
      <c r="H55" s="57">
        <v>8668.5</v>
      </c>
      <c r="I55" s="39">
        <f t="shared" si="21"/>
        <v>-138</v>
      </c>
      <c r="J55" s="37">
        <v>0</v>
      </c>
      <c r="K55" s="57">
        <v>0</v>
      </c>
      <c r="L55" s="57">
        <v>0</v>
      </c>
      <c r="M55" s="39">
        <f t="shared" si="22"/>
        <v>0</v>
      </c>
      <c r="N55" s="57">
        <f t="shared" si="23"/>
        <v>157704.16999999998</v>
      </c>
      <c r="O55" s="57">
        <f t="shared" si="23"/>
        <v>165478.75</v>
      </c>
      <c r="P55" s="57">
        <f>D55+H55+L55</f>
        <v>199490.25</v>
      </c>
      <c r="Q55" s="39">
        <f t="shared" si="24"/>
        <v>34011.5</v>
      </c>
    </row>
    <row r="56" spans="1:17" ht="15" customHeight="1" x14ac:dyDescent="0.25">
      <c r="A56" s="38" t="s">
        <v>129</v>
      </c>
      <c r="B56" s="57">
        <v>146323.12</v>
      </c>
      <c r="C56" s="57">
        <v>161336</v>
      </c>
      <c r="D56" s="57">
        <v>194208</v>
      </c>
      <c r="E56" s="39">
        <f t="shared" si="20"/>
        <v>32872</v>
      </c>
      <c r="F56" s="57">
        <v>8442.5400000000009</v>
      </c>
      <c r="G56" s="57">
        <v>8919</v>
      </c>
      <c r="H56" s="57">
        <v>8754</v>
      </c>
      <c r="I56" s="39">
        <f t="shared" si="21"/>
        <v>-165</v>
      </c>
      <c r="J56" s="37">
        <v>0</v>
      </c>
      <c r="K56" s="57">
        <v>0</v>
      </c>
      <c r="L56" s="57">
        <v>0</v>
      </c>
      <c r="M56" s="39">
        <f t="shared" si="22"/>
        <v>0</v>
      </c>
      <c r="N56" s="57">
        <f t="shared" si="23"/>
        <v>154765.66</v>
      </c>
      <c r="O56" s="57">
        <f t="shared" si="23"/>
        <v>170255</v>
      </c>
      <c r="P56" s="57">
        <f>D56+H56+L56</f>
        <v>202962</v>
      </c>
      <c r="Q56" s="39">
        <f t="shared" si="24"/>
        <v>32707</v>
      </c>
    </row>
    <row r="57" spans="1:17" ht="15" customHeight="1" x14ac:dyDescent="0.25">
      <c r="A57" s="38" t="s">
        <v>130</v>
      </c>
      <c r="B57" s="57">
        <v>146486.88</v>
      </c>
      <c r="C57" s="57">
        <v>162907.5</v>
      </c>
      <c r="D57" s="57">
        <v>191758</v>
      </c>
      <c r="E57" s="39">
        <f t="shared" si="20"/>
        <v>28850.5</v>
      </c>
      <c r="F57" s="57">
        <v>8402.76</v>
      </c>
      <c r="G57" s="57">
        <v>8521.5</v>
      </c>
      <c r="H57" s="57">
        <v>8842.5</v>
      </c>
      <c r="I57" s="39">
        <f t="shared" si="21"/>
        <v>321</v>
      </c>
      <c r="J57" s="37">
        <v>0</v>
      </c>
      <c r="K57" s="57">
        <v>0</v>
      </c>
      <c r="L57" s="57">
        <v>0</v>
      </c>
      <c r="M57" s="39">
        <f t="shared" si="22"/>
        <v>0</v>
      </c>
      <c r="N57" s="57">
        <f t="shared" si="23"/>
        <v>154889.64000000001</v>
      </c>
      <c r="O57" s="57">
        <f t="shared" si="23"/>
        <v>171429</v>
      </c>
      <c r="P57" s="57">
        <f>D57+H57+L57</f>
        <v>200600.5</v>
      </c>
      <c r="Q57" s="39">
        <f t="shared" si="24"/>
        <v>29171.5</v>
      </c>
    </row>
    <row r="58" spans="1:17" ht="15" customHeight="1" x14ac:dyDescent="0.25">
      <c r="A58" s="38" t="s">
        <v>131</v>
      </c>
      <c r="B58" s="57">
        <v>147111.66</v>
      </c>
      <c r="C58" s="57">
        <v>167142.5</v>
      </c>
      <c r="D58" s="57"/>
      <c r="E58" s="39">
        <f t="shared" si="20"/>
        <v>-167142.5</v>
      </c>
      <c r="F58" s="57">
        <v>8385.93</v>
      </c>
      <c r="G58" s="57">
        <v>9063</v>
      </c>
      <c r="H58" s="57"/>
      <c r="I58" s="39">
        <f t="shared" si="21"/>
        <v>-9063</v>
      </c>
      <c r="J58" s="37">
        <v>0</v>
      </c>
      <c r="K58" s="57">
        <v>0</v>
      </c>
      <c r="L58" s="57">
        <v>0</v>
      </c>
      <c r="M58" s="39">
        <f t="shared" si="22"/>
        <v>0</v>
      </c>
      <c r="N58" s="57">
        <f t="shared" si="23"/>
        <v>155497.59</v>
      </c>
      <c r="O58" s="57">
        <f t="shared" si="23"/>
        <v>176205.5</v>
      </c>
      <c r="P58" s="57">
        <f t="shared" si="23"/>
        <v>0</v>
      </c>
      <c r="Q58" s="39">
        <f t="shared" si="24"/>
        <v>-176205.5</v>
      </c>
    </row>
    <row r="59" spans="1:17" ht="15" customHeight="1" x14ac:dyDescent="0.25">
      <c r="A59" s="38" t="s">
        <v>132</v>
      </c>
      <c r="B59" s="57">
        <v>147003.07999999999</v>
      </c>
      <c r="C59" s="57">
        <v>169786.75</v>
      </c>
      <c r="D59" s="57"/>
      <c r="E59" s="39">
        <f t="shared" si="20"/>
        <v>-169786.75</v>
      </c>
      <c r="F59" s="57">
        <v>8428.77</v>
      </c>
      <c r="G59" s="57">
        <v>8934</v>
      </c>
      <c r="H59" s="57"/>
      <c r="I59" s="39">
        <f t="shared" si="21"/>
        <v>-8934</v>
      </c>
      <c r="J59" s="57">
        <v>0</v>
      </c>
      <c r="K59" s="57">
        <v>0</v>
      </c>
      <c r="L59" s="57">
        <v>0</v>
      </c>
      <c r="M59" s="39">
        <f t="shared" si="22"/>
        <v>0</v>
      </c>
      <c r="N59" s="57">
        <f t="shared" si="23"/>
        <v>155431.84999999998</v>
      </c>
      <c r="O59" s="57">
        <f t="shared" si="23"/>
        <v>178720.75</v>
      </c>
      <c r="P59" s="57">
        <f>D59+H59+L59</f>
        <v>0</v>
      </c>
      <c r="Q59" s="39">
        <f t="shared" si="24"/>
        <v>-178720.75</v>
      </c>
    </row>
    <row r="60" spans="1:17" ht="15" customHeight="1" x14ac:dyDescent="0.25">
      <c r="A60" s="38" t="s">
        <v>133</v>
      </c>
      <c r="B60" s="57">
        <v>147617.18</v>
      </c>
      <c r="C60" s="57">
        <v>174158.25</v>
      </c>
      <c r="D60" s="57"/>
      <c r="E60" s="39">
        <f t="shared" si="20"/>
        <v>-174158.25</v>
      </c>
      <c r="F60" s="57">
        <v>8453.25</v>
      </c>
      <c r="G60" s="57">
        <v>8869.5</v>
      </c>
      <c r="H60" s="57"/>
      <c r="I60" s="39">
        <f t="shared" si="21"/>
        <v>-8869.5</v>
      </c>
      <c r="J60" s="57">
        <v>0</v>
      </c>
      <c r="K60" s="57">
        <v>0</v>
      </c>
      <c r="L60" s="57">
        <v>0</v>
      </c>
      <c r="M60" s="39">
        <f>L60-K60</f>
        <v>0</v>
      </c>
      <c r="N60" s="57">
        <f t="shared" si="23"/>
        <v>156070.43</v>
      </c>
      <c r="O60" s="57">
        <f t="shared" si="23"/>
        <v>183027.75</v>
      </c>
      <c r="P60" s="57">
        <f>D60+H60+L60</f>
        <v>0</v>
      </c>
      <c r="Q60" s="39">
        <f t="shared" si="24"/>
        <v>-183027.75</v>
      </c>
    </row>
    <row r="61" spans="1:17" ht="15" customHeight="1" x14ac:dyDescent="0.25">
      <c r="A61" s="55" t="s">
        <v>134</v>
      </c>
      <c r="B61" s="46">
        <f>SUM(B49:B57)</f>
        <v>1298055.1799999997</v>
      </c>
      <c r="C61" s="46">
        <f>SUM(C49:C57)</f>
        <v>1392856.03</v>
      </c>
      <c r="D61" s="46">
        <f>SUM(D49:D57)</f>
        <v>1660072.75</v>
      </c>
      <c r="E61" s="47">
        <f>D61-C61</f>
        <v>267216.71999999997</v>
      </c>
      <c r="F61" s="46">
        <f>SUM(F49:F57)</f>
        <v>75373.289999999994</v>
      </c>
      <c r="G61" s="46">
        <f>SUM(G49:G57)</f>
        <v>78103.290000000008</v>
      </c>
      <c r="H61" s="46">
        <f>SUM(H49:H57)</f>
        <v>77820</v>
      </c>
      <c r="I61" s="47">
        <f>H61-G61</f>
        <v>-283.29000000000815</v>
      </c>
      <c r="J61" s="46">
        <f>SUM(J49:J57)</f>
        <v>0</v>
      </c>
      <c r="K61" s="46">
        <f>SUM(K49:K57)</f>
        <v>0</v>
      </c>
      <c r="L61" s="46">
        <f>SUM(L49:L57)</f>
        <v>0</v>
      </c>
      <c r="M61" s="47">
        <f>L61-K61</f>
        <v>0</v>
      </c>
      <c r="N61" s="46">
        <f>SUM(N49:N57)</f>
        <v>1373428.4699999997</v>
      </c>
      <c r="O61" s="46">
        <f>SUM(O49:O57)</f>
        <v>1470959.3199999998</v>
      </c>
      <c r="P61" s="46">
        <f>SUM(P49:P57)</f>
        <v>1737892.75</v>
      </c>
      <c r="Q61" s="47">
        <f t="shared" si="24"/>
        <v>266933.43000000017</v>
      </c>
    </row>
    <row r="62" spans="1:17" ht="15" customHeight="1" x14ac:dyDescent="0.25">
      <c r="A62" s="48" t="s">
        <v>54</v>
      </c>
      <c r="B62" s="49">
        <f>SUM(B49:B60)</f>
        <v>1739787.0999999996</v>
      </c>
      <c r="C62" s="46">
        <f>SUM(C49:C60)</f>
        <v>1903943.53</v>
      </c>
      <c r="D62" s="46">
        <f>SUM(D49:D60)</f>
        <v>1660072.75</v>
      </c>
      <c r="E62" s="47">
        <f>D62-C62</f>
        <v>-243870.78000000003</v>
      </c>
      <c r="F62" s="49">
        <f>SUM(F49:F60)</f>
        <v>100641.24</v>
      </c>
      <c r="G62" s="46">
        <f>SUM(G49:G60)</f>
        <v>104969.79000000001</v>
      </c>
      <c r="H62" s="46">
        <f>SUM(H49:H60)</f>
        <v>77820</v>
      </c>
      <c r="I62" s="47">
        <f>H62-G62</f>
        <v>-27149.790000000008</v>
      </c>
      <c r="J62" s="49">
        <f>SUM(J49:J60)</f>
        <v>0</v>
      </c>
      <c r="K62" s="46">
        <f>SUM(K49:K60)</f>
        <v>0</v>
      </c>
      <c r="L62" s="46">
        <f>SUM(L49:L60)</f>
        <v>0</v>
      </c>
      <c r="M62" s="47">
        <f>L62-K62</f>
        <v>0</v>
      </c>
      <c r="N62" s="49">
        <f>SUM(N49:N60)</f>
        <v>1840428.3399999996</v>
      </c>
      <c r="O62" s="46">
        <f>SUM(O49:O60)</f>
        <v>2008913.3199999998</v>
      </c>
      <c r="P62" s="46">
        <f>SUM(P49:P60)</f>
        <v>1737892.75</v>
      </c>
      <c r="Q62" s="47">
        <f t="shared" si="24"/>
        <v>-271020.56999999983</v>
      </c>
    </row>
    <row r="63" spans="1:17" ht="15" customHeight="1" x14ac:dyDescent="0.25">
      <c r="A63" s="58"/>
      <c r="B63" s="59"/>
      <c r="C63" s="59"/>
      <c r="D63"/>
      <c r="E63"/>
      <c r="F63"/>
      <c r="G63" s="59"/>
      <c r="H63" s="59"/>
      <c r="I63" s="59"/>
      <c r="J63" s="59"/>
      <c r="K63" s="60"/>
      <c r="L63" s="61"/>
      <c r="M63" s="59"/>
      <c r="N63" s="60"/>
      <c r="O63" s="60"/>
      <c r="P63" s="61"/>
    </row>
    <row r="64" spans="1:17" ht="15" customHeight="1" x14ac:dyDescent="0.25">
      <c r="D64"/>
      <c r="E64"/>
      <c r="F64"/>
      <c r="G64" s="62"/>
      <c r="H64" s="63"/>
      <c r="I64" s="64"/>
    </row>
    <row r="65" spans="1:18" ht="15" customHeight="1" x14ac:dyDescent="0.25">
      <c r="D65"/>
      <c r="E65"/>
      <c r="F65"/>
      <c r="G65" s="65"/>
    </row>
    <row r="66" spans="1:18" ht="15" customHeight="1" x14ac:dyDescent="0.25">
      <c r="A66" s="158" t="s">
        <v>137</v>
      </c>
      <c r="B66" s="158"/>
      <c r="C66" s="158"/>
      <c r="D66"/>
      <c r="E66"/>
      <c r="F66"/>
      <c r="G66" s="66"/>
      <c r="H66" s="56"/>
      <c r="I66" s="27"/>
      <c r="J66" s="27"/>
      <c r="K66" s="27"/>
      <c r="L66" s="56"/>
      <c r="M66" s="27"/>
      <c r="N66" s="27"/>
      <c r="O66" s="27"/>
      <c r="P66" s="56"/>
    </row>
    <row r="67" spans="1:18" ht="15" customHeight="1" x14ac:dyDescent="0.25">
      <c r="A67" s="27"/>
      <c r="B67" s="27"/>
      <c r="C67" s="27"/>
      <c r="D67"/>
      <c r="E67"/>
      <c r="F67"/>
      <c r="G67" s="27"/>
      <c r="H67" s="56"/>
      <c r="I67" s="27"/>
      <c r="J67" s="27"/>
      <c r="K67" s="27"/>
      <c r="L67" s="56"/>
      <c r="M67" s="27"/>
      <c r="N67" s="27"/>
      <c r="O67" s="27"/>
      <c r="P67" s="56"/>
    </row>
    <row r="68" spans="1:18" ht="15" customHeight="1" x14ac:dyDescent="0.25">
      <c r="A68" s="29" t="s">
        <v>116</v>
      </c>
      <c r="B68" s="159" t="s">
        <v>117</v>
      </c>
      <c r="C68" s="159"/>
      <c r="D68" s="159"/>
      <c r="E68" s="159"/>
      <c r="F68" s="159" t="s">
        <v>118</v>
      </c>
      <c r="G68" s="159"/>
      <c r="H68" s="159"/>
      <c r="I68" s="159"/>
      <c r="J68" s="159" t="s">
        <v>119</v>
      </c>
      <c r="K68" s="159"/>
      <c r="L68" s="159"/>
      <c r="M68" s="159"/>
      <c r="N68" s="159" t="s">
        <v>138</v>
      </c>
      <c r="O68" s="159"/>
      <c r="P68" s="159"/>
      <c r="Q68" s="159"/>
    </row>
    <row r="69" spans="1:18" ht="15" customHeight="1" x14ac:dyDescent="0.25">
      <c r="A69" s="30" t="s">
        <v>120</v>
      </c>
      <c r="B69" s="31">
        <v>2016</v>
      </c>
      <c r="C69" s="31">
        <v>2017</v>
      </c>
      <c r="D69" s="31">
        <v>2018</v>
      </c>
      <c r="E69" s="32" t="s">
        <v>121</v>
      </c>
      <c r="F69" s="31">
        <v>2016</v>
      </c>
      <c r="G69" s="31">
        <v>2017</v>
      </c>
      <c r="H69" s="31">
        <v>2018</v>
      </c>
      <c r="I69" s="32" t="s">
        <v>121</v>
      </c>
      <c r="J69" s="31">
        <v>2016</v>
      </c>
      <c r="K69" s="31">
        <v>2017</v>
      </c>
      <c r="L69" s="31">
        <v>2018</v>
      </c>
      <c r="M69" s="32" t="s">
        <v>121</v>
      </c>
      <c r="N69" s="31">
        <v>2016</v>
      </c>
      <c r="O69" s="31">
        <v>2017</v>
      </c>
      <c r="P69" s="31">
        <v>2018</v>
      </c>
      <c r="Q69" s="32" t="s">
        <v>121</v>
      </c>
    </row>
    <row r="70" spans="1:18" ht="15" customHeight="1" x14ac:dyDescent="0.25">
      <c r="A70" s="33" t="s">
        <v>122</v>
      </c>
      <c r="B70" s="57">
        <f t="shared" ref="B70:D81" si="25">B49-B28</f>
        <v>82373.387550958359</v>
      </c>
      <c r="C70" s="57">
        <f t="shared" si="25"/>
        <v>91199.428913129857</v>
      </c>
      <c r="D70" s="57">
        <f t="shared" si="25"/>
        <v>109431.44344165268</v>
      </c>
      <c r="E70" s="35">
        <f t="shared" ref="E70:E81" si="26">D70-C70</f>
        <v>18232.014528522821</v>
      </c>
      <c r="F70" s="57">
        <f>F49-F28</f>
        <v>8121.2446635897541</v>
      </c>
      <c r="G70" s="57">
        <f>G49-G28</f>
        <v>8363.8498596642439</v>
      </c>
      <c r="H70" s="57">
        <f>H49-H28</f>
        <v>8804.065766009131</v>
      </c>
      <c r="I70" s="35">
        <f>H70-G70</f>
        <v>440.21590634488712</v>
      </c>
      <c r="J70" s="57">
        <f>J49-J28</f>
        <v>-11959.502214548107</v>
      </c>
      <c r="K70" s="57">
        <f>K49-K28</f>
        <v>-11695.373796794107</v>
      </c>
      <c r="L70" s="57">
        <f>L49-L28</f>
        <v>-31666.759383661818</v>
      </c>
      <c r="M70" s="35">
        <f t="shared" ref="M70:M81" si="27">L70-K70</f>
        <v>-19971.385586867713</v>
      </c>
      <c r="N70" s="57">
        <f>N49-N28</f>
        <v>78535.13</v>
      </c>
      <c r="O70" s="57">
        <f t="shared" ref="O70:P81" si="28">O49-N28</f>
        <v>86474.489999999991</v>
      </c>
      <c r="P70" s="57">
        <f t="shared" si="28"/>
        <v>117452.794976</v>
      </c>
      <c r="Q70" s="35">
        <f>P70-O70</f>
        <v>30978.304976000014</v>
      </c>
    </row>
    <row r="71" spans="1:18" ht="15" customHeight="1" x14ac:dyDescent="0.25">
      <c r="A71" s="38" t="s">
        <v>123</v>
      </c>
      <c r="B71" s="57">
        <f t="shared" si="25"/>
        <v>81166.341003435693</v>
      </c>
      <c r="C71" s="57">
        <f t="shared" si="25"/>
        <v>93670.649180274893</v>
      </c>
      <c r="D71" s="57">
        <f t="shared" si="25"/>
        <v>-61074.584034747211</v>
      </c>
      <c r="E71" s="39">
        <f t="shared" si="26"/>
        <v>-154745.2332150221</v>
      </c>
      <c r="F71" s="57">
        <f t="shared" ref="F71:H81" si="29">F50-F29</f>
        <v>8152.1693825262919</v>
      </c>
      <c r="G71" s="57">
        <f t="shared" si="29"/>
        <v>8401.336247351468</v>
      </c>
      <c r="H71" s="57">
        <f t="shared" si="29"/>
        <v>-20.118569187509063</v>
      </c>
      <c r="I71" s="39">
        <f t="shared" ref="I71:I79" si="30">H71-G71</f>
        <v>-8421.454816538977</v>
      </c>
      <c r="J71" s="57">
        <f t="shared" ref="J71:L81" si="31">J50-J29</f>
        <v>-9322.8497779619956</v>
      </c>
      <c r="K71" s="57">
        <f t="shared" si="31"/>
        <v>-12652.855227626354</v>
      </c>
      <c r="L71" s="57">
        <f t="shared" si="31"/>
        <v>-30319.992964065295</v>
      </c>
      <c r="M71" s="39">
        <f t="shared" si="27"/>
        <v>-17667.137736438941</v>
      </c>
      <c r="N71" s="57">
        <f t="shared" ref="N71:N81" si="32">N50-N29</f>
        <v>79995.660607999991</v>
      </c>
      <c r="O71" s="57">
        <f t="shared" si="28"/>
        <v>87979.300607999976</v>
      </c>
      <c r="P71" s="57">
        <f t="shared" si="28"/>
        <v>-65487.0098</v>
      </c>
      <c r="Q71" s="39">
        <f t="shared" ref="Q71:Q79" si="33">P71-O71</f>
        <v>-153466.31040799996</v>
      </c>
    </row>
    <row r="72" spans="1:18" ht="15" customHeight="1" x14ac:dyDescent="0.25">
      <c r="A72" s="38" t="s">
        <v>124</v>
      </c>
      <c r="B72" s="57">
        <f t="shared" si="25"/>
        <v>80703.894886004011</v>
      </c>
      <c r="C72" s="57">
        <f t="shared" si="25"/>
        <v>85576.190784680279</v>
      </c>
      <c r="D72" s="57">
        <f t="shared" si="25"/>
        <v>278431.59625950985</v>
      </c>
      <c r="E72" s="39">
        <f t="shared" si="26"/>
        <v>192855.40547482957</v>
      </c>
      <c r="F72" s="57">
        <f t="shared" si="29"/>
        <v>8211.0907748911413</v>
      </c>
      <c r="G72" s="57">
        <f t="shared" si="29"/>
        <v>8504.298442904932</v>
      </c>
      <c r="H72" s="57">
        <f t="shared" si="29"/>
        <v>17063.883993387793</v>
      </c>
      <c r="I72" s="39">
        <f t="shared" si="30"/>
        <v>8559.5855504828614</v>
      </c>
      <c r="J72" s="57">
        <f t="shared" si="31"/>
        <v>-8769.5719488951509</v>
      </c>
      <c r="K72" s="57">
        <f t="shared" si="31"/>
        <v>-9463.3962395852213</v>
      </c>
      <c r="L72" s="57">
        <f t="shared" si="31"/>
        <v>-36324.117372897643</v>
      </c>
      <c r="M72" s="39">
        <f t="shared" si="27"/>
        <v>-26860.721133312421</v>
      </c>
      <c r="N72" s="57">
        <f t="shared" si="32"/>
        <v>80145.413711999994</v>
      </c>
      <c r="O72" s="57">
        <f t="shared" si="28"/>
        <v>89101.593711999987</v>
      </c>
      <c r="P72" s="57">
        <f t="shared" si="28"/>
        <v>293880.16298799997</v>
      </c>
      <c r="Q72" s="39">
        <f t="shared" si="33"/>
        <v>204778.56927599997</v>
      </c>
      <c r="R72" s="25"/>
    </row>
    <row r="73" spans="1:18" ht="15" customHeight="1" x14ac:dyDescent="0.25">
      <c r="A73" s="38" t="s">
        <v>125</v>
      </c>
      <c r="B73" s="57">
        <f t="shared" si="25"/>
        <v>79499.848203873116</v>
      </c>
      <c r="C73" s="57">
        <f t="shared" si="25"/>
        <v>87315.493589182879</v>
      </c>
      <c r="D73" s="57">
        <f t="shared" si="25"/>
        <v>112516.54876586447</v>
      </c>
      <c r="E73" s="39">
        <f t="shared" si="26"/>
        <v>25201.055176681592</v>
      </c>
      <c r="F73" s="57">
        <f>F52-F31</f>
        <v>8303.3555971936203</v>
      </c>
      <c r="G73" s="57">
        <f>G52-G31</f>
        <v>8573.8069063788116</v>
      </c>
      <c r="H73" s="57">
        <f>H52-H31</f>
        <v>8543.2328211595614</v>
      </c>
      <c r="I73" s="39">
        <f t="shared" si="30"/>
        <v>-30.574085219250264</v>
      </c>
      <c r="J73" s="57">
        <f t="shared" si="31"/>
        <v>-8048.2066810667402</v>
      </c>
      <c r="K73" s="57">
        <f t="shared" si="31"/>
        <v>-5756.1133755616956</v>
      </c>
      <c r="L73" s="57">
        <f t="shared" si="31"/>
        <v>-35252.285235024043</v>
      </c>
      <c r="M73" s="39">
        <f t="shared" si="27"/>
        <v>-29496.171859462345</v>
      </c>
      <c r="N73" s="57">
        <f t="shared" si="32"/>
        <v>79754.99712</v>
      </c>
      <c r="O73" s="57">
        <f t="shared" si="28"/>
        <v>90133.187120000002</v>
      </c>
      <c r="P73" s="57">
        <f t="shared" si="28"/>
        <v>116644.49712</v>
      </c>
      <c r="Q73" s="39">
        <f t="shared" si="33"/>
        <v>26511.309999999998</v>
      </c>
    </row>
    <row r="74" spans="1:18" ht="15" customHeight="1" x14ac:dyDescent="0.25">
      <c r="A74" s="38" t="s">
        <v>126</v>
      </c>
      <c r="B74" s="57">
        <f t="shared" si="25"/>
        <v>77490.792141007812</v>
      </c>
      <c r="C74" s="57">
        <f t="shared" si="25"/>
        <v>93742.520985480951</v>
      </c>
      <c r="D74" s="57">
        <f t="shared" si="25"/>
        <v>113786.43427506401</v>
      </c>
      <c r="E74" s="39">
        <f t="shared" si="26"/>
        <v>20043.913289583055</v>
      </c>
      <c r="F74" s="57">
        <f t="shared" si="29"/>
        <v>8413.6209976850696</v>
      </c>
      <c r="G74" s="57">
        <f t="shared" si="29"/>
        <v>8825.2222243952328</v>
      </c>
      <c r="H74" s="57">
        <f t="shared" si="29"/>
        <v>8494.6660366134147</v>
      </c>
      <c r="I74" s="39">
        <f t="shared" si="30"/>
        <v>-330.55618778181815</v>
      </c>
      <c r="J74" s="57">
        <f t="shared" si="31"/>
        <v>-8940.648974692891</v>
      </c>
      <c r="K74" s="57">
        <f t="shared" si="31"/>
        <v>-9557.1997378761916</v>
      </c>
      <c r="L74" s="57">
        <f t="shared" si="31"/>
        <v>-34217.22091967742</v>
      </c>
      <c r="M74" s="39">
        <f t="shared" si="27"/>
        <v>-24660.021181801229</v>
      </c>
      <c r="N74" s="57">
        <f t="shared" si="32"/>
        <v>76963.764163999993</v>
      </c>
      <c r="O74" s="57">
        <f t="shared" si="28"/>
        <v>88059.474163999985</v>
      </c>
      <c r="P74" s="57">
        <f t="shared" si="28"/>
        <v>122608.833472</v>
      </c>
      <c r="Q74" s="39">
        <f t="shared" si="33"/>
        <v>34549.359308000014</v>
      </c>
    </row>
    <row r="75" spans="1:18" ht="15" customHeight="1" x14ac:dyDescent="0.25">
      <c r="A75" s="38" t="s">
        <v>127</v>
      </c>
      <c r="B75" s="57">
        <f>B54-B33</f>
        <v>81228.298262007971</v>
      </c>
      <c r="C75" s="57">
        <f>C54-C33</f>
        <v>97697.965548444859</v>
      </c>
      <c r="D75" s="57">
        <f>D54-D33</f>
        <v>118065.14190564243</v>
      </c>
      <c r="E75" s="39">
        <f t="shared" si="26"/>
        <v>20367.176357197575</v>
      </c>
      <c r="F75" s="57">
        <f>F54-F33</f>
        <v>8416.6796855231496</v>
      </c>
      <c r="G75" s="57">
        <f>G54-G33</f>
        <v>9031.3494422425938</v>
      </c>
      <c r="H75" s="57">
        <f>H54-H33</f>
        <v>8550.1127610537642</v>
      </c>
      <c r="I75" s="39">
        <f>H75-G75</f>
        <v>-481.23668118882961</v>
      </c>
      <c r="J75" s="57">
        <f t="shared" si="31"/>
        <v>-8545.7917795311223</v>
      </c>
      <c r="K75" s="57">
        <f t="shared" si="31"/>
        <v>-32127.27091068745</v>
      </c>
      <c r="L75" s="57">
        <f t="shared" si="31"/>
        <v>-33079.638698696217</v>
      </c>
      <c r="M75" s="39">
        <f t="shared" si="27"/>
        <v>-952.36778800876709</v>
      </c>
      <c r="N75" s="57">
        <f t="shared" si="32"/>
        <v>81099.186168</v>
      </c>
      <c r="O75" s="57">
        <f t="shared" si="28"/>
        <v>92473.67616800002</v>
      </c>
      <c r="P75" s="57">
        <f t="shared" si="28"/>
        <v>105594.05408</v>
      </c>
      <c r="Q75" s="39">
        <f t="shared" si="33"/>
        <v>13120.377911999982</v>
      </c>
    </row>
    <row r="76" spans="1:18" ht="15" customHeight="1" x14ac:dyDescent="0.25">
      <c r="A76" s="38" t="s">
        <v>128</v>
      </c>
      <c r="B76" s="57">
        <f t="shared" si="25"/>
        <v>85340.482794053387</v>
      </c>
      <c r="C76" s="57">
        <f t="shared" si="25"/>
        <v>96614.290261696398</v>
      </c>
      <c r="D76" s="57">
        <f>D55-D34</f>
        <v>117773.02827900255</v>
      </c>
      <c r="E76" s="39">
        <f t="shared" si="26"/>
        <v>21158.738017306154</v>
      </c>
      <c r="F76" s="57">
        <f t="shared" si="29"/>
        <v>8583.7880156283227</v>
      </c>
      <c r="G76" s="57">
        <f t="shared" si="29"/>
        <v>8783.8154231100179</v>
      </c>
      <c r="H76" s="57">
        <f>H55-H34</f>
        <v>8653.2611887099047</v>
      </c>
      <c r="I76" s="39">
        <f t="shared" si="30"/>
        <v>-130.55423440011327</v>
      </c>
      <c r="J76" s="57">
        <f t="shared" si="31"/>
        <v>-8932.5662256817268</v>
      </c>
      <c r="K76" s="57">
        <f t="shared" si="31"/>
        <v>-32083.294180806421</v>
      </c>
      <c r="L76" s="57">
        <f>L55-L34</f>
        <v>-31999.04786771247</v>
      </c>
      <c r="M76" s="39">
        <f t="shared" si="27"/>
        <v>84.246313093950448</v>
      </c>
      <c r="N76" s="57">
        <f t="shared" si="32"/>
        <v>84991.704583999977</v>
      </c>
      <c r="O76" s="57">
        <f t="shared" si="28"/>
        <v>92766.284583999994</v>
      </c>
      <c r="P76" s="57">
        <f t="shared" si="28"/>
        <v>107326.311504</v>
      </c>
      <c r="Q76" s="39">
        <f t="shared" si="33"/>
        <v>14560.026920000004</v>
      </c>
    </row>
    <row r="77" spans="1:18" ht="15" customHeight="1" x14ac:dyDescent="0.25">
      <c r="A77" s="38" t="s">
        <v>129</v>
      </c>
      <c r="B77" s="57">
        <f t="shared" si="25"/>
        <v>85045.972373734927</v>
      </c>
      <c r="C77" s="57">
        <f t="shared" si="25"/>
        <v>99059.636348945292</v>
      </c>
      <c r="D77" s="57">
        <f t="shared" si="25"/>
        <v>120051.37082030183</v>
      </c>
      <c r="E77" s="39">
        <f t="shared" si="26"/>
        <v>20991.73447135654</v>
      </c>
      <c r="F77" s="57">
        <f t="shared" si="29"/>
        <v>8406.6157778572579</v>
      </c>
      <c r="G77" s="57">
        <f t="shared" si="29"/>
        <v>8896.0667583084833</v>
      </c>
      <c r="H77" s="57">
        <f t="shared" si="29"/>
        <v>8739.2761049988076</v>
      </c>
      <c r="I77" s="39">
        <f t="shared" si="30"/>
        <v>-156.79065330967569</v>
      </c>
      <c r="J77" s="57">
        <f t="shared" si="31"/>
        <v>-9532.1602075921983</v>
      </c>
      <c r="K77" s="57">
        <f t="shared" si="31"/>
        <v>-31538.516099253749</v>
      </c>
      <c r="L77" s="57">
        <f t="shared" si="31"/>
        <v>-33531.274685300639</v>
      </c>
      <c r="M77" s="39">
        <f t="shared" si="27"/>
        <v>-1992.7585860468898</v>
      </c>
      <c r="N77" s="57">
        <f t="shared" si="32"/>
        <v>83920.427943999995</v>
      </c>
      <c r="O77" s="57">
        <f t="shared" si="28"/>
        <v>99409.767943999992</v>
      </c>
      <c r="P77" s="57">
        <f t="shared" si="28"/>
        <v>109124.18700800002</v>
      </c>
      <c r="Q77" s="39">
        <f t="shared" si="33"/>
        <v>9714.4190640000306</v>
      </c>
    </row>
    <row r="78" spans="1:18" ht="15" customHeight="1" x14ac:dyDescent="0.25">
      <c r="A78" s="38" t="s">
        <v>130</v>
      </c>
      <c r="B78" s="57">
        <f>B57-B36</f>
        <v>85296.795605419931</v>
      </c>
      <c r="C78" s="57">
        <f>C57-C36</f>
        <v>104568.43758118796</v>
      </c>
      <c r="D78" s="57">
        <f>D57-D36</f>
        <v>119591.75729437164</v>
      </c>
      <c r="E78" s="39">
        <f t="shared" si="26"/>
        <v>15023.319713183679</v>
      </c>
      <c r="F78" s="57">
        <f t="shared" si="29"/>
        <v>8365.2327458130094</v>
      </c>
      <c r="G78" s="57">
        <f t="shared" si="29"/>
        <v>8499.2186156963708</v>
      </c>
      <c r="H78" s="57">
        <f t="shared" si="29"/>
        <v>8829.9156919133293</v>
      </c>
      <c r="I78" s="39">
        <f t="shared" si="30"/>
        <v>330.69707621695852</v>
      </c>
      <c r="J78" s="57">
        <f t="shared" si="31"/>
        <v>-7069.9383512329359</v>
      </c>
      <c r="K78" s="57">
        <f t="shared" si="31"/>
        <v>-31895.272772884324</v>
      </c>
      <c r="L78" s="57">
        <f t="shared" si="31"/>
        <v>-32362.452346284965</v>
      </c>
      <c r="M78" s="39">
        <f t="shared" si="27"/>
        <v>-467.17957340064095</v>
      </c>
      <c r="N78" s="57">
        <f t="shared" si="32"/>
        <v>86592.090000000011</v>
      </c>
      <c r="O78" s="57">
        <f t="shared" si="28"/>
        <v>103131.45</v>
      </c>
      <c r="P78" s="57">
        <f t="shared" si="28"/>
        <v>110343.88342400001</v>
      </c>
      <c r="Q78" s="39">
        <f t="shared" si="33"/>
        <v>7212.4334240000171</v>
      </c>
    </row>
    <row r="79" spans="1:18" ht="15" customHeight="1" x14ac:dyDescent="0.25">
      <c r="A79" s="38" t="s">
        <v>131</v>
      </c>
      <c r="B79" s="57">
        <f t="shared" si="25"/>
        <v>86240.899263958097</v>
      </c>
      <c r="C79" s="57">
        <f t="shared" si="25"/>
        <v>106143.20559308947</v>
      </c>
      <c r="D79" s="57">
        <f t="shared" si="25"/>
        <v>0</v>
      </c>
      <c r="E79" s="39">
        <f t="shared" si="26"/>
        <v>-106143.20559308947</v>
      </c>
      <c r="F79" s="57">
        <f t="shared" si="29"/>
        <v>8351.0542227563656</v>
      </c>
      <c r="G79" s="57">
        <f t="shared" si="29"/>
        <v>9039.1985932619518</v>
      </c>
      <c r="H79" s="57">
        <f t="shared" si="29"/>
        <v>0</v>
      </c>
      <c r="I79" s="39">
        <f t="shared" si="30"/>
        <v>-9039.1985932619518</v>
      </c>
      <c r="J79" s="57">
        <f t="shared" si="31"/>
        <v>-9242.5115347144601</v>
      </c>
      <c r="K79" s="57">
        <f t="shared" si="31"/>
        <v>-32803.011050351422</v>
      </c>
      <c r="L79" s="57">
        <f t="shared" si="31"/>
        <v>0</v>
      </c>
      <c r="M79" s="39">
        <f t="shared" si="27"/>
        <v>32803.011050351422</v>
      </c>
      <c r="N79" s="57">
        <f t="shared" si="32"/>
        <v>85349.441951999994</v>
      </c>
      <c r="O79" s="57">
        <f t="shared" si="28"/>
        <v>106057.351952</v>
      </c>
      <c r="P79" s="57">
        <f t="shared" si="28"/>
        <v>-93826.106864000001</v>
      </c>
      <c r="Q79" s="39">
        <f t="shared" si="33"/>
        <v>-199883.458816</v>
      </c>
    </row>
    <row r="80" spans="1:18" ht="15" customHeight="1" x14ac:dyDescent="0.25">
      <c r="A80" s="38" t="s">
        <v>132</v>
      </c>
      <c r="B80" s="57">
        <f t="shared" si="25"/>
        <v>86590.959118910032</v>
      </c>
      <c r="C80" s="57">
        <f t="shared" si="25"/>
        <v>106101.77671298423</v>
      </c>
      <c r="D80" s="57">
        <f t="shared" si="25"/>
        <v>0</v>
      </c>
      <c r="E80" s="39">
        <f t="shared" si="26"/>
        <v>-106101.77671298423</v>
      </c>
      <c r="F80" s="57">
        <f t="shared" si="29"/>
        <v>8393.3885605707146</v>
      </c>
      <c r="G80" s="57">
        <f t="shared" si="29"/>
        <v>8910.1089669989051</v>
      </c>
      <c r="H80" s="57">
        <f t="shared" si="29"/>
        <v>0</v>
      </c>
      <c r="I80" s="39">
        <f>H80-G80</f>
        <v>-8910.1089669989051</v>
      </c>
      <c r="J80" s="57">
        <f t="shared" si="31"/>
        <v>-10619.403875480753</v>
      </c>
      <c r="K80" s="57">
        <f t="shared" si="31"/>
        <v>-32382.491823983117</v>
      </c>
      <c r="L80" s="57">
        <f t="shared" si="31"/>
        <v>0</v>
      </c>
      <c r="M80" s="39">
        <f t="shared" si="27"/>
        <v>32382.491823983117</v>
      </c>
      <c r="N80" s="57">
        <f t="shared" si="32"/>
        <v>84364.94380399998</v>
      </c>
      <c r="O80" s="57">
        <f t="shared" si="28"/>
        <v>107653.843804</v>
      </c>
      <c r="P80" s="57">
        <f t="shared" si="28"/>
        <v>-96091.35614399999</v>
      </c>
      <c r="Q80" s="39">
        <f>P80-O80</f>
        <v>-203745.19994799999</v>
      </c>
    </row>
    <row r="81" spans="1:17" ht="15" customHeight="1" x14ac:dyDescent="0.25">
      <c r="A81" s="38" t="s">
        <v>133</v>
      </c>
      <c r="B81" s="57">
        <f t="shared" si="25"/>
        <v>80667.687932656554</v>
      </c>
      <c r="C81" s="57">
        <f t="shared" si="25"/>
        <v>108125.24569503717</v>
      </c>
      <c r="D81" s="57">
        <f t="shared" si="25"/>
        <v>0</v>
      </c>
      <c r="E81" s="39">
        <f t="shared" si="26"/>
        <v>-108125.24569503717</v>
      </c>
      <c r="F81" s="57">
        <f t="shared" si="29"/>
        <v>8402.6700120623264</v>
      </c>
      <c r="G81" s="57">
        <f t="shared" si="29"/>
        <v>8841.0877418068994</v>
      </c>
      <c r="H81" s="57">
        <f t="shared" si="29"/>
        <v>0</v>
      </c>
      <c r="I81" s="39">
        <f>H81-G81</f>
        <v>-8841.0877418068994</v>
      </c>
      <c r="J81" s="57">
        <f t="shared" si="31"/>
        <v>-13392.738981828923</v>
      </c>
      <c r="K81" s="57">
        <f t="shared" si="31"/>
        <v>-41564.848476844061</v>
      </c>
      <c r="L81" s="57">
        <f t="shared" si="31"/>
        <v>0</v>
      </c>
      <c r="M81" s="39">
        <f t="shared" si="27"/>
        <v>41564.848476844061</v>
      </c>
      <c r="N81" s="57">
        <f t="shared" si="32"/>
        <v>75686.789671999999</v>
      </c>
      <c r="O81" s="57">
        <f t="shared" si="28"/>
        <v>102644.10967200001</v>
      </c>
      <c r="P81" s="57">
        <f t="shared" si="28"/>
        <v>-107626.26504</v>
      </c>
      <c r="Q81" s="39">
        <f>P81-O81</f>
        <v>-210270.37471200002</v>
      </c>
    </row>
    <row r="82" spans="1:17" ht="15" customHeight="1" x14ac:dyDescent="0.25">
      <c r="A82" s="55" t="s">
        <v>134</v>
      </c>
      <c r="B82" s="46">
        <f>SUM(B70:B78)</f>
        <v>738145.81282049522</v>
      </c>
      <c r="C82" s="46">
        <f>SUM(C70:C78)</f>
        <v>849444.61319302348</v>
      </c>
      <c r="D82" s="46">
        <f>SUM(D70:D78)</f>
        <v>1028572.7370066622</v>
      </c>
      <c r="E82" s="47">
        <f>D82-C82</f>
        <v>179128.1238136387</v>
      </c>
      <c r="F82" s="46">
        <f>SUM(F70:F78)</f>
        <v>74973.797640707606</v>
      </c>
      <c r="G82" s="46">
        <f>SUM(G70:G78)</f>
        <v>77878.963920052163</v>
      </c>
      <c r="H82" s="46">
        <f>SUM(H70:H78)</f>
        <v>77658.295794658188</v>
      </c>
      <c r="I82" s="47">
        <f>H82-G82</f>
        <v>-220.66812539397506</v>
      </c>
      <c r="J82" s="46">
        <f>SUM(J70:J78)</f>
        <v>-81121.236161202876</v>
      </c>
      <c r="K82" s="46">
        <f>SUM(K70:K78)</f>
        <v>-176769.29234107552</v>
      </c>
      <c r="L82" s="46">
        <f>SUM(L70:L78)</f>
        <v>-298752.78947332053</v>
      </c>
      <c r="M82" s="47">
        <f>L82-K82</f>
        <v>-121983.49713224501</v>
      </c>
      <c r="N82" s="46">
        <f>SUM(N70:N78)</f>
        <v>731998.37429999991</v>
      </c>
      <c r="O82" s="46">
        <f>SUM(O70:O78)</f>
        <v>829529.22429999989</v>
      </c>
      <c r="P82" s="46">
        <f>SUM(P70:P78)</f>
        <v>1017487.714772</v>
      </c>
      <c r="Q82" s="47">
        <f t="shared" ref="Q82:Q83" si="34">P82-O82</f>
        <v>187958.49047200009</v>
      </c>
    </row>
    <row r="83" spans="1:17" ht="15" customHeight="1" x14ac:dyDescent="0.25">
      <c r="A83" s="48" t="s">
        <v>54</v>
      </c>
      <c r="B83" s="49">
        <f>SUM(B70:B81)</f>
        <v>991645.35913601983</v>
      </c>
      <c r="C83" s="46">
        <f>SUM(C70:C81)</f>
        <v>1169814.8411941342</v>
      </c>
      <c r="D83" s="46">
        <f>SUM(D70:D81)</f>
        <v>1028572.7370066622</v>
      </c>
      <c r="E83" s="47">
        <f>D83-C83</f>
        <v>-141242.10418747202</v>
      </c>
      <c r="F83" s="49">
        <f>SUM(F70:F81)</f>
        <v>100120.91043609702</v>
      </c>
      <c r="G83" s="46">
        <f>SUM(G70:G81)</f>
        <v>104669.35922211992</v>
      </c>
      <c r="H83" s="46">
        <f>SUM(H70:H81)</f>
        <v>77658.295794658188</v>
      </c>
      <c r="I83" s="47">
        <f>H83-G83</f>
        <v>-27011.063427461733</v>
      </c>
      <c r="J83" s="49">
        <f>SUM(J70:J81)</f>
        <v>-114375.89055322701</v>
      </c>
      <c r="K83" s="46">
        <f>SUM(K70:K81)</f>
        <v>-283519.64369225415</v>
      </c>
      <c r="L83" s="46">
        <f>SUM(L70:L81)</f>
        <v>-298752.78947332053</v>
      </c>
      <c r="M83" s="47">
        <f>L83-K83</f>
        <v>-15233.145781066385</v>
      </c>
      <c r="N83" s="49">
        <f>SUM(N70:N81)</f>
        <v>977399.54972799995</v>
      </c>
      <c r="O83" s="46">
        <f>SUM(O70:O81)</f>
        <v>1145884.5297279998</v>
      </c>
      <c r="P83" s="46">
        <f>SUM(P70:P81)</f>
        <v>719943.98672400007</v>
      </c>
      <c r="Q83" s="47">
        <f t="shared" si="34"/>
        <v>-425940.54300399974</v>
      </c>
    </row>
    <row r="84" spans="1:17" ht="15" customHeight="1" x14ac:dyDescent="0.25">
      <c r="A84" s="58"/>
      <c r="B84" s="59"/>
      <c r="C84" s="59"/>
      <c r="D84" s="59"/>
      <c r="E84" s="59"/>
      <c r="F84" s="59"/>
      <c r="G84" s="59"/>
      <c r="H84" s="59"/>
      <c r="I84" s="59"/>
      <c r="J84" s="59"/>
      <c r="K84" s="60"/>
      <c r="L84" s="61"/>
      <c r="M84" s="59"/>
      <c r="N84" s="60"/>
      <c r="O84" s="60"/>
      <c r="P84" s="61"/>
    </row>
    <row r="87" spans="1:17" ht="15" customHeight="1" x14ac:dyDescent="0.25">
      <c r="A87" s="158" t="s">
        <v>139</v>
      </c>
      <c r="B87" s="158"/>
      <c r="C87" s="158"/>
    </row>
    <row r="89" spans="1:17" ht="15" customHeight="1" x14ac:dyDescent="0.25">
      <c r="A89" s="29" t="s">
        <v>140</v>
      </c>
      <c r="B89" s="159" t="s">
        <v>117</v>
      </c>
      <c r="C89" s="159"/>
      <c r="D89" s="159"/>
      <c r="E89" s="159"/>
    </row>
    <row r="90" spans="1:17" ht="15" customHeight="1" x14ac:dyDescent="0.25">
      <c r="A90" s="30" t="s">
        <v>120</v>
      </c>
      <c r="B90" s="31">
        <v>2016</v>
      </c>
      <c r="C90" s="31">
        <v>2017</v>
      </c>
      <c r="D90" s="31">
        <v>2018</v>
      </c>
      <c r="E90" s="32" t="s">
        <v>121</v>
      </c>
    </row>
    <row r="91" spans="1:17" ht="15" customHeight="1" x14ac:dyDescent="0.25">
      <c r="A91" s="33" t="s">
        <v>122</v>
      </c>
      <c r="B91" s="67">
        <f>B70/B7</f>
        <v>3.3497167700964926E-2</v>
      </c>
      <c r="C91" s="68">
        <f>C70/C7</f>
        <v>2.9995421365336276E-2</v>
      </c>
      <c r="D91" s="67">
        <f>D70/D7</f>
        <v>2.6450330193719025E-2</v>
      </c>
      <c r="E91" s="35">
        <f t="shared" ref="E91:E102" si="35">D91-C91</f>
        <v>-3.5450911716172519E-3</v>
      </c>
    </row>
    <row r="92" spans="1:17" ht="15" customHeight="1" x14ac:dyDescent="0.25">
      <c r="A92" s="38" t="s">
        <v>123</v>
      </c>
      <c r="B92" s="67">
        <f t="shared" ref="B92:C102" si="36">B71/B8</f>
        <v>3.1186265361257778E-2</v>
      </c>
      <c r="C92" s="68">
        <f t="shared" si="36"/>
        <v>3.3602265287193844E-2</v>
      </c>
      <c r="D92" s="67">
        <f t="shared" ref="D92:D95" si="37">D71-D50</f>
        <v>-62478.084034747211</v>
      </c>
      <c r="E92" s="39">
        <f t="shared" si="35"/>
        <v>-62478.117637012496</v>
      </c>
    </row>
    <row r="93" spans="1:17" ht="15" customHeight="1" x14ac:dyDescent="0.25">
      <c r="A93" s="38" t="s">
        <v>124</v>
      </c>
      <c r="B93" s="67">
        <f t="shared" si="36"/>
        <v>2.8962065073580196E-2</v>
      </c>
      <c r="C93" s="68">
        <f t="shared" si="36"/>
        <v>2.9128829765652006E-2</v>
      </c>
      <c r="D93" s="67">
        <f t="shared" si="37"/>
        <v>-71981.403740490146</v>
      </c>
      <c r="E93" s="39">
        <f t="shared" si="35"/>
        <v>-71981.432869319906</v>
      </c>
    </row>
    <row r="94" spans="1:17" ht="15" customHeight="1" x14ac:dyDescent="0.25">
      <c r="A94" s="38" t="s">
        <v>125</v>
      </c>
      <c r="B94" s="67">
        <f t="shared" si="36"/>
        <v>2.724854878197833E-2</v>
      </c>
      <c r="C94" s="68">
        <f t="shared" si="36"/>
        <v>2.3772216432312629E-2</v>
      </c>
      <c r="D94" s="67">
        <f>D73-D52</f>
        <v>-67425.451234135529</v>
      </c>
      <c r="E94" s="39">
        <f t="shared" si="35"/>
        <v>-67425.47500635196</v>
      </c>
    </row>
    <row r="95" spans="1:17" ht="15" customHeight="1" x14ac:dyDescent="0.25">
      <c r="A95" s="38" t="s">
        <v>126</v>
      </c>
      <c r="B95" s="67">
        <f t="shared" si="36"/>
        <v>2.644440900165709E-2</v>
      </c>
      <c r="C95" s="68">
        <f t="shared" si="36"/>
        <v>2.6054910897736518E-2</v>
      </c>
      <c r="D95" s="67">
        <f t="shared" si="37"/>
        <v>-71808.065724935994</v>
      </c>
      <c r="E95" s="39">
        <f t="shared" si="35"/>
        <v>-71808.091779846887</v>
      </c>
    </row>
    <row r="96" spans="1:17" ht="15" customHeight="1" x14ac:dyDescent="0.25">
      <c r="A96" s="38" t="s">
        <v>127</v>
      </c>
      <c r="B96" s="67">
        <f t="shared" si="36"/>
        <v>2.6955536292013908E-2</v>
      </c>
      <c r="C96" s="68">
        <f t="shared" si="36"/>
        <v>2.8487923303328014E-2</v>
      </c>
      <c r="D96" s="67">
        <f>D75-D54</f>
        <v>-70350.358094357565</v>
      </c>
      <c r="E96" s="39">
        <f t="shared" si="35"/>
        <v>-70350.386582280873</v>
      </c>
    </row>
    <row r="97" spans="1:5" ht="15" customHeight="1" x14ac:dyDescent="0.25">
      <c r="A97" s="38" t="s">
        <v>128</v>
      </c>
      <c r="B97" s="67">
        <f t="shared" si="36"/>
        <v>3.0226514387637939E-2</v>
      </c>
      <c r="C97" s="68">
        <f t="shared" si="36"/>
        <v>2.6047337744288131E-2</v>
      </c>
      <c r="D97" s="67">
        <f>D76-D55</f>
        <v>-73048.721720997448</v>
      </c>
      <c r="E97" s="39">
        <f t="shared" si="35"/>
        <v>-73048.74776833519</v>
      </c>
    </row>
    <row r="98" spans="1:5" ht="15" customHeight="1" x14ac:dyDescent="0.25">
      <c r="A98" s="38" t="s">
        <v>129</v>
      </c>
      <c r="B98" s="67">
        <f t="shared" si="36"/>
        <v>3.0834191344095391E-2</v>
      </c>
      <c r="C98" s="68">
        <f t="shared" si="36"/>
        <v>2.6224776852683058E-2</v>
      </c>
      <c r="D98" s="67">
        <f t="shared" ref="D98" si="38">D77-D56</f>
        <v>-74156.629179698168</v>
      </c>
      <c r="E98" s="39">
        <f t="shared" si="35"/>
        <v>-74156.655404475023</v>
      </c>
    </row>
    <row r="99" spans="1:5" ht="15" customHeight="1" x14ac:dyDescent="0.25">
      <c r="A99" s="38" t="s">
        <v>130</v>
      </c>
      <c r="B99" s="67">
        <f t="shared" si="36"/>
        <v>3.1100864514520214E-2</v>
      </c>
      <c r="C99" s="68">
        <f t="shared" si="36"/>
        <v>3.1079943130073142E-2</v>
      </c>
      <c r="D99" s="67">
        <f>D78-D57</f>
        <v>-72166.242705628363</v>
      </c>
      <c r="E99" s="39">
        <f t="shared" si="35"/>
        <v>-72166.273785571495</v>
      </c>
    </row>
    <row r="100" spans="1:5" ht="15" customHeight="1" x14ac:dyDescent="0.25">
      <c r="A100" s="38" t="s">
        <v>131</v>
      </c>
      <c r="B100" s="67">
        <f t="shared" si="36"/>
        <v>3.0500954299252162E-2</v>
      </c>
      <c r="C100" s="68">
        <f t="shared" si="36"/>
        <v>2.9352358306167729E-2</v>
      </c>
      <c r="D100" s="67">
        <f t="shared" ref="D100:D102" si="39">D79-D58</f>
        <v>0</v>
      </c>
      <c r="E100" s="39">
        <f t="shared" si="35"/>
        <v>-2.9352358306167729E-2</v>
      </c>
    </row>
    <row r="101" spans="1:5" ht="15" customHeight="1" x14ac:dyDescent="0.25">
      <c r="A101" s="38" t="s">
        <v>132</v>
      </c>
      <c r="B101" s="67">
        <f t="shared" si="36"/>
        <v>3.1815272528064487E-2</v>
      </c>
      <c r="C101" s="68">
        <f t="shared" si="36"/>
        <v>2.7564709530497004E-2</v>
      </c>
      <c r="D101" s="67">
        <f t="shared" si="39"/>
        <v>0</v>
      </c>
      <c r="E101" s="39">
        <f t="shared" si="35"/>
        <v>-2.7564709530497004E-2</v>
      </c>
    </row>
    <row r="102" spans="1:5" ht="15" customHeight="1" x14ac:dyDescent="0.25">
      <c r="A102" s="38" t="s">
        <v>133</v>
      </c>
      <c r="B102" s="67">
        <f>B81/B18</f>
        <v>2.8332874252682445E-2</v>
      </c>
      <c r="C102" s="68">
        <f t="shared" si="36"/>
        <v>2.792523303990805E-2</v>
      </c>
      <c r="D102" s="67">
        <f t="shared" si="39"/>
        <v>0</v>
      </c>
      <c r="E102" s="39">
        <f t="shared" si="35"/>
        <v>-2.792523303990805E-2</v>
      </c>
    </row>
    <row r="103" spans="1:5" ht="15" customHeight="1" x14ac:dyDescent="0.25">
      <c r="A103" s="55" t="s">
        <v>134</v>
      </c>
      <c r="B103" s="46">
        <f>SUM(B91:B93)</f>
        <v>9.3645498135802904E-2</v>
      </c>
      <c r="C103" s="46">
        <f t="shared" ref="C103:D103" si="40">SUM(C91:C93)</f>
        <v>9.2726516418182137E-2</v>
      </c>
      <c r="D103" s="46">
        <f t="shared" si="40"/>
        <v>-134459.46132490717</v>
      </c>
      <c r="E103" s="47">
        <f>D103-C103</f>
        <v>-134459.55405142359</v>
      </c>
    </row>
    <row r="104" spans="1:5" ht="15" customHeight="1" x14ac:dyDescent="0.25">
      <c r="A104" s="48" t="s">
        <v>54</v>
      </c>
      <c r="B104" s="49">
        <f>SUM(B91:B102)</f>
        <v>0.35710466353770487</v>
      </c>
      <c r="C104" s="46">
        <f>SUM(C91:C102)</f>
        <v>0.33923592565517646</v>
      </c>
      <c r="D104" s="46">
        <f>SUM(D91:D102)</f>
        <v>-563414.92998466024</v>
      </c>
      <c r="E104" s="47">
        <f>D104-C104</f>
        <v>-563415.26922058593</v>
      </c>
    </row>
  </sheetData>
  <mergeCells count="23">
    <mergeCell ref="J5:M5"/>
    <mergeCell ref="N5:Q5"/>
    <mergeCell ref="A45:C45"/>
    <mergeCell ref="A1:C1"/>
    <mergeCell ref="A3:E3"/>
    <mergeCell ref="B5:E5"/>
    <mergeCell ref="F5:I5"/>
    <mergeCell ref="A24:D24"/>
    <mergeCell ref="B26:E26"/>
    <mergeCell ref="F26:I26"/>
    <mergeCell ref="J26:M26"/>
    <mergeCell ref="N26:Q26"/>
    <mergeCell ref="N47:Q47"/>
    <mergeCell ref="A66:C66"/>
    <mergeCell ref="B68:E68"/>
    <mergeCell ref="F68:I68"/>
    <mergeCell ref="J68:M68"/>
    <mergeCell ref="N68:Q68"/>
    <mergeCell ref="A87:C87"/>
    <mergeCell ref="B89:E89"/>
    <mergeCell ref="B47:E47"/>
    <mergeCell ref="F47:I47"/>
    <mergeCell ref="J47:M47"/>
  </mergeCells>
  <conditionalFormatting sqref="D70:D81 F70:H81 N70:P81 K70:L81">
    <cfRule type="cellIs" dxfId="68" priority="68" operator="lessThan">
      <formula>0</formula>
    </cfRule>
  </conditionalFormatting>
  <conditionalFormatting sqref="D70:D81 F70:H81 N70:P81 K70:L81">
    <cfRule type="cellIs" dxfId="67" priority="67" operator="lessThan">
      <formula>0</formula>
    </cfRule>
  </conditionalFormatting>
  <conditionalFormatting sqref="D70:D81 F70:H81 N70:P81 K70:L81">
    <cfRule type="cellIs" dxfId="66" priority="66" operator="lessThan">
      <formula>0</formula>
    </cfRule>
  </conditionalFormatting>
  <conditionalFormatting sqref="D70:D81 F70:H81 N70:P81 K70:L81">
    <cfRule type="cellIs" dxfId="65" priority="65" operator="lessThan">
      <formula>0</formula>
    </cfRule>
  </conditionalFormatting>
  <conditionalFormatting sqref="Q70:Q81">
    <cfRule type="cellIs" dxfId="64" priority="64" operator="lessThan">
      <formula>0</formula>
    </cfRule>
  </conditionalFormatting>
  <conditionalFormatting sqref="M70:M81">
    <cfRule type="cellIs" dxfId="63" priority="63" operator="lessThan">
      <formula>0</formula>
    </cfRule>
  </conditionalFormatting>
  <conditionalFormatting sqref="I70:I81">
    <cfRule type="cellIs" dxfId="62" priority="62" operator="lessThan">
      <formula>0</formula>
    </cfRule>
  </conditionalFormatting>
  <conditionalFormatting sqref="E70:E81">
    <cfRule type="cellIs" dxfId="61" priority="61" operator="lessThan">
      <formula>0</formula>
    </cfRule>
  </conditionalFormatting>
  <conditionalFormatting sqref="F7:F16 B7:B16 J7:O7 J8:K18 M8:O10 Q7:Q10 M11:Q18">
    <cfRule type="cellIs" dxfId="60" priority="60" operator="lessThan">
      <formula>0</formula>
    </cfRule>
  </conditionalFormatting>
  <conditionalFormatting sqref="K7:K18 E7:F18 M7:M18 O7:O18 I7:I18 Q7:Q18">
    <cfRule type="cellIs" dxfId="59" priority="59" operator="lessThan">
      <formula>0</formula>
    </cfRule>
  </conditionalFormatting>
  <conditionalFormatting sqref="J7:O7 J8:K18 M8:O10 Q7:Q10 M11:Q18">
    <cfRule type="cellIs" dxfId="58" priority="58" operator="lessThan">
      <formula>0</formula>
    </cfRule>
  </conditionalFormatting>
  <conditionalFormatting sqref="K7:K18 M7:M18 O7:O18 E7:E18 F17:F18 I7:I18 Q7:Q18">
    <cfRule type="cellIs" dxfId="57" priority="57" operator="lessThan">
      <formula>0</formula>
    </cfRule>
  </conditionalFormatting>
  <conditionalFormatting sqref="J17">
    <cfRule type="cellIs" dxfId="56" priority="56" operator="lessThan">
      <formula>0</formula>
    </cfRule>
  </conditionalFormatting>
  <conditionalFormatting sqref="J7:J18">
    <cfRule type="cellIs" dxfId="55" priority="55" operator="lessThan">
      <formula>0</formula>
    </cfRule>
  </conditionalFormatting>
  <conditionalFormatting sqref="J7:J18">
    <cfRule type="cellIs" dxfId="54" priority="54" operator="lessThan">
      <formula>0</formula>
    </cfRule>
  </conditionalFormatting>
  <conditionalFormatting sqref="E28:E39">
    <cfRule type="cellIs" dxfId="53" priority="53" operator="lessThan">
      <formula>0</formula>
    </cfRule>
  </conditionalFormatting>
  <conditionalFormatting sqref="Q28:Q39">
    <cfRule type="cellIs" dxfId="52" priority="52" operator="lessThan">
      <formula>0</formula>
    </cfRule>
  </conditionalFormatting>
  <conditionalFormatting sqref="J49:L60 B49:D60 F49:G60 N49:P60">
    <cfRule type="cellIs" dxfId="51" priority="51" operator="lessThan">
      <formula>0</formula>
    </cfRule>
  </conditionalFormatting>
  <conditionalFormatting sqref="J49:L60 B49:D60 F49:G60 N49:P60">
    <cfRule type="cellIs" dxfId="50" priority="50" operator="lessThan">
      <formula>0</formula>
    </cfRule>
  </conditionalFormatting>
  <conditionalFormatting sqref="J49:L60 B49:D60 F49:G60 N49:P60">
    <cfRule type="cellIs" dxfId="49" priority="49" operator="lessThan">
      <formula>0</formula>
    </cfRule>
  </conditionalFormatting>
  <conditionalFormatting sqref="J49:L60 B49:D60 F49:G60 N49:P60">
    <cfRule type="cellIs" dxfId="48" priority="48" operator="lessThan">
      <formula>0</formula>
    </cfRule>
  </conditionalFormatting>
  <conditionalFormatting sqref="M49:M60">
    <cfRule type="cellIs" dxfId="47" priority="47" operator="lessThan">
      <formula>0</formula>
    </cfRule>
  </conditionalFormatting>
  <conditionalFormatting sqref="Q49:Q60">
    <cfRule type="cellIs" dxfId="46" priority="46" operator="lessThan">
      <formula>0</formula>
    </cfRule>
  </conditionalFormatting>
  <conditionalFormatting sqref="E49:E60">
    <cfRule type="cellIs" dxfId="45" priority="45" operator="lessThan">
      <formula>0</formula>
    </cfRule>
  </conditionalFormatting>
  <conditionalFormatting sqref="I49:I60">
    <cfRule type="cellIs" dxfId="44" priority="44" operator="lessThan">
      <formula>0</formula>
    </cfRule>
  </conditionalFormatting>
  <conditionalFormatting sqref="I28:I39">
    <cfRule type="cellIs" dxfId="43" priority="43" operator="lessThan">
      <formula>0</formula>
    </cfRule>
  </conditionalFormatting>
  <conditionalFormatting sqref="M28:M39">
    <cfRule type="cellIs" dxfId="42" priority="42" operator="lessThan">
      <formula>0</formula>
    </cfRule>
  </conditionalFormatting>
  <conditionalFormatting sqref="H49:H60">
    <cfRule type="cellIs" dxfId="41" priority="41" operator="lessThan">
      <formula>0</formula>
    </cfRule>
  </conditionalFormatting>
  <conditionalFormatting sqref="H49:H60">
    <cfRule type="cellIs" dxfId="40" priority="40" operator="lessThan">
      <formula>0</formula>
    </cfRule>
  </conditionalFormatting>
  <conditionalFormatting sqref="H49:H60">
    <cfRule type="cellIs" dxfId="39" priority="39" operator="lessThan">
      <formula>0</formula>
    </cfRule>
  </conditionalFormatting>
  <conditionalFormatting sqref="H49:H60">
    <cfRule type="cellIs" dxfId="38" priority="38" operator="lessThan">
      <formula>0</formula>
    </cfRule>
  </conditionalFormatting>
  <conditionalFormatting sqref="B70:B81">
    <cfRule type="cellIs" dxfId="37" priority="37" operator="lessThan">
      <formula>0</formula>
    </cfRule>
  </conditionalFormatting>
  <conditionalFormatting sqref="B70:B81">
    <cfRule type="cellIs" dxfId="36" priority="36" operator="lessThan">
      <formula>0</formula>
    </cfRule>
  </conditionalFormatting>
  <conditionalFormatting sqref="B70:B81">
    <cfRule type="cellIs" dxfId="35" priority="35" operator="lessThan">
      <formula>0</formula>
    </cfRule>
  </conditionalFormatting>
  <conditionalFormatting sqref="B70:B81">
    <cfRule type="cellIs" dxfId="34" priority="34" operator="lessThan">
      <formula>0</formula>
    </cfRule>
  </conditionalFormatting>
  <conditionalFormatting sqref="C70:C81">
    <cfRule type="cellIs" dxfId="33" priority="33" operator="lessThan">
      <formula>0</formula>
    </cfRule>
  </conditionalFormatting>
  <conditionalFormatting sqref="C70:C81">
    <cfRule type="cellIs" dxfId="32" priority="32" operator="lessThan">
      <formula>0</formula>
    </cfRule>
  </conditionalFormatting>
  <conditionalFormatting sqref="C70:C81">
    <cfRule type="cellIs" dxfId="31" priority="31" operator="lessThan">
      <formula>0</formula>
    </cfRule>
  </conditionalFormatting>
  <conditionalFormatting sqref="C70:C81">
    <cfRule type="cellIs" dxfId="30" priority="30" operator="lessThan">
      <formula>0</formula>
    </cfRule>
  </conditionalFormatting>
  <conditionalFormatting sqref="J70:J81">
    <cfRule type="cellIs" dxfId="29" priority="29" operator="lessThan">
      <formula>0</formula>
    </cfRule>
  </conditionalFormatting>
  <conditionalFormatting sqref="J70:J81">
    <cfRule type="cellIs" dxfId="28" priority="28" operator="lessThan">
      <formula>0</formula>
    </cfRule>
  </conditionalFormatting>
  <conditionalFormatting sqref="J70:J81">
    <cfRule type="cellIs" dxfId="27" priority="27" operator="lessThan">
      <formula>0</formula>
    </cfRule>
  </conditionalFormatting>
  <conditionalFormatting sqref="J70:J81">
    <cfRule type="cellIs" dxfId="26" priority="26" operator="lessThan">
      <formula>0</formula>
    </cfRule>
  </conditionalFormatting>
  <conditionalFormatting sqref="J7:J18">
    <cfRule type="cellIs" dxfId="25" priority="25" operator="lessThan">
      <formula>0</formula>
    </cfRule>
  </conditionalFormatting>
  <conditionalFormatting sqref="J7:J18">
    <cfRule type="cellIs" dxfId="24" priority="24" operator="lessThan">
      <formula>0</formula>
    </cfRule>
  </conditionalFormatting>
  <conditionalFormatting sqref="P11:P18">
    <cfRule type="cellIs" dxfId="23" priority="23" operator="lessThan">
      <formula>0</formula>
    </cfRule>
  </conditionalFormatting>
  <conditionalFormatting sqref="P11:P18">
    <cfRule type="cellIs" dxfId="22" priority="22" operator="lessThan">
      <formula>0</formula>
    </cfRule>
  </conditionalFormatting>
  <conditionalFormatting sqref="G49:G60">
    <cfRule type="cellIs" dxfId="21" priority="21" operator="lessThan">
      <formula>0</formula>
    </cfRule>
  </conditionalFormatting>
  <conditionalFormatting sqref="G49:G60">
    <cfRule type="cellIs" dxfId="20" priority="20" operator="lessThan">
      <formula>0</formula>
    </cfRule>
  </conditionalFormatting>
  <conditionalFormatting sqref="G49:G60">
    <cfRule type="cellIs" dxfId="19" priority="19" operator="lessThan">
      <formula>0</formula>
    </cfRule>
  </conditionalFormatting>
  <conditionalFormatting sqref="G49:G60">
    <cfRule type="cellIs" dxfId="18" priority="18" operator="lessThan">
      <formula>0</formula>
    </cfRule>
  </conditionalFormatting>
  <conditionalFormatting sqref="D91:D102">
    <cfRule type="cellIs" dxfId="17" priority="17" operator="lessThan">
      <formula>0</formula>
    </cfRule>
  </conditionalFormatting>
  <conditionalFormatting sqref="D91:D102">
    <cfRule type="cellIs" dxfId="16" priority="16" operator="lessThan">
      <formula>0</formula>
    </cfRule>
  </conditionalFormatting>
  <conditionalFormatting sqref="D91:D102">
    <cfRule type="cellIs" dxfId="15" priority="15" operator="lessThan">
      <formula>0</formula>
    </cfRule>
  </conditionalFormatting>
  <conditionalFormatting sqref="D91:D102">
    <cfRule type="cellIs" dxfId="14" priority="14" operator="lessThan">
      <formula>0</formula>
    </cfRule>
  </conditionalFormatting>
  <conditionalFormatting sqref="E91:E102">
    <cfRule type="cellIs" dxfId="13" priority="13" operator="lessThan">
      <formula>0</formula>
    </cfRule>
  </conditionalFormatting>
  <conditionalFormatting sqref="B91:B102">
    <cfRule type="cellIs" dxfId="12" priority="12" operator="lessThan">
      <formula>0</formula>
    </cfRule>
  </conditionalFormatting>
  <conditionalFormatting sqref="B91:B102">
    <cfRule type="cellIs" dxfId="11" priority="11" operator="lessThan">
      <formula>0</formula>
    </cfRule>
  </conditionalFormatting>
  <conditionalFormatting sqref="B91:B102">
    <cfRule type="cellIs" dxfId="10" priority="10" operator="lessThan">
      <formula>0</formula>
    </cfRule>
  </conditionalFormatting>
  <conditionalFormatting sqref="B91:B102">
    <cfRule type="cellIs" dxfId="9" priority="9" operator="lessThan">
      <formula>0</formula>
    </cfRule>
  </conditionalFormatting>
  <conditionalFormatting sqref="C91:C102">
    <cfRule type="cellIs" dxfId="8" priority="8" operator="lessThan">
      <formula>0</formula>
    </cfRule>
  </conditionalFormatting>
  <conditionalFormatting sqref="C91:C102">
    <cfRule type="cellIs" dxfId="7" priority="7" operator="lessThan">
      <formula>0</formula>
    </cfRule>
  </conditionalFormatting>
  <conditionalFormatting sqref="C91:C102">
    <cfRule type="cellIs" dxfId="6" priority="6" operator="lessThan">
      <formula>0</formula>
    </cfRule>
  </conditionalFormatting>
  <conditionalFormatting sqref="C91:C102">
    <cfRule type="cellIs" dxfId="5" priority="5" operator="lessThan">
      <formula>0</formula>
    </cfRule>
  </conditionalFormatting>
  <conditionalFormatting sqref="P7:P15">
    <cfRule type="cellIs" dxfId="4" priority="4" operator="lessThan">
      <formula>0</formula>
    </cfRule>
  </conditionalFormatting>
  <conditionalFormatting sqref="P7:P18">
    <cfRule type="cellIs" dxfId="3" priority="3" operator="lessThan">
      <formula>0</formula>
    </cfRule>
  </conditionalFormatting>
  <conditionalFormatting sqref="P7:P18">
    <cfRule type="cellIs" dxfId="2" priority="2" operator="lessThan">
      <formula>0</formula>
    </cfRule>
  </conditionalFormatting>
  <conditionalFormatting sqref="P7:P18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workbookViewId="0">
      <selection activeCell="I13" sqref="I13"/>
    </sheetView>
  </sheetViews>
  <sheetFormatPr baseColWidth="10" defaultRowHeight="15" x14ac:dyDescent="0.25"/>
  <cols>
    <col min="7" max="7" width="15.28515625" customWidth="1"/>
  </cols>
  <sheetData>
    <row r="3" spans="1:11" x14ac:dyDescent="0.25">
      <c r="B3" s="52" t="s">
        <v>142</v>
      </c>
      <c r="C3" s="52" t="s">
        <v>152</v>
      </c>
      <c r="D3" s="52" t="s">
        <v>153</v>
      </c>
      <c r="E3" s="52" t="s">
        <v>154</v>
      </c>
      <c r="F3" s="71" t="s">
        <v>155</v>
      </c>
      <c r="G3" s="71" t="s">
        <v>156</v>
      </c>
      <c r="H3" s="71" t="s">
        <v>157</v>
      </c>
      <c r="I3" s="71" t="s">
        <v>220</v>
      </c>
    </row>
    <row r="4" spans="1:11" x14ac:dyDescent="0.25">
      <c r="A4" t="s">
        <v>143</v>
      </c>
      <c r="B4" s="37">
        <v>101187</v>
      </c>
      <c r="C4" s="37">
        <v>4137243</v>
      </c>
      <c r="D4" s="37">
        <f>C4/B4</f>
        <v>40.887100121557118</v>
      </c>
      <c r="E4" s="37">
        <v>1924256</v>
      </c>
      <c r="F4" s="37">
        <v>157051.44</v>
      </c>
      <c r="G4" s="5">
        <f>B4*'CN (Latinia)'!$C$2</f>
        <v>158104.6875</v>
      </c>
      <c r="H4" s="19">
        <f>+F4/G4</f>
        <v>0.99333829049186162</v>
      </c>
      <c r="I4">
        <f>+E4/C4</f>
        <v>0.46510586881166999</v>
      </c>
    </row>
    <row r="5" spans="1:11" x14ac:dyDescent="0.25">
      <c r="A5" t="s">
        <v>144</v>
      </c>
      <c r="B5" s="37">
        <v>106445</v>
      </c>
      <c r="C5" s="37">
        <v>3770069</v>
      </c>
      <c r="D5" s="37">
        <f t="shared" ref="D5:D12" si="0">C5/B5</f>
        <v>35.417999906054767</v>
      </c>
      <c r="E5" s="37">
        <v>1829577</v>
      </c>
      <c r="F5" s="37">
        <v>1251.1199999999999</v>
      </c>
      <c r="G5" s="5">
        <f>B5*'CN (Latinia)'!$C$2</f>
        <v>166320.3125</v>
      </c>
      <c r="H5" s="19">
        <f t="shared" ref="H5:H12" si="1">+F5/G5</f>
        <v>7.5223523885574704E-3</v>
      </c>
      <c r="I5">
        <f t="shared" ref="I5:I12" si="2">+E5/C5</f>
        <v>0.4852900570254815</v>
      </c>
      <c r="K5" s="72">
        <f>+B5-B4</f>
        <v>5258</v>
      </c>
    </row>
    <row r="6" spans="1:11" x14ac:dyDescent="0.25">
      <c r="A6" t="s">
        <v>145</v>
      </c>
      <c r="B6" s="37">
        <v>107421</v>
      </c>
      <c r="C6" s="37">
        <v>4430407</v>
      </c>
      <c r="D6" s="37">
        <f t="shared" si="0"/>
        <v>41.243397473492145</v>
      </c>
      <c r="E6" s="37">
        <v>2235725</v>
      </c>
      <c r="F6" s="37">
        <v>313416.48</v>
      </c>
      <c r="G6" s="5">
        <f>B6*'CN (Latinia)'!$C$2</f>
        <v>167845.3125</v>
      </c>
      <c r="H6" s="19">
        <f t="shared" si="1"/>
        <v>1.8672936129807021</v>
      </c>
      <c r="I6">
        <f t="shared" si="2"/>
        <v>0.50463196722107018</v>
      </c>
      <c r="K6" s="72">
        <f t="shared" ref="K6:K12" si="3">+B6-B5</f>
        <v>976</v>
      </c>
    </row>
    <row r="7" spans="1:11" x14ac:dyDescent="0.25">
      <c r="A7" t="s">
        <v>146</v>
      </c>
      <c r="B7" s="37">
        <v>111478</v>
      </c>
      <c r="C7" s="37">
        <v>4175530</v>
      </c>
      <c r="D7" s="37">
        <f t="shared" si="0"/>
        <v>37.456089990850209</v>
      </c>
      <c r="E7" s="37">
        <v>2183107</v>
      </c>
      <c r="F7" s="37">
        <v>166963.68</v>
      </c>
      <c r="G7" s="5">
        <f>B7*'CN (Latinia)'!$C$2</f>
        <v>174184.375</v>
      </c>
      <c r="H7" s="19">
        <f t="shared" si="1"/>
        <v>0.95854567896804743</v>
      </c>
      <c r="I7">
        <f t="shared" si="2"/>
        <v>0.52283350856058997</v>
      </c>
      <c r="K7" s="72">
        <f t="shared" si="3"/>
        <v>4057</v>
      </c>
    </row>
    <row r="8" spans="1:11" x14ac:dyDescent="0.25">
      <c r="A8" t="s">
        <v>147</v>
      </c>
      <c r="B8" s="37">
        <v>113485</v>
      </c>
      <c r="C8" s="37">
        <v>4457790</v>
      </c>
      <c r="D8" s="37">
        <f t="shared" si="0"/>
        <v>39.280874124333614</v>
      </c>
      <c r="E8" s="37">
        <v>2124179</v>
      </c>
      <c r="F8" s="37">
        <v>168498.72</v>
      </c>
      <c r="G8" s="5">
        <f>B8*'CN (Latinia)'!$C$2</f>
        <v>177320.3125</v>
      </c>
      <c r="H8" s="19">
        <f t="shared" si="1"/>
        <v>0.95025052473895233</v>
      </c>
      <c r="I8">
        <f t="shared" si="2"/>
        <v>0.47650943629017967</v>
      </c>
      <c r="K8" s="72">
        <f t="shared" si="3"/>
        <v>2007</v>
      </c>
    </row>
    <row r="9" spans="1:11" x14ac:dyDescent="0.25">
      <c r="A9" t="s">
        <v>148</v>
      </c>
      <c r="B9" s="37">
        <v>114206</v>
      </c>
      <c r="C9" s="37">
        <v>4356955</v>
      </c>
      <c r="D9" s="37">
        <f t="shared" si="0"/>
        <v>38.1499658511812</v>
      </c>
      <c r="E9" s="37">
        <v>2048696</v>
      </c>
      <c r="F9" s="37">
        <v>170233.44</v>
      </c>
      <c r="G9" s="5">
        <f>B9*'CN (Latinia)'!$C$2</f>
        <v>178446.875</v>
      </c>
      <c r="H9" s="19">
        <f t="shared" si="1"/>
        <v>0.95397265993030145</v>
      </c>
      <c r="I9">
        <f t="shared" si="2"/>
        <v>0.47021279769931063</v>
      </c>
      <c r="K9" s="72">
        <f t="shared" si="3"/>
        <v>721</v>
      </c>
    </row>
    <row r="10" spans="1:11" x14ac:dyDescent="0.25">
      <c r="A10" t="s">
        <v>149</v>
      </c>
      <c r="B10" s="37">
        <v>116971</v>
      </c>
      <c r="C10" s="37">
        <v>4640202</v>
      </c>
      <c r="D10" s="37">
        <f t="shared" si="0"/>
        <v>39.669678809277514</v>
      </c>
      <c r="E10" s="37">
        <v>2032644</v>
      </c>
      <c r="F10" s="37">
        <v>172919.76</v>
      </c>
      <c r="G10" s="5">
        <f>B10*'CN (Latinia)'!$C$2</f>
        <v>182767.1875</v>
      </c>
      <c r="H10" s="19">
        <f t="shared" si="1"/>
        <v>0.94612037513571745</v>
      </c>
      <c r="I10">
        <f t="shared" si="2"/>
        <v>0.43805075727306697</v>
      </c>
      <c r="K10" s="72">
        <f t="shared" si="3"/>
        <v>2765</v>
      </c>
    </row>
    <row r="11" spans="1:11" x14ac:dyDescent="0.25">
      <c r="A11" t="s">
        <v>150</v>
      </c>
      <c r="B11" s="37">
        <v>118713</v>
      </c>
      <c r="C11" s="37">
        <v>4704074</v>
      </c>
      <c r="D11" s="37">
        <f t="shared" si="0"/>
        <v>39.625601239965292</v>
      </c>
      <c r="E11" s="37">
        <v>2127033</v>
      </c>
      <c r="F11" s="37">
        <v>176626.32</v>
      </c>
      <c r="G11" s="5">
        <f>B11*'CN (Latinia)'!$C$2</f>
        <v>185489.0625</v>
      </c>
      <c r="H11" s="19">
        <f t="shared" si="1"/>
        <v>0.95221959515807031</v>
      </c>
      <c r="I11">
        <f t="shared" si="2"/>
        <v>0.45216826946174743</v>
      </c>
      <c r="K11" s="72">
        <f t="shared" si="3"/>
        <v>1742</v>
      </c>
    </row>
    <row r="12" spans="1:11" x14ac:dyDescent="0.25">
      <c r="A12" t="s">
        <v>151</v>
      </c>
      <c r="B12" s="37">
        <v>111427</v>
      </c>
      <c r="C12" s="37">
        <v>4604901</v>
      </c>
      <c r="D12" s="37">
        <f t="shared" si="0"/>
        <v>41.326617426656014</v>
      </c>
      <c r="E12" s="37">
        <v>2065036</v>
      </c>
      <c r="F12" s="37">
        <v>172805.88</v>
      </c>
      <c r="G12" s="5">
        <f>B12*'CN (Latinia)'!$C$2</f>
        <v>174104.6875</v>
      </c>
      <c r="H12" s="19">
        <f t="shared" si="1"/>
        <v>0.99254007736006533</v>
      </c>
      <c r="I12">
        <f t="shared" si="2"/>
        <v>0.44844308270688121</v>
      </c>
      <c r="K12" s="72">
        <f t="shared" si="3"/>
        <v>-7286</v>
      </c>
    </row>
    <row r="13" spans="1:11" x14ac:dyDescent="0.25">
      <c r="I13">
        <f>AVERAGE(I4:I12)</f>
        <v>0.47369397167222199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L47"/>
  <sheetViews>
    <sheetView zoomScale="70" zoomScaleNormal="70" workbookViewId="0">
      <selection activeCell="G34" sqref="G34"/>
    </sheetView>
  </sheetViews>
  <sheetFormatPr baseColWidth="10" defaultRowHeight="15" x14ac:dyDescent="0.25"/>
  <cols>
    <col min="1" max="1" width="4" customWidth="1"/>
    <col min="2" max="2" width="31.5703125" customWidth="1"/>
    <col min="3" max="3" width="15.85546875" customWidth="1"/>
    <col min="4" max="4" width="16.140625" customWidth="1"/>
    <col min="5" max="7" width="13.28515625" customWidth="1"/>
    <col min="8" max="8" width="15.140625" customWidth="1"/>
    <col min="9" max="9" width="14.5703125" customWidth="1"/>
    <col min="10" max="10" width="15.140625" customWidth="1"/>
    <col min="11" max="11" width="14.28515625" customWidth="1"/>
    <col min="12" max="12" width="13.28515625" customWidth="1"/>
    <col min="13" max="13" width="16.140625" customWidth="1"/>
    <col min="14" max="39" width="13.28515625" customWidth="1"/>
    <col min="40" max="40" width="14.7109375" customWidth="1"/>
    <col min="41" max="41" width="14.85546875" customWidth="1"/>
    <col min="42" max="43" width="13.85546875" customWidth="1"/>
    <col min="44" max="44" width="14.28515625" customWidth="1"/>
    <col min="45" max="45" width="13.28515625" customWidth="1"/>
    <col min="51" max="51" width="14.42578125" customWidth="1"/>
  </cols>
  <sheetData>
    <row r="2" spans="2:63" x14ac:dyDescent="0.25">
      <c r="C2" t="s">
        <v>1</v>
      </c>
      <c r="D2" t="s">
        <v>58</v>
      </c>
      <c r="E2" t="s">
        <v>59</v>
      </c>
      <c r="O2" t="s">
        <v>71</v>
      </c>
    </row>
    <row r="3" spans="2:63" x14ac:dyDescent="0.25">
      <c r="B3" t="s">
        <v>0</v>
      </c>
      <c r="C3">
        <v>25</v>
      </c>
      <c r="D3" s="13">
        <v>5</v>
      </c>
      <c r="E3" s="4">
        <f>D3/1.12</f>
        <v>4.4642857142857135</v>
      </c>
      <c r="H3" t="s">
        <v>62</v>
      </c>
      <c r="I3" s="24" t="e">
        <f>+C37</f>
        <v>#REF!</v>
      </c>
      <c r="L3" t="s">
        <v>67</v>
      </c>
      <c r="M3" t="s">
        <v>68</v>
      </c>
      <c r="N3" s="3">
        <f>+O23</f>
        <v>36960</v>
      </c>
      <c r="O3" s="6">
        <v>0</v>
      </c>
      <c r="P3" s="6" t="e">
        <f>+O3+(O4*4)</f>
        <v>#REF!</v>
      </c>
    </row>
    <row r="4" spans="2:63" x14ac:dyDescent="0.25">
      <c r="B4" t="s">
        <v>2</v>
      </c>
      <c r="C4">
        <v>10</v>
      </c>
      <c r="D4" s="13">
        <v>5</v>
      </c>
      <c r="E4" s="4">
        <f>D4/1.12</f>
        <v>4.4642857142857135</v>
      </c>
      <c r="H4" t="s">
        <v>63</v>
      </c>
      <c r="I4" s="9" t="e">
        <f>+C38</f>
        <v>#VALUE!</v>
      </c>
      <c r="M4" t="s">
        <v>69</v>
      </c>
      <c r="N4" s="3">
        <f>+AA23</f>
        <v>52800</v>
      </c>
      <c r="O4" s="6" t="e">
        <f>+N4*#REF!-O3</f>
        <v>#REF!</v>
      </c>
    </row>
    <row r="5" spans="2:63" x14ac:dyDescent="0.25">
      <c r="B5" t="s">
        <v>43</v>
      </c>
      <c r="C5" s="9">
        <v>0.03</v>
      </c>
      <c r="D5" s="8">
        <v>0.04</v>
      </c>
      <c r="I5" t="e">
        <f>+C39</f>
        <v>#N/A</v>
      </c>
      <c r="M5" t="s">
        <v>70</v>
      </c>
      <c r="N5" s="3">
        <f>+AM23</f>
        <v>68640</v>
      </c>
      <c r="O5" s="6" t="e">
        <f>+N5*#REF!-SUM(O3:O4)</f>
        <v>#REF!</v>
      </c>
    </row>
    <row r="6" spans="2:63" x14ac:dyDescent="0.25">
      <c r="B6" t="s">
        <v>46</v>
      </c>
      <c r="C6" s="4">
        <v>0.25</v>
      </c>
    </row>
    <row r="7" spans="2:63" x14ac:dyDescent="0.25">
      <c r="B7" t="s">
        <v>76</v>
      </c>
      <c r="C7" s="5">
        <v>100000</v>
      </c>
    </row>
    <row r="9" spans="2:63" x14ac:dyDescent="0.25"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17</v>
      </c>
      <c r="O9" s="13" t="s">
        <v>18</v>
      </c>
      <c r="P9" t="s">
        <v>19</v>
      </c>
      <c r="Q9" t="s">
        <v>20</v>
      </c>
      <c r="R9" t="s">
        <v>21</v>
      </c>
      <c r="S9" t="s">
        <v>22</v>
      </c>
      <c r="T9" t="s">
        <v>23</v>
      </c>
      <c r="U9" t="s">
        <v>24</v>
      </c>
      <c r="V9" t="s">
        <v>25</v>
      </c>
      <c r="W9" t="s">
        <v>26</v>
      </c>
      <c r="X9" t="s">
        <v>27</v>
      </c>
      <c r="Y9" t="s">
        <v>28</v>
      </c>
      <c r="Z9" t="s">
        <v>29</v>
      </c>
      <c r="AA9" t="s">
        <v>30</v>
      </c>
      <c r="AB9" t="s">
        <v>31</v>
      </c>
      <c r="AC9" t="s">
        <v>32</v>
      </c>
      <c r="AD9" t="s">
        <v>33</v>
      </c>
      <c r="AE9" t="s">
        <v>34</v>
      </c>
      <c r="AF9" t="s">
        <v>35</v>
      </c>
      <c r="AG9" t="s">
        <v>36</v>
      </c>
      <c r="AH9" t="s">
        <v>37</v>
      </c>
      <c r="AI9" t="s">
        <v>38</v>
      </c>
      <c r="AJ9" t="s">
        <v>39</v>
      </c>
      <c r="AK9" t="s">
        <v>40</v>
      </c>
      <c r="AL9" t="s">
        <v>41</v>
      </c>
      <c r="AM9" s="13" t="s">
        <v>42</v>
      </c>
      <c r="AN9" t="s">
        <v>78</v>
      </c>
      <c r="AO9" t="s">
        <v>79</v>
      </c>
      <c r="AP9" t="s">
        <v>80</v>
      </c>
      <c r="AQ9" t="s">
        <v>81</v>
      </c>
      <c r="AR9" t="s">
        <v>82</v>
      </c>
      <c r="AS9" t="s">
        <v>83</v>
      </c>
      <c r="AT9" t="s">
        <v>84</v>
      </c>
      <c r="AU9" t="s">
        <v>85</v>
      </c>
      <c r="AV9" t="s">
        <v>86</v>
      </c>
      <c r="AW9" t="s">
        <v>87</v>
      </c>
      <c r="AX9" t="s">
        <v>88</v>
      </c>
      <c r="AY9" s="13" t="s">
        <v>89</v>
      </c>
      <c r="AZ9" t="s">
        <v>90</v>
      </c>
      <c r="BA9" t="s">
        <v>91</v>
      </c>
      <c r="BB9" t="s">
        <v>92</v>
      </c>
      <c r="BC9" t="s">
        <v>93</v>
      </c>
      <c r="BD9" t="s">
        <v>94</v>
      </c>
      <c r="BE9" t="s">
        <v>95</v>
      </c>
      <c r="BF9" t="s">
        <v>96</v>
      </c>
      <c r="BG9" t="s">
        <v>97</v>
      </c>
      <c r="BH9" t="s">
        <v>98</v>
      </c>
      <c r="BI9" t="s">
        <v>99</v>
      </c>
      <c r="BJ9" t="s">
        <v>100</v>
      </c>
      <c r="BK9" t="s">
        <v>101</v>
      </c>
    </row>
    <row r="10" spans="2:63" x14ac:dyDescent="0.25">
      <c r="B10" t="s">
        <v>77</v>
      </c>
      <c r="C10">
        <v>44000</v>
      </c>
      <c r="D10" s="2">
        <f>+C10</f>
        <v>44000</v>
      </c>
      <c r="E10" s="2">
        <f>+D10</f>
        <v>44000</v>
      </c>
      <c r="F10" s="2">
        <f>+E10</f>
        <v>44000</v>
      </c>
      <c r="G10" s="2">
        <f>+F10</f>
        <v>44000</v>
      </c>
      <c r="H10" s="2">
        <f t="shared" ref="H10:AM10" si="0">+G10</f>
        <v>44000</v>
      </c>
      <c r="I10" s="2">
        <f t="shared" si="0"/>
        <v>44000</v>
      </c>
      <c r="J10" s="2">
        <f t="shared" si="0"/>
        <v>44000</v>
      </c>
      <c r="K10" s="2">
        <f t="shared" si="0"/>
        <v>44000</v>
      </c>
      <c r="L10" s="2">
        <f t="shared" si="0"/>
        <v>44000</v>
      </c>
      <c r="M10" s="2">
        <f t="shared" si="0"/>
        <v>44000</v>
      </c>
      <c r="N10" s="2">
        <f t="shared" si="0"/>
        <v>44000</v>
      </c>
      <c r="O10" s="14">
        <f t="shared" si="0"/>
        <v>44000</v>
      </c>
      <c r="P10" s="2">
        <f t="shared" si="0"/>
        <v>44000</v>
      </c>
      <c r="Q10" s="2">
        <f t="shared" si="0"/>
        <v>44000</v>
      </c>
      <c r="R10" s="2">
        <f t="shared" si="0"/>
        <v>44000</v>
      </c>
      <c r="S10" s="2">
        <f t="shared" si="0"/>
        <v>44000</v>
      </c>
      <c r="T10" s="2">
        <f t="shared" si="0"/>
        <v>44000</v>
      </c>
      <c r="U10" s="2">
        <f t="shared" si="0"/>
        <v>44000</v>
      </c>
      <c r="V10" s="2">
        <f t="shared" si="0"/>
        <v>44000</v>
      </c>
      <c r="W10" s="2">
        <f t="shared" si="0"/>
        <v>44000</v>
      </c>
      <c r="X10" s="2">
        <f t="shared" si="0"/>
        <v>44000</v>
      </c>
      <c r="Y10" s="2">
        <f t="shared" si="0"/>
        <v>44000</v>
      </c>
      <c r="Z10" s="2">
        <f t="shared" si="0"/>
        <v>44000</v>
      </c>
      <c r="AA10" s="2">
        <f t="shared" si="0"/>
        <v>44000</v>
      </c>
      <c r="AB10" s="2">
        <f t="shared" si="0"/>
        <v>44000</v>
      </c>
      <c r="AC10" s="2">
        <f t="shared" si="0"/>
        <v>44000</v>
      </c>
      <c r="AD10" s="2">
        <f t="shared" si="0"/>
        <v>44000</v>
      </c>
      <c r="AE10" s="2">
        <f t="shared" si="0"/>
        <v>44000</v>
      </c>
      <c r="AF10" s="2">
        <f t="shared" si="0"/>
        <v>44000</v>
      </c>
      <c r="AG10" s="2">
        <f t="shared" si="0"/>
        <v>44000</v>
      </c>
      <c r="AH10" s="2">
        <f t="shared" si="0"/>
        <v>44000</v>
      </c>
      <c r="AI10" s="2">
        <f t="shared" si="0"/>
        <v>44000</v>
      </c>
      <c r="AJ10" s="2">
        <f t="shared" si="0"/>
        <v>44000</v>
      </c>
      <c r="AK10" s="2">
        <f t="shared" si="0"/>
        <v>44000</v>
      </c>
      <c r="AL10" s="2">
        <f t="shared" si="0"/>
        <v>44000</v>
      </c>
      <c r="AM10" s="2">
        <f t="shared" si="0"/>
        <v>44000</v>
      </c>
      <c r="AN10" s="2">
        <f t="shared" ref="AN10" si="1">+AM10</f>
        <v>44000</v>
      </c>
      <c r="AO10" s="2">
        <f t="shared" ref="AO10" si="2">+AN10</f>
        <v>44000</v>
      </c>
      <c r="AP10" s="2">
        <f t="shared" ref="AP10" si="3">+AO10</f>
        <v>44000</v>
      </c>
      <c r="AQ10" s="2">
        <f t="shared" ref="AQ10" si="4">+AP10</f>
        <v>44000</v>
      </c>
      <c r="AR10" s="2">
        <f t="shared" ref="AR10" si="5">+AQ10</f>
        <v>44000</v>
      </c>
      <c r="AS10" s="2">
        <f t="shared" ref="AS10" si="6">+AR10</f>
        <v>44000</v>
      </c>
      <c r="AT10" s="2">
        <f t="shared" ref="AT10" si="7">+AS10</f>
        <v>44000</v>
      </c>
      <c r="AU10" s="2">
        <f t="shared" ref="AU10" si="8">+AT10</f>
        <v>44000</v>
      </c>
      <c r="AV10" s="2">
        <f t="shared" ref="AV10" si="9">+AU10</f>
        <v>44000</v>
      </c>
      <c r="AW10" s="2">
        <f t="shared" ref="AW10" si="10">+AV10</f>
        <v>44000</v>
      </c>
      <c r="AX10" s="2">
        <f t="shared" ref="AX10" si="11">+AW10</f>
        <v>44000</v>
      </c>
      <c r="AY10" s="2">
        <f t="shared" ref="AY10" si="12">+AX10</f>
        <v>44000</v>
      </c>
      <c r="AZ10" s="2">
        <f t="shared" ref="AZ10" si="13">+AY10</f>
        <v>44000</v>
      </c>
      <c r="BA10" s="2">
        <f t="shared" ref="BA10" si="14">+AZ10</f>
        <v>44000</v>
      </c>
      <c r="BB10" s="2">
        <f t="shared" ref="BB10" si="15">+BA10</f>
        <v>44000</v>
      </c>
      <c r="BC10" s="2">
        <f t="shared" ref="BC10" si="16">+BB10</f>
        <v>44000</v>
      </c>
      <c r="BD10" s="2">
        <f t="shared" ref="BD10" si="17">+BC10</f>
        <v>44000</v>
      </c>
      <c r="BE10" s="2">
        <f t="shared" ref="BE10" si="18">+BD10</f>
        <v>44000</v>
      </c>
      <c r="BF10" s="2">
        <f t="shared" ref="BF10" si="19">+BE10</f>
        <v>44000</v>
      </c>
      <c r="BG10" s="2">
        <f t="shared" ref="BG10" si="20">+BF10</f>
        <v>44000</v>
      </c>
      <c r="BH10" s="2">
        <f t="shared" ref="BH10" si="21">+BG10</f>
        <v>44000</v>
      </c>
      <c r="BI10" s="2">
        <f t="shared" ref="BI10" si="22">+BH10</f>
        <v>44000</v>
      </c>
      <c r="BJ10" s="2">
        <f t="shared" ref="BJ10" si="23">+BI10</f>
        <v>44000</v>
      </c>
      <c r="BK10" s="2">
        <f t="shared" ref="BK10" si="24">+BJ10</f>
        <v>44000</v>
      </c>
    </row>
    <row r="11" spans="2:63" x14ac:dyDescent="0.25">
      <c r="B11" t="s">
        <v>4</v>
      </c>
      <c r="D11" s="2">
        <f>+D10*$C$5</f>
        <v>1320</v>
      </c>
      <c r="E11" s="2">
        <f>+E10*$C$5</f>
        <v>1320</v>
      </c>
      <c r="F11" s="2">
        <f t="shared" ref="F11:AM11" si="25">+F10*$C$5</f>
        <v>1320</v>
      </c>
      <c r="G11" s="2">
        <f t="shared" si="25"/>
        <v>1320</v>
      </c>
      <c r="H11" s="2">
        <f t="shared" si="25"/>
        <v>1320</v>
      </c>
      <c r="I11" s="2">
        <f t="shared" si="25"/>
        <v>1320</v>
      </c>
      <c r="J11" s="2">
        <f t="shared" si="25"/>
        <v>1320</v>
      </c>
      <c r="K11" s="2">
        <f t="shared" si="25"/>
        <v>1320</v>
      </c>
      <c r="L11" s="2">
        <f t="shared" si="25"/>
        <v>1320</v>
      </c>
      <c r="M11" s="2">
        <f t="shared" si="25"/>
        <v>1320</v>
      </c>
      <c r="N11" s="2">
        <f t="shared" si="25"/>
        <v>1320</v>
      </c>
      <c r="O11" s="14">
        <f t="shared" si="25"/>
        <v>1320</v>
      </c>
      <c r="P11" s="2">
        <f t="shared" si="25"/>
        <v>1320</v>
      </c>
      <c r="Q11" s="2">
        <f t="shared" si="25"/>
        <v>1320</v>
      </c>
      <c r="R11" s="2">
        <f t="shared" si="25"/>
        <v>1320</v>
      </c>
      <c r="S11" s="2">
        <f t="shared" si="25"/>
        <v>1320</v>
      </c>
      <c r="T11" s="2">
        <f t="shared" si="25"/>
        <v>1320</v>
      </c>
      <c r="U11" s="2">
        <f t="shared" si="25"/>
        <v>1320</v>
      </c>
      <c r="V11" s="2">
        <f t="shared" si="25"/>
        <v>1320</v>
      </c>
      <c r="W11" s="2">
        <f t="shared" si="25"/>
        <v>1320</v>
      </c>
      <c r="X11" s="2">
        <f t="shared" si="25"/>
        <v>1320</v>
      </c>
      <c r="Y11" s="2">
        <f t="shared" si="25"/>
        <v>1320</v>
      </c>
      <c r="Z11" s="2">
        <f t="shared" si="25"/>
        <v>1320</v>
      </c>
      <c r="AA11" s="2">
        <f t="shared" si="25"/>
        <v>1320</v>
      </c>
      <c r="AB11" s="2">
        <f t="shared" si="25"/>
        <v>1320</v>
      </c>
      <c r="AC11" s="2">
        <f t="shared" si="25"/>
        <v>1320</v>
      </c>
      <c r="AD11" s="2">
        <f t="shared" si="25"/>
        <v>1320</v>
      </c>
      <c r="AE11" s="2">
        <f t="shared" si="25"/>
        <v>1320</v>
      </c>
      <c r="AF11" s="2">
        <f t="shared" si="25"/>
        <v>1320</v>
      </c>
      <c r="AG11" s="2">
        <f t="shared" si="25"/>
        <v>1320</v>
      </c>
      <c r="AH11" s="2">
        <f t="shared" si="25"/>
        <v>1320</v>
      </c>
      <c r="AI11" s="2">
        <f t="shared" si="25"/>
        <v>1320</v>
      </c>
      <c r="AJ11" s="2">
        <f t="shared" si="25"/>
        <v>1320</v>
      </c>
      <c r="AK11" s="2">
        <f t="shared" si="25"/>
        <v>1320</v>
      </c>
      <c r="AL11" s="2">
        <f t="shared" si="25"/>
        <v>1320</v>
      </c>
      <c r="AM11" s="2">
        <f t="shared" si="25"/>
        <v>1320</v>
      </c>
      <c r="AN11" s="2">
        <f t="shared" ref="AN11:BK11" si="26">+AN10*$C$5</f>
        <v>1320</v>
      </c>
      <c r="AO11" s="2">
        <f t="shared" si="26"/>
        <v>1320</v>
      </c>
      <c r="AP11" s="2">
        <f t="shared" si="26"/>
        <v>1320</v>
      </c>
      <c r="AQ11" s="2">
        <f t="shared" si="26"/>
        <v>1320</v>
      </c>
      <c r="AR11" s="2">
        <f t="shared" si="26"/>
        <v>1320</v>
      </c>
      <c r="AS11" s="2">
        <f t="shared" si="26"/>
        <v>1320</v>
      </c>
      <c r="AT11" s="2">
        <f t="shared" si="26"/>
        <v>1320</v>
      </c>
      <c r="AU11" s="2">
        <f t="shared" si="26"/>
        <v>1320</v>
      </c>
      <c r="AV11" s="2">
        <f t="shared" si="26"/>
        <v>1320</v>
      </c>
      <c r="AW11" s="2">
        <f t="shared" si="26"/>
        <v>1320</v>
      </c>
      <c r="AX11" s="2">
        <f t="shared" si="26"/>
        <v>1320</v>
      </c>
      <c r="AY11" s="2">
        <f t="shared" si="26"/>
        <v>1320</v>
      </c>
      <c r="AZ11" s="2">
        <f t="shared" si="26"/>
        <v>1320</v>
      </c>
      <c r="BA11" s="2">
        <f t="shared" si="26"/>
        <v>1320</v>
      </c>
      <c r="BB11" s="2">
        <f t="shared" si="26"/>
        <v>1320</v>
      </c>
      <c r="BC11" s="2">
        <f t="shared" si="26"/>
        <v>1320</v>
      </c>
      <c r="BD11" s="2">
        <f t="shared" si="26"/>
        <v>1320</v>
      </c>
      <c r="BE11" s="2">
        <f t="shared" si="26"/>
        <v>1320</v>
      </c>
      <c r="BF11" s="2">
        <f t="shared" si="26"/>
        <v>1320</v>
      </c>
      <c r="BG11" s="2">
        <f t="shared" si="26"/>
        <v>1320</v>
      </c>
      <c r="BH11" s="2">
        <f t="shared" si="26"/>
        <v>1320</v>
      </c>
      <c r="BI11" s="2">
        <f t="shared" si="26"/>
        <v>1320</v>
      </c>
      <c r="BJ11" s="2">
        <f t="shared" si="26"/>
        <v>1320</v>
      </c>
      <c r="BK11" s="2">
        <f t="shared" si="26"/>
        <v>1320</v>
      </c>
    </row>
    <row r="12" spans="2:63" x14ac:dyDescent="0.25">
      <c r="B12" t="s">
        <v>51</v>
      </c>
      <c r="D12" s="2">
        <f>+D11</f>
        <v>1320</v>
      </c>
      <c r="E12" s="2">
        <f>+D12+E11</f>
        <v>2640</v>
      </c>
      <c r="F12" s="2">
        <f t="shared" ref="F12:AM12" si="27">+E12+F11</f>
        <v>3960</v>
      </c>
      <c r="G12" s="2">
        <f t="shared" si="27"/>
        <v>5280</v>
      </c>
      <c r="H12" s="2">
        <f t="shared" si="27"/>
        <v>6600</v>
      </c>
      <c r="I12" s="2">
        <f t="shared" si="27"/>
        <v>7920</v>
      </c>
      <c r="J12" s="2">
        <f t="shared" si="27"/>
        <v>9240</v>
      </c>
      <c r="K12" s="2">
        <f t="shared" si="27"/>
        <v>10560</v>
      </c>
      <c r="L12" s="2">
        <f t="shared" si="27"/>
        <v>11880</v>
      </c>
      <c r="M12" s="2">
        <f t="shared" si="27"/>
        <v>13200</v>
      </c>
      <c r="N12" s="2">
        <f t="shared" si="27"/>
        <v>14520</v>
      </c>
      <c r="O12" s="14">
        <f t="shared" si="27"/>
        <v>15840</v>
      </c>
      <c r="P12" s="2">
        <f t="shared" si="27"/>
        <v>17160</v>
      </c>
      <c r="Q12" s="2">
        <f t="shared" si="27"/>
        <v>18480</v>
      </c>
      <c r="R12" s="2">
        <f t="shared" si="27"/>
        <v>19800</v>
      </c>
      <c r="S12" s="2">
        <f t="shared" si="27"/>
        <v>21120</v>
      </c>
      <c r="T12" s="2">
        <f t="shared" si="27"/>
        <v>22440</v>
      </c>
      <c r="U12" s="2">
        <f t="shared" si="27"/>
        <v>23760</v>
      </c>
      <c r="V12" s="2">
        <f t="shared" si="27"/>
        <v>25080</v>
      </c>
      <c r="W12" s="2">
        <f t="shared" si="27"/>
        <v>26400</v>
      </c>
      <c r="X12" s="2">
        <f t="shared" si="27"/>
        <v>27720</v>
      </c>
      <c r="Y12" s="2">
        <f t="shared" si="27"/>
        <v>29040</v>
      </c>
      <c r="Z12" s="2">
        <f t="shared" si="27"/>
        <v>30360</v>
      </c>
      <c r="AA12" s="2">
        <f t="shared" si="27"/>
        <v>31680</v>
      </c>
      <c r="AB12" s="2">
        <f t="shared" si="27"/>
        <v>33000</v>
      </c>
      <c r="AC12" s="2">
        <f t="shared" si="27"/>
        <v>34320</v>
      </c>
      <c r="AD12" s="2">
        <f t="shared" si="27"/>
        <v>35640</v>
      </c>
      <c r="AE12" s="2">
        <f t="shared" si="27"/>
        <v>36960</v>
      </c>
      <c r="AF12" s="2">
        <f t="shared" si="27"/>
        <v>38280</v>
      </c>
      <c r="AG12" s="2">
        <f t="shared" si="27"/>
        <v>39600</v>
      </c>
      <c r="AH12" s="2">
        <f t="shared" si="27"/>
        <v>40920</v>
      </c>
      <c r="AI12" s="2">
        <f t="shared" si="27"/>
        <v>42240</v>
      </c>
      <c r="AJ12" s="2">
        <f t="shared" si="27"/>
        <v>43560</v>
      </c>
      <c r="AK12" s="2">
        <f t="shared" si="27"/>
        <v>44880</v>
      </c>
      <c r="AL12" s="2">
        <f t="shared" si="27"/>
        <v>46200</v>
      </c>
      <c r="AM12" s="2">
        <f t="shared" si="27"/>
        <v>47520</v>
      </c>
      <c r="AN12" s="2">
        <f t="shared" ref="AN12" si="28">+AM12+AN11</f>
        <v>48840</v>
      </c>
      <c r="AO12" s="2">
        <f t="shared" ref="AO12" si="29">+AN12+AO11</f>
        <v>50160</v>
      </c>
      <c r="AP12" s="2">
        <f t="shared" ref="AP12" si="30">+AO12+AP11</f>
        <v>51480</v>
      </c>
      <c r="AQ12" s="2">
        <f t="shared" ref="AQ12" si="31">+AP12+AQ11</f>
        <v>52800</v>
      </c>
      <c r="AR12" s="2">
        <f t="shared" ref="AR12" si="32">+AQ12+AR11</f>
        <v>54120</v>
      </c>
      <c r="AS12" s="2">
        <f t="shared" ref="AS12" si="33">+AR12+AS11</f>
        <v>55440</v>
      </c>
      <c r="AT12" s="2">
        <f t="shared" ref="AT12" si="34">+AS12+AT11</f>
        <v>56760</v>
      </c>
      <c r="AU12" s="2">
        <f t="shared" ref="AU12" si="35">+AT12+AU11</f>
        <v>58080</v>
      </c>
      <c r="AV12" s="2">
        <f t="shared" ref="AV12" si="36">+AU12+AV11</f>
        <v>59400</v>
      </c>
      <c r="AW12" s="2">
        <f t="shared" ref="AW12" si="37">+AV12+AW11</f>
        <v>60720</v>
      </c>
      <c r="AX12" s="2">
        <f t="shared" ref="AX12" si="38">+AW12+AX11</f>
        <v>62040</v>
      </c>
      <c r="AY12" s="2">
        <f t="shared" ref="AY12" si="39">+AX12+AY11</f>
        <v>63360</v>
      </c>
      <c r="AZ12" s="2">
        <f t="shared" ref="AZ12" si="40">+AY12+AZ11</f>
        <v>64680</v>
      </c>
      <c r="BA12" s="2">
        <f t="shared" ref="BA12" si="41">+AZ12+BA11</f>
        <v>66000</v>
      </c>
      <c r="BB12" s="2">
        <f t="shared" ref="BB12" si="42">+BA12+BB11</f>
        <v>67320</v>
      </c>
      <c r="BC12" s="2">
        <f t="shared" ref="BC12" si="43">+BB12+BC11</f>
        <v>68640</v>
      </c>
      <c r="BD12" s="2">
        <f t="shared" ref="BD12" si="44">+BC12+BD11</f>
        <v>69960</v>
      </c>
      <c r="BE12" s="2">
        <f t="shared" ref="BE12" si="45">+BD12+BE11</f>
        <v>71280</v>
      </c>
      <c r="BF12" s="2">
        <f t="shared" ref="BF12" si="46">+BE12+BF11</f>
        <v>72600</v>
      </c>
      <c r="BG12" s="2">
        <f t="shared" ref="BG12" si="47">+BF12+BG11</f>
        <v>73920</v>
      </c>
      <c r="BH12" s="2">
        <f t="shared" ref="BH12" si="48">+BG12+BH11</f>
        <v>75240</v>
      </c>
      <c r="BI12" s="2">
        <f t="shared" ref="BI12" si="49">+BH12+BI11</f>
        <v>76560</v>
      </c>
      <c r="BJ12" s="2">
        <f t="shared" ref="BJ12" si="50">+BI12+BJ11</f>
        <v>77880</v>
      </c>
      <c r="BK12" s="2">
        <f t="shared" ref="BK12" si="51">+BJ12+BK11</f>
        <v>79200</v>
      </c>
    </row>
    <row r="13" spans="2:63" x14ac:dyDescent="0.25">
      <c r="B13" t="s">
        <v>74</v>
      </c>
      <c r="D13" s="2">
        <f t="shared" ref="D13:O13" si="52">D10*$D$5</f>
        <v>1760</v>
      </c>
      <c r="E13" s="2">
        <f t="shared" si="52"/>
        <v>1760</v>
      </c>
      <c r="F13" s="2">
        <f t="shared" si="52"/>
        <v>1760</v>
      </c>
      <c r="G13" s="2">
        <f t="shared" si="52"/>
        <v>1760</v>
      </c>
      <c r="H13" s="2">
        <f t="shared" si="52"/>
        <v>1760</v>
      </c>
      <c r="I13" s="2">
        <f t="shared" si="52"/>
        <v>1760</v>
      </c>
      <c r="J13" s="2">
        <f t="shared" si="52"/>
        <v>1760</v>
      </c>
      <c r="K13" s="2">
        <f t="shared" si="52"/>
        <v>1760</v>
      </c>
      <c r="L13" s="2">
        <f t="shared" si="52"/>
        <v>1760</v>
      </c>
      <c r="M13" s="2">
        <f t="shared" si="52"/>
        <v>1760</v>
      </c>
      <c r="N13" s="2">
        <f t="shared" si="52"/>
        <v>1760</v>
      </c>
      <c r="O13" s="14">
        <f t="shared" si="52"/>
        <v>1760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</row>
    <row r="14" spans="2:63" x14ac:dyDescent="0.25">
      <c r="B14" t="s">
        <v>72</v>
      </c>
      <c r="D14" s="2">
        <f>+D13</f>
        <v>1760</v>
      </c>
      <c r="E14" s="2">
        <f>+D14+E13</f>
        <v>3520</v>
      </c>
      <c r="F14" s="2">
        <f t="shared" ref="F14:AM14" si="53">+E14+F13</f>
        <v>5280</v>
      </c>
      <c r="G14" s="2">
        <f t="shared" si="53"/>
        <v>7040</v>
      </c>
      <c r="H14" s="2">
        <f t="shared" si="53"/>
        <v>8800</v>
      </c>
      <c r="I14" s="2">
        <f t="shared" si="53"/>
        <v>10560</v>
      </c>
      <c r="J14" s="2">
        <f t="shared" si="53"/>
        <v>12320</v>
      </c>
      <c r="K14" s="2">
        <f t="shared" si="53"/>
        <v>14080</v>
      </c>
      <c r="L14" s="2">
        <f t="shared" si="53"/>
        <v>15840</v>
      </c>
      <c r="M14" s="2">
        <f t="shared" si="53"/>
        <v>17600</v>
      </c>
      <c r="N14" s="2">
        <f t="shared" si="53"/>
        <v>19360</v>
      </c>
      <c r="O14" s="14">
        <f t="shared" si="53"/>
        <v>21120</v>
      </c>
      <c r="P14" s="2">
        <f t="shared" si="53"/>
        <v>21120</v>
      </c>
      <c r="Q14" s="2">
        <f t="shared" si="53"/>
        <v>21120</v>
      </c>
      <c r="R14" s="2">
        <f t="shared" si="53"/>
        <v>21120</v>
      </c>
      <c r="S14" s="2">
        <f t="shared" si="53"/>
        <v>21120</v>
      </c>
      <c r="T14" s="2">
        <f t="shared" si="53"/>
        <v>21120</v>
      </c>
      <c r="U14" s="2">
        <f t="shared" si="53"/>
        <v>21120</v>
      </c>
      <c r="V14" s="2">
        <f t="shared" si="53"/>
        <v>21120</v>
      </c>
      <c r="W14" s="2">
        <f t="shared" si="53"/>
        <v>21120</v>
      </c>
      <c r="X14" s="2">
        <f t="shared" si="53"/>
        <v>21120</v>
      </c>
      <c r="Y14" s="2">
        <f t="shared" si="53"/>
        <v>21120</v>
      </c>
      <c r="Z14" s="2">
        <f t="shared" si="53"/>
        <v>21120</v>
      </c>
      <c r="AA14" s="2">
        <f t="shared" si="53"/>
        <v>21120</v>
      </c>
      <c r="AB14" s="2">
        <f t="shared" si="53"/>
        <v>21120</v>
      </c>
      <c r="AC14" s="2">
        <f t="shared" si="53"/>
        <v>21120</v>
      </c>
      <c r="AD14" s="2">
        <f t="shared" si="53"/>
        <v>21120</v>
      </c>
      <c r="AE14" s="2">
        <f t="shared" si="53"/>
        <v>21120</v>
      </c>
      <c r="AF14" s="2">
        <f t="shared" si="53"/>
        <v>21120</v>
      </c>
      <c r="AG14" s="2">
        <f t="shared" si="53"/>
        <v>21120</v>
      </c>
      <c r="AH14" s="2">
        <f t="shared" si="53"/>
        <v>21120</v>
      </c>
      <c r="AI14" s="2">
        <f t="shared" si="53"/>
        <v>21120</v>
      </c>
      <c r="AJ14" s="2">
        <f t="shared" si="53"/>
        <v>21120</v>
      </c>
      <c r="AK14" s="2">
        <f t="shared" si="53"/>
        <v>21120</v>
      </c>
      <c r="AL14" s="2">
        <f t="shared" si="53"/>
        <v>21120</v>
      </c>
      <c r="AM14" s="2">
        <f t="shared" si="53"/>
        <v>21120</v>
      </c>
      <c r="AN14" s="2">
        <f t="shared" ref="AN14" si="54">+AM14+AN13</f>
        <v>21120</v>
      </c>
      <c r="AO14" s="2">
        <f t="shared" ref="AO14" si="55">+AN14+AO13</f>
        <v>21120</v>
      </c>
      <c r="AP14" s="2">
        <f t="shared" ref="AP14" si="56">+AO14+AP13</f>
        <v>21120</v>
      </c>
      <c r="AQ14" s="2">
        <f t="shared" ref="AQ14" si="57">+AP14+AQ13</f>
        <v>21120</v>
      </c>
      <c r="AR14" s="2">
        <f t="shared" ref="AR14" si="58">+AQ14+AR13</f>
        <v>21120</v>
      </c>
      <c r="AS14" s="2">
        <f t="shared" ref="AS14" si="59">+AR14+AS13</f>
        <v>21120</v>
      </c>
      <c r="AT14" s="2">
        <f t="shared" ref="AT14" si="60">+AS14+AT13</f>
        <v>21120</v>
      </c>
      <c r="AU14" s="2">
        <f t="shared" ref="AU14" si="61">+AT14+AU13</f>
        <v>21120</v>
      </c>
      <c r="AV14" s="2">
        <f t="shared" ref="AV14" si="62">+AU14+AV13</f>
        <v>21120</v>
      </c>
      <c r="AW14" s="2">
        <f t="shared" ref="AW14" si="63">+AV14+AW13</f>
        <v>21120</v>
      </c>
      <c r="AX14" s="2">
        <f t="shared" ref="AX14" si="64">+AW14+AX13</f>
        <v>21120</v>
      </c>
      <c r="AY14" s="2">
        <f t="shared" ref="AY14" si="65">+AX14+AY13</f>
        <v>21120</v>
      </c>
      <c r="AZ14" s="2">
        <f t="shared" ref="AZ14" si="66">+AY14+AZ13</f>
        <v>21120</v>
      </c>
      <c r="BA14" s="2">
        <f t="shared" ref="BA14" si="67">+AZ14+BA13</f>
        <v>21120</v>
      </c>
      <c r="BB14" s="2">
        <f t="shared" ref="BB14" si="68">+BA14+BB13</f>
        <v>21120</v>
      </c>
      <c r="BC14" s="2">
        <f t="shared" ref="BC14" si="69">+BB14+BC13</f>
        <v>21120</v>
      </c>
      <c r="BD14" s="2">
        <f t="shared" ref="BD14" si="70">+BC14+BD13</f>
        <v>21120</v>
      </c>
      <c r="BE14" s="2">
        <f t="shared" ref="BE14" si="71">+BD14+BE13</f>
        <v>21120</v>
      </c>
      <c r="BF14" s="2">
        <f t="shared" ref="BF14" si="72">+BE14+BF13</f>
        <v>21120</v>
      </c>
      <c r="BG14" s="2">
        <f t="shared" ref="BG14" si="73">+BF14+BG13</f>
        <v>21120</v>
      </c>
      <c r="BH14" s="2">
        <f t="shared" ref="BH14" si="74">+BG14+BH13</f>
        <v>21120</v>
      </c>
      <c r="BI14" s="2">
        <f t="shared" ref="BI14" si="75">+BH14+BI13</f>
        <v>21120</v>
      </c>
      <c r="BJ14" s="2">
        <f t="shared" ref="BJ14" si="76">+BI14+BJ13</f>
        <v>21120</v>
      </c>
      <c r="BK14" s="2">
        <f t="shared" ref="BK14" si="77">+BJ14+BK13</f>
        <v>21120</v>
      </c>
    </row>
    <row r="15" spans="2:63" x14ac:dyDescent="0.25">
      <c r="B15" t="s">
        <v>5</v>
      </c>
      <c r="D15" s="2">
        <f>D10*5</f>
        <v>220000</v>
      </c>
      <c r="E15" s="2">
        <f>E10*5</f>
        <v>220000</v>
      </c>
      <c r="F15" s="2">
        <f>F10*5</f>
        <v>220000</v>
      </c>
      <c r="G15" s="2">
        <f>G10*5</f>
        <v>220000</v>
      </c>
      <c r="H15" s="2">
        <f t="shared" ref="H15:AM15" si="78">H10*5</f>
        <v>220000</v>
      </c>
      <c r="I15" s="2">
        <f t="shared" si="78"/>
        <v>220000</v>
      </c>
      <c r="J15" s="2">
        <f t="shared" si="78"/>
        <v>220000</v>
      </c>
      <c r="K15" s="2">
        <f t="shared" si="78"/>
        <v>220000</v>
      </c>
      <c r="L15" s="2">
        <f t="shared" si="78"/>
        <v>220000</v>
      </c>
      <c r="M15" s="2">
        <f t="shared" si="78"/>
        <v>220000</v>
      </c>
      <c r="N15" s="2">
        <f t="shared" si="78"/>
        <v>220000</v>
      </c>
      <c r="O15" s="14">
        <f t="shared" si="78"/>
        <v>220000</v>
      </c>
      <c r="P15" s="2">
        <f t="shared" si="78"/>
        <v>220000</v>
      </c>
      <c r="Q15" s="2">
        <f t="shared" si="78"/>
        <v>220000</v>
      </c>
      <c r="R15" s="2">
        <f t="shared" si="78"/>
        <v>220000</v>
      </c>
      <c r="S15" s="2">
        <f t="shared" si="78"/>
        <v>220000</v>
      </c>
      <c r="T15" s="2">
        <f t="shared" si="78"/>
        <v>220000</v>
      </c>
      <c r="U15" s="2">
        <f t="shared" si="78"/>
        <v>220000</v>
      </c>
      <c r="V15" s="2">
        <f t="shared" si="78"/>
        <v>220000</v>
      </c>
      <c r="W15" s="2">
        <f t="shared" si="78"/>
        <v>220000</v>
      </c>
      <c r="X15" s="2">
        <f t="shared" si="78"/>
        <v>220000</v>
      </c>
      <c r="Y15" s="2">
        <f t="shared" si="78"/>
        <v>220000</v>
      </c>
      <c r="Z15" s="2">
        <f t="shared" si="78"/>
        <v>220000</v>
      </c>
      <c r="AA15" s="2">
        <f t="shared" si="78"/>
        <v>220000</v>
      </c>
      <c r="AB15" s="2">
        <f t="shared" si="78"/>
        <v>220000</v>
      </c>
      <c r="AC15" s="2">
        <f t="shared" si="78"/>
        <v>220000</v>
      </c>
      <c r="AD15" s="2">
        <f t="shared" si="78"/>
        <v>220000</v>
      </c>
      <c r="AE15" s="2">
        <f t="shared" si="78"/>
        <v>220000</v>
      </c>
      <c r="AF15" s="2">
        <f t="shared" si="78"/>
        <v>220000</v>
      </c>
      <c r="AG15" s="2">
        <f t="shared" si="78"/>
        <v>220000</v>
      </c>
      <c r="AH15" s="2">
        <f t="shared" si="78"/>
        <v>220000</v>
      </c>
      <c r="AI15" s="2">
        <f t="shared" si="78"/>
        <v>220000</v>
      </c>
      <c r="AJ15" s="2">
        <f t="shared" si="78"/>
        <v>220000</v>
      </c>
      <c r="AK15" s="2">
        <f t="shared" si="78"/>
        <v>220000</v>
      </c>
      <c r="AL15" s="2">
        <f t="shared" si="78"/>
        <v>220000</v>
      </c>
      <c r="AM15" s="2">
        <f t="shared" si="78"/>
        <v>220000</v>
      </c>
      <c r="AN15" s="2">
        <f t="shared" ref="AN15:BK15" si="79">AN10*5</f>
        <v>220000</v>
      </c>
      <c r="AO15" s="2">
        <f t="shared" si="79"/>
        <v>220000</v>
      </c>
      <c r="AP15" s="2">
        <f t="shared" si="79"/>
        <v>220000</v>
      </c>
      <c r="AQ15" s="2">
        <f t="shared" si="79"/>
        <v>220000</v>
      </c>
      <c r="AR15" s="2">
        <f t="shared" si="79"/>
        <v>220000</v>
      </c>
      <c r="AS15" s="2">
        <f t="shared" si="79"/>
        <v>220000</v>
      </c>
      <c r="AT15" s="2">
        <f t="shared" si="79"/>
        <v>220000</v>
      </c>
      <c r="AU15" s="2">
        <f t="shared" si="79"/>
        <v>220000</v>
      </c>
      <c r="AV15" s="2">
        <f t="shared" si="79"/>
        <v>220000</v>
      </c>
      <c r="AW15" s="2">
        <f t="shared" si="79"/>
        <v>220000</v>
      </c>
      <c r="AX15" s="2">
        <f t="shared" si="79"/>
        <v>220000</v>
      </c>
      <c r="AY15" s="2">
        <f t="shared" si="79"/>
        <v>220000</v>
      </c>
      <c r="AZ15" s="2">
        <f t="shared" si="79"/>
        <v>220000</v>
      </c>
      <c r="BA15" s="2">
        <f t="shared" si="79"/>
        <v>220000</v>
      </c>
      <c r="BB15" s="2">
        <f t="shared" si="79"/>
        <v>220000</v>
      </c>
      <c r="BC15" s="2">
        <f t="shared" si="79"/>
        <v>220000</v>
      </c>
      <c r="BD15" s="2">
        <f t="shared" si="79"/>
        <v>220000</v>
      </c>
      <c r="BE15" s="2">
        <f t="shared" si="79"/>
        <v>220000</v>
      </c>
      <c r="BF15" s="2">
        <f t="shared" si="79"/>
        <v>220000</v>
      </c>
      <c r="BG15" s="2">
        <f t="shared" si="79"/>
        <v>220000</v>
      </c>
      <c r="BH15" s="2">
        <f t="shared" si="79"/>
        <v>220000</v>
      </c>
      <c r="BI15" s="2">
        <f t="shared" si="79"/>
        <v>220000</v>
      </c>
      <c r="BJ15" s="2">
        <f t="shared" si="79"/>
        <v>220000</v>
      </c>
      <c r="BK15" s="2">
        <f t="shared" si="79"/>
        <v>220000</v>
      </c>
    </row>
    <row r="16" spans="2:63" x14ac:dyDescent="0.25">
      <c r="B16" t="s">
        <v>6</v>
      </c>
      <c r="D16" s="2">
        <f>D12*5</f>
        <v>6600</v>
      </c>
      <c r="E16" s="2">
        <f t="shared" ref="E16:AM16" si="80">E12*5</f>
        <v>13200</v>
      </c>
      <c r="F16" s="2">
        <f t="shared" si="80"/>
        <v>19800</v>
      </c>
      <c r="G16" s="2">
        <f t="shared" si="80"/>
        <v>26400</v>
      </c>
      <c r="H16" s="2">
        <f t="shared" si="80"/>
        <v>33000</v>
      </c>
      <c r="I16" s="2">
        <f t="shared" si="80"/>
        <v>39600</v>
      </c>
      <c r="J16" s="2">
        <f t="shared" si="80"/>
        <v>46200</v>
      </c>
      <c r="K16" s="2">
        <f t="shared" si="80"/>
        <v>52800</v>
      </c>
      <c r="L16" s="2">
        <f t="shared" si="80"/>
        <v>59400</v>
      </c>
      <c r="M16" s="2">
        <f t="shared" si="80"/>
        <v>66000</v>
      </c>
      <c r="N16" s="2">
        <f t="shared" si="80"/>
        <v>72600</v>
      </c>
      <c r="O16" s="14">
        <f t="shared" si="80"/>
        <v>79200</v>
      </c>
      <c r="P16" s="2">
        <f t="shared" si="80"/>
        <v>85800</v>
      </c>
      <c r="Q16" s="2">
        <f t="shared" si="80"/>
        <v>92400</v>
      </c>
      <c r="R16" s="2">
        <f t="shared" si="80"/>
        <v>99000</v>
      </c>
      <c r="S16" s="2">
        <f t="shared" si="80"/>
        <v>105600</v>
      </c>
      <c r="T16" s="2">
        <f t="shared" si="80"/>
        <v>112200</v>
      </c>
      <c r="U16" s="2">
        <f t="shared" si="80"/>
        <v>118800</v>
      </c>
      <c r="V16" s="2">
        <f t="shared" si="80"/>
        <v>125400</v>
      </c>
      <c r="W16" s="2">
        <f t="shared" si="80"/>
        <v>132000</v>
      </c>
      <c r="X16" s="2">
        <f t="shared" si="80"/>
        <v>138600</v>
      </c>
      <c r="Y16" s="2">
        <f t="shared" si="80"/>
        <v>145200</v>
      </c>
      <c r="Z16" s="2">
        <f t="shared" si="80"/>
        <v>151800</v>
      </c>
      <c r="AA16" s="2">
        <f t="shared" si="80"/>
        <v>158400</v>
      </c>
      <c r="AB16" s="2">
        <f t="shared" si="80"/>
        <v>165000</v>
      </c>
      <c r="AC16" s="2">
        <f t="shared" si="80"/>
        <v>171600</v>
      </c>
      <c r="AD16" s="2">
        <f t="shared" si="80"/>
        <v>178200</v>
      </c>
      <c r="AE16" s="2">
        <f t="shared" si="80"/>
        <v>184800</v>
      </c>
      <c r="AF16" s="2">
        <f t="shared" si="80"/>
        <v>191400</v>
      </c>
      <c r="AG16" s="2">
        <f t="shared" si="80"/>
        <v>198000</v>
      </c>
      <c r="AH16" s="2">
        <f t="shared" si="80"/>
        <v>204600</v>
      </c>
      <c r="AI16" s="2">
        <f t="shared" si="80"/>
        <v>211200</v>
      </c>
      <c r="AJ16" s="2">
        <f t="shared" si="80"/>
        <v>217800</v>
      </c>
      <c r="AK16" s="2">
        <f t="shared" si="80"/>
        <v>224400</v>
      </c>
      <c r="AL16" s="2">
        <f t="shared" si="80"/>
        <v>231000</v>
      </c>
      <c r="AM16" s="2">
        <f t="shared" si="80"/>
        <v>237600</v>
      </c>
      <c r="AN16" s="2">
        <f t="shared" ref="AN16:BK16" si="81">AN12*5</f>
        <v>244200</v>
      </c>
      <c r="AO16" s="2">
        <f t="shared" si="81"/>
        <v>250800</v>
      </c>
      <c r="AP16" s="2">
        <f t="shared" si="81"/>
        <v>257400</v>
      </c>
      <c r="AQ16" s="2">
        <f t="shared" si="81"/>
        <v>264000</v>
      </c>
      <c r="AR16" s="2">
        <f t="shared" si="81"/>
        <v>270600</v>
      </c>
      <c r="AS16" s="2">
        <f t="shared" si="81"/>
        <v>277200</v>
      </c>
      <c r="AT16" s="2">
        <f t="shared" si="81"/>
        <v>283800</v>
      </c>
      <c r="AU16" s="2">
        <f t="shared" si="81"/>
        <v>290400</v>
      </c>
      <c r="AV16" s="2">
        <f t="shared" si="81"/>
        <v>297000</v>
      </c>
      <c r="AW16" s="2">
        <f t="shared" si="81"/>
        <v>303600</v>
      </c>
      <c r="AX16" s="2">
        <f t="shared" si="81"/>
        <v>310200</v>
      </c>
      <c r="AY16" s="2">
        <f t="shared" si="81"/>
        <v>316800</v>
      </c>
      <c r="AZ16" s="2">
        <f t="shared" si="81"/>
        <v>323400</v>
      </c>
      <c r="BA16" s="2">
        <f t="shared" si="81"/>
        <v>330000</v>
      </c>
      <c r="BB16" s="2">
        <f t="shared" si="81"/>
        <v>336600</v>
      </c>
      <c r="BC16" s="2">
        <f t="shared" si="81"/>
        <v>343200</v>
      </c>
      <c r="BD16" s="2">
        <f t="shared" si="81"/>
        <v>349800</v>
      </c>
      <c r="BE16" s="2">
        <f t="shared" si="81"/>
        <v>356400</v>
      </c>
      <c r="BF16" s="2">
        <f t="shared" si="81"/>
        <v>363000</v>
      </c>
      <c r="BG16" s="2">
        <f t="shared" si="81"/>
        <v>369600</v>
      </c>
      <c r="BH16" s="2">
        <f t="shared" si="81"/>
        <v>376200</v>
      </c>
      <c r="BI16" s="2">
        <f t="shared" si="81"/>
        <v>382800</v>
      </c>
      <c r="BJ16" s="2">
        <f t="shared" si="81"/>
        <v>389400</v>
      </c>
      <c r="BK16" s="2">
        <f t="shared" si="81"/>
        <v>396000</v>
      </c>
    </row>
    <row r="17" spans="2:63" x14ac:dyDescent="0.25">
      <c r="B17" t="s">
        <v>44</v>
      </c>
      <c r="D17" s="2">
        <f>D15+D16</f>
        <v>226600</v>
      </c>
      <c r="E17" s="2">
        <f>E15+E16</f>
        <v>233200</v>
      </c>
      <c r="F17" s="2">
        <f>F15+F16</f>
        <v>239800</v>
      </c>
      <c r="G17" s="2">
        <f>G15+G16</f>
        <v>246400</v>
      </c>
      <c r="H17" s="2">
        <f t="shared" ref="H17:AM17" si="82">H15+H16</f>
        <v>253000</v>
      </c>
      <c r="I17" s="2">
        <f t="shared" si="82"/>
        <v>259600</v>
      </c>
      <c r="J17" s="2">
        <f t="shared" si="82"/>
        <v>266200</v>
      </c>
      <c r="K17" s="2">
        <f t="shared" si="82"/>
        <v>272800</v>
      </c>
      <c r="L17" s="2">
        <f t="shared" si="82"/>
        <v>279400</v>
      </c>
      <c r="M17" s="2">
        <f t="shared" si="82"/>
        <v>286000</v>
      </c>
      <c r="N17" s="2">
        <f t="shared" si="82"/>
        <v>292600</v>
      </c>
      <c r="O17" s="14">
        <f t="shared" si="82"/>
        <v>299200</v>
      </c>
      <c r="P17" s="2">
        <f t="shared" si="82"/>
        <v>305800</v>
      </c>
      <c r="Q17" s="2">
        <f t="shared" si="82"/>
        <v>312400</v>
      </c>
      <c r="R17" s="2">
        <f t="shared" si="82"/>
        <v>319000</v>
      </c>
      <c r="S17" s="2">
        <f t="shared" si="82"/>
        <v>325600</v>
      </c>
      <c r="T17" s="2">
        <f t="shared" si="82"/>
        <v>332200</v>
      </c>
      <c r="U17" s="2">
        <f t="shared" si="82"/>
        <v>338800</v>
      </c>
      <c r="V17" s="2">
        <f t="shared" si="82"/>
        <v>345400</v>
      </c>
      <c r="W17" s="2">
        <f t="shared" si="82"/>
        <v>352000</v>
      </c>
      <c r="X17" s="2">
        <f t="shared" si="82"/>
        <v>358600</v>
      </c>
      <c r="Y17" s="2">
        <f t="shared" si="82"/>
        <v>365200</v>
      </c>
      <c r="Z17" s="2">
        <f t="shared" si="82"/>
        <v>371800</v>
      </c>
      <c r="AA17" s="2">
        <f t="shared" si="82"/>
        <v>378400</v>
      </c>
      <c r="AB17" s="2">
        <f t="shared" si="82"/>
        <v>385000</v>
      </c>
      <c r="AC17" s="2">
        <f t="shared" si="82"/>
        <v>391600</v>
      </c>
      <c r="AD17" s="2">
        <f t="shared" si="82"/>
        <v>398200</v>
      </c>
      <c r="AE17" s="2">
        <f t="shared" si="82"/>
        <v>404800</v>
      </c>
      <c r="AF17" s="2">
        <f t="shared" si="82"/>
        <v>411400</v>
      </c>
      <c r="AG17" s="2">
        <f t="shared" si="82"/>
        <v>418000</v>
      </c>
      <c r="AH17" s="2">
        <f t="shared" si="82"/>
        <v>424600</v>
      </c>
      <c r="AI17" s="2">
        <f t="shared" si="82"/>
        <v>431200</v>
      </c>
      <c r="AJ17" s="2">
        <f t="shared" si="82"/>
        <v>437800</v>
      </c>
      <c r="AK17" s="2">
        <f t="shared" si="82"/>
        <v>444400</v>
      </c>
      <c r="AL17" s="2">
        <f t="shared" si="82"/>
        <v>451000</v>
      </c>
      <c r="AM17" s="2">
        <f t="shared" si="82"/>
        <v>457600</v>
      </c>
      <c r="AN17" s="2">
        <f t="shared" ref="AN17:BK17" si="83">AN15+AN16</f>
        <v>464200</v>
      </c>
      <c r="AO17" s="2">
        <f t="shared" si="83"/>
        <v>470800</v>
      </c>
      <c r="AP17" s="2">
        <f t="shared" si="83"/>
        <v>477400</v>
      </c>
      <c r="AQ17" s="2">
        <f t="shared" si="83"/>
        <v>484000</v>
      </c>
      <c r="AR17" s="2">
        <f t="shared" si="83"/>
        <v>490600</v>
      </c>
      <c r="AS17" s="2">
        <f t="shared" si="83"/>
        <v>497200</v>
      </c>
      <c r="AT17" s="2">
        <f t="shared" si="83"/>
        <v>503800</v>
      </c>
      <c r="AU17" s="2">
        <f t="shared" si="83"/>
        <v>510400</v>
      </c>
      <c r="AV17" s="2">
        <f t="shared" si="83"/>
        <v>517000</v>
      </c>
      <c r="AW17" s="2">
        <f t="shared" si="83"/>
        <v>523600</v>
      </c>
      <c r="AX17" s="2">
        <f t="shared" si="83"/>
        <v>530200</v>
      </c>
      <c r="AY17" s="2">
        <f t="shared" si="83"/>
        <v>536800</v>
      </c>
      <c r="AZ17" s="2">
        <f t="shared" si="83"/>
        <v>543400</v>
      </c>
      <c r="BA17" s="2">
        <f t="shared" si="83"/>
        <v>550000</v>
      </c>
      <c r="BB17" s="2">
        <f t="shared" si="83"/>
        <v>556600</v>
      </c>
      <c r="BC17" s="2">
        <f t="shared" si="83"/>
        <v>563200</v>
      </c>
      <c r="BD17" s="2">
        <f t="shared" si="83"/>
        <v>569800</v>
      </c>
      <c r="BE17" s="2">
        <f t="shared" si="83"/>
        <v>576400</v>
      </c>
      <c r="BF17" s="2">
        <f t="shared" si="83"/>
        <v>583000</v>
      </c>
      <c r="BG17" s="2">
        <f t="shared" si="83"/>
        <v>589600</v>
      </c>
      <c r="BH17" s="2">
        <f t="shared" si="83"/>
        <v>596200</v>
      </c>
      <c r="BI17" s="2">
        <f t="shared" si="83"/>
        <v>602800</v>
      </c>
      <c r="BJ17" s="2">
        <f t="shared" si="83"/>
        <v>609400</v>
      </c>
      <c r="BK17" s="2">
        <f t="shared" si="83"/>
        <v>616000</v>
      </c>
    </row>
    <row r="18" spans="2:63" x14ac:dyDescent="0.25">
      <c r="B18" s="10" t="s">
        <v>45</v>
      </c>
      <c r="O18" s="13"/>
    </row>
    <row r="19" spans="2:63" x14ac:dyDescent="0.25">
      <c r="B19" t="s">
        <v>46</v>
      </c>
      <c r="D19" s="5">
        <f>D16*$C$6</f>
        <v>1650</v>
      </c>
      <c r="E19" s="5">
        <f>E16*$C$6</f>
        <v>3300</v>
      </c>
      <c r="F19" s="5">
        <f>F16*$C$6</f>
        <v>4950</v>
      </c>
      <c r="G19" s="5">
        <f>G16*$C$6</f>
        <v>6600</v>
      </c>
      <c r="H19" s="5">
        <f t="shared" ref="H19:AM19" si="84">H16*$C$6</f>
        <v>8250</v>
      </c>
      <c r="I19" s="5">
        <f t="shared" si="84"/>
        <v>9900</v>
      </c>
      <c r="J19" s="5">
        <f t="shared" si="84"/>
        <v>11550</v>
      </c>
      <c r="K19" s="5">
        <f t="shared" si="84"/>
        <v>13200</v>
      </c>
      <c r="L19" s="5">
        <f t="shared" si="84"/>
        <v>14850</v>
      </c>
      <c r="M19" s="5">
        <f t="shared" si="84"/>
        <v>16500</v>
      </c>
      <c r="N19" s="5">
        <f t="shared" si="84"/>
        <v>18150</v>
      </c>
      <c r="O19" s="15">
        <f t="shared" si="84"/>
        <v>19800</v>
      </c>
      <c r="P19" s="5">
        <f t="shared" si="84"/>
        <v>21450</v>
      </c>
      <c r="Q19" s="5">
        <f t="shared" si="84"/>
        <v>23100</v>
      </c>
      <c r="R19" s="5">
        <f t="shared" si="84"/>
        <v>24750</v>
      </c>
      <c r="S19" s="5">
        <f t="shared" si="84"/>
        <v>26400</v>
      </c>
      <c r="T19" s="5">
        <f t="shared" si="84"/>
        <v>28050</v>
      </c>
      <c r="U19" s="5">
        <f t="shared" si="84"/>
        <v>29700</v>
      </c>
      <c r="V19" s="5">
        <f t="shared" si="84"/>
        <v>31350</v>
      </c>
      <c r="W19" s="5">
        <f t="shared" si="84"/>
        <v>33000</v>
      </c>
      <c r="X19" s="5">
        <f t="shared" si="84"/>
        <v>34650</v>
      </c>
      <c r="Y19" s="5">
        <f t="shared" si="84"/>
        <v>36300</v>
      </c>
      <c r="Z19" s="5">
        <f t="shared" si="84"/>
        <v>37950</v>
      </c>
      <c r="AA19" s="5">
        <f t="shared" si="84"/>
        <v>39600</v>
      </c>
      <c r="AB19" s="5">
        <f t="shared" si="84"/>
        <v>41250</v>
      </c>
      <c r="AC19" s="5">
        <f t="shared" si="84"/>
        <v>42900</v>
      </c>
      <c r="AD19" s="5">
        <f t="shared" si="84"/>
        <v>44550</v>
      </c>
      <c r="AE19" s="5">
        <f t="shared" si="84"/>
        <v>46200</v>
      </c>
      <c r="AF19" s="5">
        <f t="shared" si="84"/>
        <v>47850</v>
      </c>
      <c r="AG19" s="5">
        <f t="shared" si="84"/>
        <v>49500</v>
      </c>
      <c r="AH19" s="5">
        <f t="shared" si="84"/>
        <v>51150</v>
      </c>
      <c r="AI19" s="5">
        <f t="shared" si="84"/>
        <v>52800</v>
      </c>
      <c r="AJ19" s="5">
        <f t="shared" si="84"/>
        <v>54450</v>
      </c>
      <c r="AK19" s="5">
        <f t="shared" si="84"/>
        <v>56100</v>
      </c>
      <c r="AL19" s="5">
        <f t="shared" si="84"/>
        <v>57750</v>
      </c>
      <c r="AM19" s="5">
        <f t="shared" si="84"/>
        <v>59400</v>
      </c>
      <c r="AN19" s="5">
        <f t="shared" ref="AN19:BK19" si="85">AN16*$C$6</f>
        <v>61050</v>
      </c>
      <c r="AO19" s="5">
        <f t="shared" si="85"/>
        <v>62700</v>
      </c>
      <c r="AP19" s="5">
        <f t="shared" si="85"/>
        <v>64350</v>
      </c>
      <c r="AQ19" s="5">
        <f t="shared" si="85"/>
        <v>66000</v>
      </c>
      <c r="AR19" s="5">
        <f t="shared" si="85"/>
        <v>67650</v>
      </c>
      <c r="AS19" s="5">
        <f t="shared" si="85"/>
        <v>69300</v>
      </c>
      <c r="AT19" s="5">
        <f t="shared" si="85"/>
        <v>70950</v>
      </c>
      <c r="AU19" s="5">
        <f t="shared" si="85"/>
        <v>72600</v>
      </c>
      <c r="AV19" s="5">
        <f t="shared" si="85"/>
        <v>74250</v>
      </c>
      <c r="AW19" s="5">
        <f t="shared" si="85"/>
        <v>75900</v>
      </c>
      <c r="AX19" s="5">
        <f t="shared" si="85"/>
        <v>77550</v>
      </c>
      <c r="AY19" s="5">
        <f t="shared" si="85"/>
        <v>79200</v>
      </c>
      <c r="AZ19" s="5">
        <f t="shared" si="85"/>
        <v>80850</v>
      </c>
      <c r="BA19" s="5">
        <f t="shared" si="85"/>
        <v>82500</v>
      </c>
      <c r="BB19" s="5">
        <f t="shared" si="85"/>
        <v>84150</v>
      </c>
      <c r="BC19" s="5">
        <f t="shared" si="85"/>
        <v>85800</v>
      </c>
      <c r="BD19" s="5">
        <f t="shared" si="85"/>
        <v>87450</v>
      </c>
      <c r="BE19" s="5">
        <f t="shared" si="85"/>
        <v>89100</v>
      </c>
      <c r="BF19" s="5">
        <f t="shared" si="85"/>
        <v>90750</v>
      </c>
      <c r="BG19" s="5">
        <f t="shared" si="85"/>
        <v>92400</v>
      </c>
      <c r="BH19" s="5">
        <f t="shared" si="85"/>
        <v>94050</v>
      </c>
      <c r="BI19" s="5">
        <f t="shared" si="85"/>
        <v>95700</v>
      </c>
      <c r="BJ19" s="5">
        <f t="shared" si="85"/>
        <v>97350</v>
      </c>
      <c r="BK19" s="5">
        <f t="shared" si="85"/>
        <v>99000</v>
      </c>
    </row>
    <row r="20" spans="2:63" x14ac:dyDescent="0.25">
      <c r="B20" t="s">
        <v>47</v>
      </c>
      <c r="D20" s="5">
        <f>+D11*$E$3</f>
        <v>5892.8571428571422</v>
      </c>
      <c r="E20" s="5">
        <f>+E11*$E$3</f>
        <v>5892.8571428571422</v>
      </c>
      <c r="F20" s="5">
        <f>+F11*$E$3</f>
        <v>5892.8571428571422</v>
      </c>
      <c r="G20" s="5">
        <f>+G11*$E$3</f>
        <v>5892.8571428571422</v>
      </c>
      <c r="H20" s="5">
        <f t="shared" ref="H20:AM20" si="86">+H11*$E$3</f>
        <v>5892.8571428571422</v>
      </c>
      <c r="I20" s="5">
        <f t="shared" si="86"/>
        <v>5892.8571428571422</v>
      </c>
      <c r="J20" s="5">
        <f t="shared" si="86"/>
        <v>5892.8571428571422</v>
      </c>
      <c r="K20" s="5">
        <f t="shared" si="86"/>
        <v>5892.8571428571422</v>
      </c>
      <c r="L20" s="5">
        <f t="shared" si="86"/>
        <v>5892.8571428571422</v>
      </c>
      <c r="M20" s="5">
        <f t="shared" si="86"/>
        <v>5892.8571428571422</v>
      </c>
      <c r="N20" s="5">
        <f t="shared" si="86"/>
        <v>5892.8571428571422</v>
      </c>
      <c r="O20" s="15">
        <f t="shared" si="86"/>
        <v>5892.8571428571422</v>
      </c>
      <c r="P20" s="5">
        <f t="shared" si="86"/>
        <v>5892.8571428571422</v>
      </c>
      <c r="Q20" s="5">
        <f t="shared" si="86"/>
        <v>5892.8571428571422</v>
      </c>
      <c r="R20" s="5">
        <f t="shared" si="86"/>
        <v>5892.8571428571422</v>
      </c>
      <c r="S20" s="5">
        <f t="shared" si="86"/>
        <v>5892.8571428571422</v>
      </c>
      <c r="T20" s="5">
        <f t="shared" si="86"/>
        <v>5892.8571428571422</v>
      </c>
      <c r="U20" s="5">
        <f t="shared" si="86"/>
        <v>5892.8571428571422</v>
      </c>
      <c r="V20" s="5">
        <f t="shared" si="86"/>
        <v>5892.8571428571422</v>
      </c>
      <c r="W20" s="5">
        <f t="shared" si="86"/>
        <v>5892.8571428571422</v>
      </c>
      <c r="X20" s="5">
        <f t="shared" si="86"/>
        <v>5892.8571428571422</v>
      </c>
      <c r="Y20" s="5">
        <f t="shared" si="86"/>
        <v>5892.8571428571422</v>
      </c>
      <c r="Z20" s="5">
        <f t="shared" si="86"/>
        <v>5892.8571428571422</v>
      </c>
      <c r="AA20" s="5">
        <f t="shared" si="86"/>
        <v>5892.8571428571422</v>
      </c>
      <c r="AB20" s="5">
        <f t="shared" si="86"/>
        <v>5892.8571428571422</v>
      </c>
      <c r="AC20" s="5">
        <f t="shared" si="86"/>
        <v>5892.8571428571422</v>
      </c>
      <c r="AD20" s="5">
        <f t="shared" si="86"/>
        <v>5892.8571428571422</v>
      </c>
      <c r="AE20" s="5">
        <f t="shared" si="86"/>
        <v>5892.8571428571422</v>
      </c>
      <c r="AF20" s="5">
        <f t="shared" si="86"/>
        <v>5892.8571428571422</v>
      </c>
      <c r="AG20" s="5">
        <f t="shared" si="86"/>
        <v>5892.8571428571422</v>
      </c>
      <c r="AH20" s="5">
        <f t="shared" si="86"/>
        <v>5892.8571428571422</v>
      </c>
      <c r="AI20" s="5">
        <f t="shared" si="86"/>
        <v>5892.8571428571422</v>
      </c>
      <c r="AJ20" s="5">
        <f t="shared" si="86"/>
        <v>5892.8571428571422</v>
      </c>
      <c r="AK20" s="5">
        <f t="shared" si="86"/>
        <v>5892.8571428571422</v>
      </c>
      <c r="AL20" s="5">
        <f t="shared" si="86"/>
        <v>5892.8571428571422</v>
      </c>
      <c r="AM20" s="5">
        <f t="shared" si="86"/>
        <v>5892.8571428571422</v>
      </c>
      <c r="AN20" s="5">
        <f t="shared" ref="AN20:BK20" si="87">+AN11*$E$3</f>
        <v>5892.8571428571422</v>
      </c>
      <c r="AO20" s="5">
        <f t="shared" si="87"/>
        <v>5892.8571428571422</v>
      </c>
      <c r="AP20" s="5">
        <f t="shared" si="87"/>
        <v>5892.8571428571422</v>
      </c>
      <c r="AQ20" s="5">
        <f t="shared" si="87"/>
        <v>5892.8571428571422</v>
      </c>
      <c r="AR20" s="5">
        <f t="shared" si="87"/>
        <v>5892.8571428571422</v>
      </c>
      <c r="AS20" s="5">
        <f t="shared" si="87"/>
        <v>5892.8571428571422</v>
      </c>
      <c r="AT20" s="5">
        <f t="shared" si="87"/>
        <v>5892.8571428571422</v>
      </c>
      <c r="AU20" s="5">
        <f t="shared" si="87"/>
        <v>5892.8571428571422</v>
      </c>
      <c r="AV20" s="5">
        <f t="shared" si="87"/>
        <v>5892.8571428571422</v>
      </c>
      <c r="AW20" s="5">
        <f t="shared" si="87"/>
        <v>5892.8571428571422</v>
      </c>
      <c r="AX20" s="5">
        <f t="shared" si="87"/>
        <v>5892.8571428571422</v>
      </c>
      <c r="AY20" s="5">
        <f t="shared" si="87"/>
        <v>5892.8571428571422</v>
      </c>
      <c r="AZ20" s="5">
        <f t="shared" si="87"/>
        <v>5892.8571428571422</v>
      </c>
      <c r="BA20" s="5">
        <f t="shared" si="87"/>
        <v>5892.8571428571422</v>
      </c>
      <c r="BB20" s="5">
        <f t="shared" si="87"/>
        <v>5892.8571428571422</v>
      </c>
      <c r="BC20" s="5">
        <f t="shared" si="87"/>
        <v>5892.8571428571422</v>
      </c>
      <c r="BD20" s="5">
        <f t="shared" si="87"/>
        <v>5892.8571428571422</v>
      </c>
      <c r="BE20" s="5">
        <f t="shared" si="87"/>
        <v>5892.8571428571422</v>
      </c>
      <c r="BF20" s="5">
        <f t="shared" si="87"/>
        <v>5892.8571428571422</v>
      </c>
      <c r="BG20" s="5">
        <f t="shared" si="87"/>
        <v>5892.8571428571422</v>
      </c>
      <c r="BH20" s="5">
        <f t="shared" si="87"/>
        <v>5892.8571428571422</v>
      </c>
      <c r="BI20" s="5">
        <f t="shared" si="87"/>
        <v>5892.8571428571422</v>
      </c>
      <c r="BJ20" s="5">
        <f t="shared" si="87"/>
        <v>5892.8571428571422</v>
      </c>
      <c r="BK20" s="5">
        <f t="shared" si="87"/>
        <v>5892.8571428571422</v>
      </c>
    </row>
    <row r="21" spans="2:63" x14ac:dyDescent="0.25">
      <c r="B21" t="s">
        <v>75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5">
        <v>0</v>
      </c>
      <c r="P21" s="5">
        <f>+(D11+D13)*$E$4</f>
        <v>13749.999999999998</v>
      </c>
      <c r="Q21" s="5">
        <f>+(E11+E13)*$E$4</f>
        <v>13749.999999999998</v>
      </c>
      <c r="R21" s="5">
        <f t="shared" ref="R21:AA21" si="88">+(F11+F13)*$E$4</f>
        <v>13749.999999999998</v>
      </c>
      <c r="S21" s="5">
        <f t="shared" si="88"/>
        <v>13749.999999999998</v>
      </c>
      <c r="T21" s="5">
        <f t="shared" si="88"/>
        <v>13749.999999999998</v>
      </c>
      <c r="U21" s="5">
        <f t="shared" si="88"/>
        <v>13749.999999999998</v>
      </c>
      <c r="V21" s="5">
        <f t="shared" si="88"/>
        <v>13749.999999999998</v>
      </c>
      <c r="W21" s="5">
        <f t="shared" si="88"/>
        <v>13749.999999999998</v>
      </c>
      <c r="X21" s="5">
        <f t="shared" si="88"/>
        <v>13749.999999999998</v>
      </c>
      <c r="Y21" s="5">
        <f t="shared" si="88"/>
        <v>13749.999999999998</v>
      </c>
      <c r="Z21" s="5">
        <f t="shared" si="88"/>
        <v>13749.999999999998</v>
      </c>
      <c r="AA21" s="5">
        <f t="shared" si="88"/>
        <v>13749.999999999998</v>
      </c>
      <c r="AB21" s="5">
        <f>+((P11+P13)*$E$4)+P21</f>
        <v>19642.857142857141</v>
      </c>
      <c r="AC21" s="5">
        <f t="shared" ref="AC21:AM21" si="89">+((Q11+Q13)*$E$4)+Q21</f>
        <v>19642.857142857141</v>
      </c>
      <c r="AD21" s="5">
        <f t="shared" si="89"/>
        <v>19642.857142857141</v>
      </c>
      <c r="AE21" s="5">
        <f t="shared" si="89"/>
        <v>19642.857142857141</v>
      </c>
      <c r="AF21" s="5">
        <f t="shared" si="89"/>
        <v>19642.857142857141</v>
      </c>
      <c r="AG21" s="5">
        <f t="shared" si="89"/>
        <v>19642.857142857141</v>
      </c>
      <c r="AH21" s="5">
        <f t="shared" si="89"/>
        <v>19642.857142857141</v>
      </c>
      <c r="AI21" s="5">
        <f t="shared" si="89"/>
        <v>19642.857142857141</v>
      </c>
      <c r="AJ21" s="5">
        <f t="shared" si="89"/>
        <v>19642.857142857141</v>
      </c>
      <c r="AK21" s="5">
        <f t="shared" si="89"/>
        <v>19642.857142857141</v>
      </c>
      <c r="AL21" s="5">
        <f t="shared" si="89"/>
        <v>19642.857142857141</v>
      </c>
      <c r="AM21" s="5">
        <f t="shared" si="89"/>
        <v>19642.857142857141</v>
      </c>
      <c r="AN21" s="5">
        <f t="shared" ref="AN21" si="90">+((AB11+AB13)*$E$4)+AB21</f>
        <v>25535.714285714283</v>
      </c>
      <c r="AO21" s="5">
        <f t="shared" ref="AO21" si="91">+((AC11+AC13)*$E$4)+AC21</f>
        <v>25535.714285714283</v>
      </c>
      <c r="AP21" s="5">
        <f t="shared" ref="AP21" si="92">+((AD11+AD13)*$E$4)+AD21</f>
        <v>25535.714285714283</v>
      </c>
      <c r="AQ21" s="5">
        <f t="shared" ref="AQ21" si="93">+((AE11+AE13)*$E$4)+AE21</f>
        <v>25535.714285714283</v>
      </c>
      <c r="AR21" s="5">
        <f t="shared" ref="AR21" si="94">+((AF11+AF13)*$E$4)+AF21</f>
        <v>25535.714285714283</v>
      </c>
      <c r="AS21" s="5">
        <f t="shared" ref="AS21" si="95">+((AG11+AG13)*$E$4)+AG21</f>
        <v>25535.714285714283</v>
      </c>
      <c r="AT21" s="5">
        <f t="shared" ref="AT21" si="96">+((AH11+AH13)*$E$4)+AH21</f>
        <v>25535.714285714283</v>
      </c>
      <c r="AU21" s="5">
        <f t="shared" ref="AU21" si="97">+((AI11+AI13)*$E$4)+AI21</f>
        <v>25535.714285714283</v>
      </c>
      <c r="AV21" s="5">
        <f t="shared" ref="AV21" si="98">+((AJ11+AJ13)*$E$4)+AJ21</f>
        <v>25535.714285714283</v>
      </c>
      <c r="AW21" s="5">
        <f t="shared" ref="AW21" si="99">+((AK11+AK13)*$E$4)+AK21</f>
        <v>25535.714285714283</v>
      </c>
      <c r="AX21" s="5">
        <f t="shared" ref="AX21" si="100">+((AL11+AL13)*$E$4)+AL21</f>
        <v>25535.714285714283</v>
      </c>
      <c r="AY21" s="5">
        <f t="shared" ref="AY21" si="101">+((AM11+AM13)*$E$4)+AM21</f>
        <v>25535.714285714283</v>
      </c>
      <c r="AZ21" s="5">
        <f t="shared" ref="AZ21" si="102">+((AN11+AN13)*$E$4)+AN21</f>
        <v>31428.571428571424</v>
      </c>
      <c r="BA21" s="5">
        <f t="shared" ref="BA21" si="103">+((AO11+AO13)*$E$4)+AO21</f>
        <v>31428.571428571424</v>
      </c>
      <c r="BB21" s="5">
        <f t="shared" ref="BB21" si="104">+((AP11+AP13)*$E$4)+AP21</f>
        <v>31428.571428571424</v>
      </c>
      <c r="BC21" s="5">
        <f t="shared" ref="BC21" si="105">+((AQ11+AQ13)*$E$4)+AQ21</f>
        <v>31428.571428571424</v>
      </c>
      <c r="BD21" s="5">
        <f t="shared" ref="BD21" si="106">+((AR11+AR13)*$E$4)+AR21</f>
        <v>31428.571428571424</v>
      </c>
      <c r="BE21" s="5">
        <f t="shared" ref="BE21" si="107">+((AS11+AS13)*$E$4)+AS21</f>
        <v>31428.571428571424</v>
      </c>
      <c r="BF21" s="5">
        <f t="shared" ref="BF21" si="108">+((AT11+AT13)*$E$4)+AT21</f>
        <v>31428.571428571424</v>
      </c>
      <c r="BG21" s="5">
        <f t="shared" ref="BG21" si="109">+((AU11+AU13)*$E$4)+AU21</f>
        <v>31428.571428571424</v>
      </c>
      <c r="BH21" s="5">
        <f t="shared" ref="BH21" si="110">+((AV11+AV13)*$E$4)+AV21</f>
        <v>31428.571428571424</v>
      </c>
      <c r="BI21" s="5">
        <f t="shared" ref="BI21" si="111">+((AW11+AW13)*$E$4)+AW21</f>
        <v>31428.571428571424</v>
      </c>
      <c r="BJ21" s="5">
        <f t="shared" ref="BJ21" si="112">+((AX11+AX13)*$E$4)+AX21</f>
        <v>31428.571428571424</v>
      </c>
      <c r="BK21" s="5">
        <f t="shared" ref="BK21" si="113">+((AY11+AY13)*$E$4)+AY21</f>
        <v>31428.571428571424</v>
      </c>
    </row>
    <row r="22" spans="2:63" x14ac:dyDescent="0.25">
      <c r="B22" t="s">
        <v>48</v>
      </c>
      <c r="D22" s="5">
        <f>+D13*$E$3</f>
        <v>7857.142857142856</v>
      </c>
      <c r="E22" s="5">
        <f t="shared" ref="E22:AM22" si="114">+E13*$E$3</f>
        <v>7857.142857142856</v>
      </c>
      <c r="F22" s="5">
        <f t="shared" si="114"/>
        <v>7857.142857142856</v>
      </c>
      <c r="G22" s="5">
        <f t="shared" si="114"/>
        <v>7857.142857142856</v>
      </c>
      <c r="H22" s="5">
        <f t="shared" si="114"/>
        <v>7857.142857142856</v>
      </c>
      <c r="I22" s="5">
        <f t="shared" si="114"/>
        <v>7857.142857142856</v>
      </c>
      <c r="J22" s="5">
        <f t="shared" si="114"/>
        <v>7857.142857142856</v>
      </c>
      <c r="K22" s="5">
        <f t="shared" si="114"/>
        <v>7857.142857142856</v>
      </c>
      <c r="L22" s="5">
        <f t="shared" si="114"/>
        <v>7857.142857142856</v>
      </c>
      <c r="M22" s="5">
        <f t="shared" si="114"/>
        <v>7857.142857142856</v>
      </c>
      <c r="N22" s="5">
        <f t="shared" si="114"/>
        <v>7857.142857142856</v>
      </c>
      <c r="O22" s="15">
        <f t="shared" si="114"/>
        <v>7857.142857142856</v>
      </c>
      <c r="P22" s="5">
        <f t="shared" si="114"/>
        <v>0</v>
      </c>
      <c r="Q22" s="5">
        <f t="shared" si="114"/>
        <v>0</v>
      </c>
      <c r="R22" s="5">
        <f t="shared" si="114"/>
        <v>0</v>
      </c>
      <c r="S22" s="5">
        <f t="shared" si="114"/>
        <v>0</v>
      </c>
      <c r="T22" s="5">
        <f t="shared" si="114"/>
        <v>0</v>
      </c>
      <c r="U22" s="5">
        <f t="shared" si="114"/>
        <v>0</v>
      </c>
      <c r="V22" s="5">
        <f t="shared" si="114"/>
        <v>0</v>
      </c>
      <c r="W22" s="5">
        <f t="shared" si="114"/>
        <v>0</v>
      </c>
      <c r="X22" s="5">
        <f t="shared" si="114"/>
        <v>0</v>
      </c>
      <c r="Y22" s="5">
        <f t="shared" si="114"/>
        <v>0</v>
      </c>
      <c r="Z22" s="5">
        <f t="shared" si="114"/>
        <v>0</v>
      </c>
      <c r="AA22" s="5">
        <f t="shared" si="114"/>
        <v>0</v>
      </c>
      <c r="AB22" s="5">
        <f t="shared" si="114"/>
        <v>0</v>
      </c>
      <c r="AC22" s="5">
        <f t="shared" si="114"/>
        <v>0</v>
      </c>
      <c r="AD22" s="5">
        <f t="shared" si="114"/>
        <v>0</v>
      </c>
      <c r="AE22" s="5">
        <f t="shared" si="114"/>
        <v>0</v>
      </c>
      <c r="AF22" s="5">
        <f t="shared" si="114"/>
        <v>0</v>
      </c>
      <c r="AG22" s="5">
        <f t="shared" si="114"/>
        <v>0</v>
      </c>
      <c r="AH22" s="5">
        <f t="shared" si="114"/>
        <v>0</v>
      </c>
      <c r="AI22" s="5">
        <f t="shared" si="114"/>
        <v>0</v>
      </c>
      <c r="AJ22" s="5">
        <f t="shared" si="114"/>
        <v>0</v>
      </c>
      <c r="AK22" s="5">
        <f t="shared" si="114"/>
        <v>0</v>
      </c>
      <c r="AL22" s="5">
        <f t="shared" si="114"/>
        <v>0</v>
      </c>
      <c r="AM22" s="5">
        <f t="shared" si="114"/>
        <v>0</v>
      </c>
      <c r="AN22" s="5">
        <f t="shared" ref="AN22:BK22" si="115">+AN13*$E$3</f>
        <v>0</v>
      </c>
      <c r="AO22" s="5">
        <f t="shared" si="115"/>
        <v>0</v>
      </c>
      <c r="AP22" s="5">
        <f t="shared" si="115"/>
        <v>0</v>
      </c>
      <c r="AQ22" s="5">
        <f t="shared" si="115"/>
        <v>0</v>
      </c>
      <c r="AR22" s="5">
        <f t="shared" si="115"/>
        <v>0</v>
      </c>
      <c r="AS22" s="5">
        <f t="shared" si="115"/>
        <v>0</v>
      </c>
      <c r="AT22" s="5">
        <f t="shared" si="115"/>
        <v>0</v>
      </c>
      <c r="AU22" s="5">
        <f t="shared" si="115"/>
        <v>0</v>
      </c>
      <c r="AV22" s="5">
        <f t="shared" si="115"/>
        <v>0</v>
      </c>
      <c r="AW22" s="5">
        <f t="shared" si="115"/>
        <v>0</v>
      </c>
      <c r="AX22" s="5">
        <f t="shared" si="115"/>
        <v>0</v>
      </c>
      <c r="AY22" s="5">
        <f t="shared" si="115"/>
        <v>0</v>
      </c>
      <c r="AZ22" s="5">
        <f t="shared" si="115"/>
        <v>0</v>
      </c>
      <c r="BA22" s="5">
        <f t="shared" si="115"/>
        <v>0</v>
      </c>
      <c r="BB22" s="5">
        <f t="shared" si="115"/>
        <v>0</v>
      </c>
      <c r="BC22" s="5">
        <f t="shared" si="115"/>
        <v>0</v>
      </c>
      <c r="BD22" s="5">
        <f t="shared" si="115"/>
        <v>0</v>
      </c>
      <c r="BE22" s="5">
        <f t="shared" si="115"/>
        <v>0</v>
      </c>
      <c r="BF22" s="5">
        <f t="shared" si="115"/>
        <v>0</v>
      </c>
      <c r="BG22" s="5">
        <f t="shared" si="115"/>
        <v>0</v>
      </c>
      <c r="BH22" s="5">
        <f t="shared" si="115"/>
        <v>0</v>
      </c>
      <c r="BI22" s="5">
        <f t="shared" si="115"/>
        <v>0</v>
      </c>
      <c r="BJ22" s="5">
        <f t="shared" si="115"/>
        <v>0</v>
      </c>
      <c r="BK22" s="5">
        <f t="shared" si="115"/>
        <v>0</v>
      </c>
    </row>
    <row r="23" spans="2:63" x14ac:dyDescent="0.25">
      <c r="B23" s="20" t="s">
        <v>49</v>
      </c>
      <c r="C23" s="20"/>
      <c r="D23" s="21">
        <f>+D11+D13</f>
        <v>3080</v>
      </c>
      <c r="E23" s="21">
        <f>+E11+E13+D23</f>
        <v>6160</v>
      </c>
      <c r="F23" s="21">
        <f t="shared" ref="F23:AM23" si="116">+F11+F13+E23</f>
        <v>9240</v>
      </c>
      <c r="G23" s="21">
        <f t="shared" si="116"/>
        <v>12320</v>
      </c>
      <c r="H23" s="21">
        <f t="shared" si="116"/>
        <v>15400</v>
      </c>
      <c r="I23" s="21">
        <f t="shared" si="116"/>
        <v>18480</v>
      </c>
      <c r="J23" s="21">
        <f t="shared" si="116"/>
        <v>21560</v>
      </c>
      <c r="K23" s="21">
        <f t="shared" si="116"/>
        <v>24640</v>
      </c>
      <c r="L23" s="21">
        <f t="shared" si="116"/>
        <v>27720</v>
      </c>
      <c r="M23" s="21">
        <f t="shared" si="116"/>
        <v>30800</v>
      </c>
      <c r="N23" s="21">
        <f t="shared" si="116"/>
        <v>33880</v>
      </c>
      <c r="O23" s="22">
        <f t="shared" si="116"/>
        <v>36960</v>
      </c>
      <c r="P23" s="21">
        <f t="shared" si="116"/>
        <v>38280</v>
      </c>
      <c r="Q23" s="21">
        <f t="shared" si="116"/>
        <v>39600</v>
      </c>
      <c r="R23" s="21">
        <f t="shared" si="116"/>
        <v>40920</v>
      </c>
      <c r="S23" s="21">
        <f t="shared" si="116"/>
        <v>42240</v>
      </c>
      <c r="T23" s="21">
        <f t="shared" si="116"/>
        <v>43560</v>
      </c>
      <c r="U23" s="21">
        <f t="shared" si="116"/>
        <v>44880</v>
      </c>
      <c r="V23" s="21">
        <f t="shared" si="116"/>
        <v>46200</v>
      </c>
      <c r="W23" s="21">
        <f t="shared" si="116"/>
        <v>47520</v>
      </c>
      <c r="X23" s="21">
        <f t="shared" si="116"/>
        <v>48840</v>
      </c>
      <c r="Y23" s="21">
        <f t="shared" si="116"/>
        <v>50160</v>
      </c>
      <c r="Z23" s="21">
        <f t="shared" si="116"/>
        <v>51480</v>
      </c>
      <c r="AA23" s="21">
        <f t="shared" si="116"/>
        <v>52800</v>
      </c>
      <c r="AB23" s="21">
        <f t="shared" si="116"/>
        <v>54120</v>
      </c>
      <c r="AC23" s="21">
        <f t="shared" si="116"/>
        <v>55440</v>
      </c>
      <c r="AD23" s="21">
        <f t="shared" si="116"/>
        <v>56760</v>
      </c>
      <c r="AE23" s="21">
        <f t="shared" si="116"/>
        <v>58080</v>
      </c>
      <c r="AF23" s="21">
        <f t="shared" si="116"/>
        <v>59400</v>
      </c>
      <c r="AG23" s="21">
        <f t="shared" si="116"/>
        <v>60720</v>
      </c>
      <c r="AH23" s="21">
        <f t="shared" si="116"/>
        <v>62040</v>
      </c>
      <c r="AI23" s="21">
        <f t="shared" si="116"/>
        <v>63360</v>
      </c>
      <c r="AJ23" s="21">
        <f t="shared" si="116"/>
        <v>64680</v>
      </c>
      <c r="AK23" s="21">
        <f t="shared" si="116"/>
        <v>66000</v>
      </c>
      <c r="AL23" s="21">
        <f t="shared" si="116"/>
        <v>67320</v>
      </c>
      <c r="AM23" s="21">
        <f t="shared" si="116"/>
        <v>68640</v>
      </c>
      <c r="AN23" s="21">
        <f t="shared" ref="AN23" si="117">+AN11+AN13+AM23</f>
        <v>69960</v>
      </c>
      <c r="AO23" s="21">
        <f t="shared" ref="AO23" si="118">+AO11+AO13+AN23</f>
        <v>71280</v>
      </c>
      <c r="AP23" s="21">
        <f t="shared" ref="AP23" si="119">+AP11+AP13+AO23</f>
        <v>72600</v>
      </c>
      <c r="AQ23" s="21">
        <f t="shared" ref="AQ23" si="120">+AQ11+AQ13+AP23</f>
        <v>73920</v>
      </c>
      <c r="AR23" s="21">
        <f t="shared" ref="AR23" si="121">+AR11+AR13+AQ23</f>
        <v>75240</v>
      </c>
      <c r="AS23" s="21">
        <f t="shared" ref="AS23" si="122">+AS11+AS13+AR23</f>
        <v>76560</v>
      </c>
      <c r="AT23" s="21">
        <f t="shared" ref="AT23" si="123">+AT11+AT13+AS23</f>
        <v>77880</v>
      </c>
      <c r="AU23" s="21">
        <f t="shared" ref="AU23" si="124">+AU11+AU13+AT23</f>
        <v>79200</v>
      </c>
      <c r="AV23" s="21">
        <f t="shared" ref="AV23" si="125">+AV11+AV13+AU23</f>
        <v>80520</v>
      </c>
      <c r="AW23" s="21">
        <f t="shared" ref="AW23" si="126">+AW11+AW13+AV23</f>
        <v>81840</v>
      </c>
      <c r="AX23" s="21">
        <f t="shared" ref="AX23" si="127">+AX11+AX13+AW23</f>
        <v>83160</v>
      </c>
      <c r="AY23" s="21">
        <f t="shared" ref="AY23" si="128">+AY11+AY13+AX23</f>
        <v>84480</v>
      </c>
      <c r="AZ23" s="21">
        <f t="shared" ref="AZ23" si="129">+AZ11+AZ13+AY23</f>
        <v>85800</v>
      </c>
      <c r="BA23" s="21">
        <f t="shared" ref="BA23" si="130">+BA11+BA13+AZ23</f>
        <v>87120</v>
      </c>
      <c r="BB23" s="21">
        <f t="shared" ref="BB23" si="131">+BB11+BB13+BA23</f>
        <v>88440</v>
      </c>
      <c r="BC23" s="21">
        <f t="shared" ref="BC23" si="132">+BC11+BC13+BB23</f>
        <v>89760</v>
      </c>
      <c r="BD23" s="21">
        <f t="shared" ref="BD23" si="133">+BD11+BD13+BC23</f>
        <v>91080</v>
      </c>
      <c r="BE23" s="21">
        <f t="shared" ref="BE23" si="134">+BE11+BE13+BD23</f>
        <v>92400</v>
      </c>
      <c r="BF23" s="21">
        <f t="shared" ref="BF23" si="135">+BF11+BF13+BE23</f>
        <v>93720</v>
      </c>
      <c r="BG23" s="21">
        <f t="shared" ref="BG23" si="136">+BG11+BG13+BF23</f>
        <v>95040</v>
      </c>
      <c r="BH23" s="21">
        <f t="shared" ref="BH23" si="137">+BH11+BH13+BG23</f>
        <v>96360</v>
      </c>
      <c r="BI23" s="21">
        <f t="shared" ref="BI23" si="138">+BI11+BI13+BH23</f>
        <v>97680</v>
      </c>
      <c r="BJ23" s="21">
        <f t="shared" ref="BJ23" si="139">+BJ11+BJ13+BI23</f>
        <v>99000</v>
      </c>
      <c r="BK23" s="21">
        <f t="shared" ref="BK23" si="140">+BK11+BK13+BJ23</f>
        <v>100320</v>
      </c>
    </row>
    <row r="24" spans="2:63" x14ac:dyDescent="0.25">
      <c r="B24" t="s">
        <v>50</v>
      </c>
      <c r="D24" s="7">
        <f>+SUM(D19:D22)</f>
        <v>15399.999999999998</v>
      </c>
      <c r="E24" s="7">
        <f t="shared" ref="E24:AM24" si="141">+SUM(E19:E22)</f>
        <v>17049.999999999996</v>
      </c>
      <c r="F24" s="7">
        <f t="shared" si="141"/>
        <v>18699.999999999996</v>
      </c>
      <c r="G24" s="7">
        <f t="shared" si="141"/>
        <v>20349.999999999996</v>
      </c>
      <c r="H24" s="7">
        <f t="shared" si="141"/>
        <v>21999.999999999996</v>
      </c>
      <c r="I24" s="7">
        <f t="shared" si="141"/>
        <v>23649.999999999996</v>
      </c>
      <c r="J24" s="7">
        <f t="shared" si="141"/>
        <v>25299.999999999996</v>
      </c>
      <c r="K24" s="7">
        <f t="shared" si="141"/>
        <v>26949.999999999996</v>
      </c>
      <c r="L24" s="7">
        <f t="shared" si="141"/>
        <v>28599.999999999996</v>
      </c>
      <c r="M24" s="7">
        <f t="shared" si="141"/>
        <v>30249.999999999996</v>
      </c>
      <c r="N24" s="7">
        <f t="shared" si="141"/>
        <v>31899.999999999996</v>
      </c>
      <c r="O24" s="7">
        <f t="shared" si="141"/>
        <v>33550</v>
      </c>
      <c r="P24" s="7">
        <f t="shared" si="141"/>
        <v>41092.857142857138</v>
      </c>
      <c r="Q24" s="7">
        <f t="shared" si="141"/>
        <v>42742.857142857138</v>
      </c>
      <c r="R24" s="7">
        <f t="shared" si="141"/>
        <v>44392.857142857138</v>
      </c>
      <c r="S24" s="7">
        <f t="shared" si="141"/>
        <v>46042.857142857138</v>
      </c>
      <c r="T24" s="7">
        <f t="shared" si="141"/>
        <v>47692.857142857145</v>
      </c>
      <c r="U24" s="7">
        <f t="shared" si="141"/>
        <v>49342.857142857145</v>
      </c>
      <c r="V24" s="7">
        <f t="shared" si="141"/>
        <v>50992.857142857145</v>
      </c>
      <c r="W24" s="7">
        <f t="shared" si="141"/>
        <v>52642.857142857145</v>
      </c>
      <c r="X24" s="7">
        <f t="shared" si="141"/>
        <v>54292.857142857145</v>
      </c>
      <c r="Y24" s="7">
        <f t="shared" si="141"/>
        <v>55942.857142857145</v>
      </c>
      <c r="Z24" s="7">
        <f t="shared" si="141"/>
        <v>57592.857142857145</v>
      </c>
      <c r="AA24" s="7">
        <f t="shared" si="141"/>
        <v>59242.857142857145</v>
      </c>
      <c r="AB24" s="7">
        <f t="shared" si="141"/>
        <v>66785.71428571429</v>
      </c>
      <c r="AC24" s="7">
        <f t="shared" si="141"/>
        <v>68435.71428571429</v>
      </c>
      <c r="AD24" s="7">
        <f t="shared" si="141"/>
        <v>70085.71428571429</v>
      </c>
      <c r="AE24" s="7">
        <f t="shared" si="141"/>
        <v>71735.71428571429</v>
      </c>
      <c r="AF24" s="7">
        <f t="shared" si="141"/>
        <v>73385.71428571429</v>
      </c>
      <c r="AG24" s="7">
        <f t="shared" si="141"/>
        <v>75035.71428571429</v>
      </c>
      <c r="AH24" s="7">
        <f t="shared" si="141"/>
        <v>76685.71428571429</v>
      </c>
      <c r="AI24" s="7">
        <f t="shared" si="141"/>
        <v>78335.71428571429</v>
      </c>
      <c r="AJ24" s="7">
        <f t="shared" si="141"/>
        <v>79985.71428571429</v>
      </c>
      <c r="AK24" s="7">
        <f t="shared" si="141"/>
        <v>81635.71428571429</v>
      </c>
      <c r="AL24" s="7">
        <f t="shared" si="141"/>
        <v>83285.71428571429</v>
      </c>
      <c r="AM24" s="7">
        <f t="shared" si="141"/>
        <v>84935.71428571429</v>
      </c>
      <c r="AN24" s="7">
        <f t="shared" ref="AN24:BK24" si="142">+SUM(AN19:AN22)</f>
        <v>92478.57142857142</v>
      </c>
      <c r="AO24" s="7">
        <f t="shared" si="142"/>
        <v>94128.57142857142</v>
      </c>
      <c r="AP24" s="7">
        <f t="shared" si="142"/>
        <v>95778.57142857142</v>
      </c>
      <c r="AQ24" s="7">
        <f t="shared" si="142"/>
        <v>97428.57142857142</v>
      </c>
      <c r="AR24" s="7">
        <f t="shared" si="142"/>
        <v>99078.57142857142</v>
      </c>
      <c r="AS24" s="7">
        <f t="shared" si="142"/>
        <v>100728.57142857142</v>
      </c>
      <c r="AT24" s="7">
        <f t="shared" si="142"/>
        <v>102378.57142857142</v>
      </c>
      <c r="AU24" s="7">
        <f t="shared" si="142"/>
        <v>104028.57142857142</v>
      </c>
      <c r="AV24" s="7">
        <f t="shared" si="142"/>
        <v>105678.57142857142</v>
      </c>
      <c r="AW24" s="7">
        <f t="shared" si="142"/>
        <v>107328.57142857142</v>
      </c>
      <c r="AX24" s="7">
        <f t="shared" si="142"/>
        <v>108978.57142857142</v>
      </c>
      <c r="AY24" s="7">
        <f t="shared" si="142"/>
        <v>110628.57142857142</v>
      </c>
      <c r="AZ24" s="7">
        <f t="shared" si="142"/>
        <v>118171.42857142857</v>
      </c>
      <c r="BA24" s="7">
        <f t="shared" si="142"/>
        <v>119821.42857142857</v>
      </c>
      <c r="BB24" s="7">
        <f t="shared" si="142"/>
        <v>121471.42857142857</v>
      </c>
      <c r="BC24" s="7">
        <f t="shared" si="142"/>
        <v>123121.42857142857</v>
      </c>
      <c r="BD24" s="7">
        <f t="shared" si="142"/>
        <v>124771.42857142857</v>
      </c>
      <c r="BE24" s="7">
        <f t="shared" si="142"/>
        <v>126421.42857142857</v>
      </c>
      <c r="BF24" s="7">
        <f t="shared" si="142"/>
        <v>128071.42857142857</v>
      </c>
      <c r="BG24" s="7">
        <f t="shared" si="142"/>
        <v>129721.42857142857</v>
      </c>
      <c r="BH24" s="7">
        <f t="shared" si="142"/>
        <v>131371.42857142858</v>
      </c>
      <c r="BI24" s="7">
        <f t="shared" si="142"/>
        <v>133021.42857142858</v>
      </c>
      <c r="BJ24" s="7">
        <f t="shared" si="142"/>
        <v>134671.42857142858</v>
      </c>
      <c r="BK24" s="7">
        <f t="shared" si="142"/>
        <v>136321.42857142858</v>
      </c>
    </row>
    <row r="25" spans="2:63" x14ac:dyDescent="0.25">
      <c r="B25" s="10" t="s">
        <v>52</v>
      </c>
      <c r="O25" s="13"/>
    </row>
    <row r="26" spans="2:63" x14ac:dyDescent="0.25">
      <c r="B26" t="s">
        <v>55</v>
      </c>
      <c r="D26" s="6" t="e">
        <f>+D11*#REF!</f>
        <v>#REF!</v>
      </c>
      <c r="E26" s="6" t="e">
        <f>+E11*#REF!</f>
        <v>#REF!</v>
      </c>
      <c r="F26" s="6" t="e">
        <f>+F11*#REF!</f>
        <v>#REF!</v>
      </c>
      <c r="G26" s="6" t="e">
        <f>+G11*#REF!</f>
        <v>#REF!</v>
      </c>
      <c r="H26" s="6" t="e">
        <f>+H11*#REF!</f>
        <v>#REF!</v>
      </c>
      <c r="I26" s="6" t="e">
        <f>+I11*#REF!</f>
        <v>#REF!</v>
      </c>
      <c r="J26" s="6" t="e">
        <f>+J11*#REF!</f>
        <v>#REF!</v>
      </c>
      <c r="K26" s="6" t="e">
        <f>+K11*#REF!</f>
        <v>#REF!</v>
      </c>
      <c r="L26" s="6" t="e">
        <f>+L11*#REF!</f>
        <v>#REF!</v>
      </c>
      <c r="M26" s="6" t="e">
        <f>+M11*#REF!</f>
        <v>#REF!</v>
      </c>
      <c r="N26" s="6" t="e">
        <f>+N11*#REF!</f>
        <v>#REF!</v>
      </c>
      <c r="O26" s="18" t="e">
        <f>+O11*#REF!</f>
        <v>#REF!</v>
      </c>
      <c r="P26" s="6" t="e">
        <f>+P11*#REF!</f>
        <v>#REF!</v>
      </c>
      <c r="Q26" s="6" t="e">
        <f>+Q11*#REF!</f>
        <v>#REF!</v>
      </c>
      <c r="R26" s="6" t="e">
        <f>+R11*#REF!</f>
        <v>#REF!</v>
      </c>
      <c r="S26" s="6" t="e">
        <f>+S11*#REF!</f>
        <v>#REF!</v>
      </c>
      <c r="T26" s="6" t="e">
        <f>+T11*#REF!</f>
        <v>#REF!</v>
      </c>
      <c r="U26" s="6" t="e">
        <f>+U11*#REF!</f>
        <v>#REF!</v>
      </c>
      <c r="V26" s="6" t="e">
        <f>+V11*#REF!</f>
        <v>#REF!</v>
      </c>
      <c r="W26" s="6" t="e">
        <f>+W11*#REF!</f>
        <v>#REF!</v>
      </c>
      <c r="X26" s="6" t="e">
        <f>+X11*#REF!</f>
        <v>#REF!</v>
      </c>
      <c r="Y26" s="6" t="e">
        <f>+Y11*#REF!</f>
        <v>#REF!</v>
      </c>
      <c r="Z26" s="6" t="e">
        <f>+Z11*#REF!</f>
        <v>#REF!</v>
      </c>
      <c r="AA26" s="6" t="e">
        <f>+AA11*#REF!</f>
        <v>#REF!</v>
      </c>
      <c r="AB26" s="6" t="e">
        <f>+AB11*#REF!</f>
        <v>#REF!</v>
      </c>
      <c r="AC26" s="6" t="e">
        <f>+AC11*#REF!</f>
        <v>#REF!</v>
      </c>
      <c r="AD26" s="6" t="e">
        <f>+AD11*#REF!</f>
        <v>#REF!</v>
      </c>
      <c r="AE26" s="6" t="e">
        <f>+AE11*#REF!</f>
        <v>#REF!</v>
      </c>
      <c r="AF26" s="6" t="e">
        <f>+AF11*#REF!</f>
        <v>#REF!</v>
      </c>
      <c r="AG26" s="6" t="e">
        <f>+AG11*#REF!</f>
        <v>#REF!</v>
      </c>
      <c r="AH26" s="6" t="e">
        <f>+AH11*#REF!</f>
        <v>#REF!</v>
      </c>
      <c r="AI26" s="6" t="e">
        <f>+AI11*#REF!</f>
        <v>#REF!</v>
      </c>
      <c r="AJ26" s="6" t="e">
        <f>+AJ11*#REF!</f>
        <v>#REF!</v>
      </c>
      <c r="AK26" s="6" t="e">
        <f>+AK11*#REF!</f>
        <v>#REF!</v>
      </c>
      <c r="AL26" s="6" t="e">
        <f>+AL11*#REF!</f>
        <v>#REF!</v>
      </c>
      <c r="AM26" s="6" t="e">
        <f>+AM11*#REF!</f>
        <v>#REF!</v>
      </c>
      <c r="AN26" s="6" t="e">
        <f>+AN11*#REF!</f>
        <v>#REF!</v>
      </c>
      <c r="AO26" s="6" t="e">
        <f>+AO11*#REF!</f>
        <v>#REF!</v>
      </c>
      <c r="AP26" s="6" t="e">
        <f>+AP11*#REF!</f>
        <v>#REF!</v>
      </c>
      <c r="AQ26" s="6" t="e">
        <f>+AQ11*#REF!</f>
        <v>#REF!</v>
      </c>
      <c r="AR26" s="6" t="e">
        <f>+AR11*#REF!</f>
        <v>#REF!</v>
      </c>
      <c r="AS26" s="6" t="e">
        <f>+AS11*#REF!</f>
        <v>#REF!</v>
      </c>
      <c r="AT26" s="6" t="e">
        <f>+AT11*#REF!</f>
        <v>#REF!</v>
      </c>
      <c r="AU26" s="6" t="e">
        <f>+AU11*#REF!</f>
        <v>#REF!</v>
      </c>
      <c r="AV26" s="6" t="e">
        <f>+AV11*#REF!</f>
        <v>#REF!</v>
      </c>
      <c r="AW26" s="6" t="e">
        <f>+AW11*#REF!</f>
        <v>#REF!</v>
      </c>
      <c r="AX26" s="6" t="e">
        <f>+AX11*#REF!</f>
        <v>#REF!</v>
      </c>
      <c r="AY26" s="6" t="e">
        <f>+AY11*#REF!</f>
        <v>#REF!</v>
      </c>
      <c r="AZ26" s="6" t="e">
        <f>+AZ11*#REF!</f>
        <v>#REF!</v>
      </c>
      <c r="BA26" s="6" t="e">
        <f>+BA11*#REF!</f>
        <v>#REF!</v>
      </c>
      <c r="BB26" s="6" t="e">
        <f>+BB11*#REF!</f>
        <v>#REF!</v>
      </c>
      <c r="BC26" s="6" t="e">
        <f>+BC11*#REF!</f>
        <v>#REF!</v>
      </c>
      <c r="BD26" s="6" t="e">
        <f>+BD11*#REF!</f>
        <v>#REF!</v>
      </c>
      <c r="BE26" s="6" t="e">
        <f>+BE11*#REF!</f>
        <v>#REF!</v>
      </c>
      <c r="BF26" s="6" t="e">
        <f>+BF11*#REF!</f>
        <v>#REF!</v>
      </c>
      <c r="BG26" s="6" t="e">
        <f>+BG11*#REF!</f>
        <v>#REF!</v>
      </c>
      <c r="BH26" s="6" t="e">
        <f>+BH11*#REF!</f>
        <v>#REF!</v>
      </c>
      <c r="BI26" s="6" t="e">
        <f>+BI11*#REF!</f>
        <v>#REF!</v>
      </c>
      <c r="BJ26" s="6" t="e">
        <f>+BJ11*#REF!</f>
        <v>#REF!</v>
      </c>
      <c r="BK26" s="6" t="e">
        <f>+BK11*#REF!</f>
        <v>#REF!</v>
      </c>
    </row>
    <row r="27" spans="2:63" x14ac:dyDescent="0.25">
      <c r="B27" t="s">
        <v>56</v>
      </c>
      <c r="D27" s="6" t="e">
        <f>+D13*#REF!</f>
        <v>#REF!</v>
      </c>
      <c r="E27" s="6" t="e">
        <f>+E13*#REF!</f>
        <v>#REF!</v>
      </c>
      <c r="F27" s="6" t="e">
        <f>+F13*#REF!</f>
        <v>#REF!</v>
      </c>
      <c r="G27" s="6" t="e">
        <f>+G13*#REF!</f>
        <v>#REF!</v>
      </c>
      <c r="H27" s="6" t="e">
        <f>+H13*#REF!</f>
        <v>#REF!</v>
      </c>
      <c r="I27" s="6" t="e">
        <f>+I13*#REF!</f>
        <v>#REF!</v>
      </c>
      <c r="J27" s="6" t="e">
        <f>+J13*#REF!</f>
        <v>#REF!</v>
      </c>
      <c r="K27" s="6" t="e">
        <f>+K13*#REF!</f>
        <v>#REF!</v>
      </c>
      <c r="L27" s="6" t="e">
        <f>+L13*#REF!</f>
        <v>#REF!</v>
      </c>
      <c r="M27" s="6" t="e">
        <f>+M13*#REF!</f>
        <v>#REF!</v>
      </c>
      <c r="N27" s="6" t="e">
        <f>+N13*#REF!</f>
        <v>#REF!</v>
      </c>
      <c r="O27" s="18" t="e">
        <f>+O13*#REF!</f>
        <v>#REF!</v>
      </c>
      <c r="P27" s="6" t="e">
        <f>+P13*#REF!</f>
        <v>#REF!</v>
      </c>
      <c r="Q27" s="6" t="e">
        <f>+Q13*#REF!</f>
        <v>#REF!</v>
      </c>
      <c r="R27" s="6" t="e">
        <f>+R13*#REF!</f>
        <v>#REF!</v>
      </c>
      <c r="S27" s="6" t="e">
        <f>+S13*#REF!</f>
        <v>#REF!</v>
      </c>
      <c r="T27" s="6" t="e">
        <f>+T13*#REF!</f>
        <v>#REF!</v>
      </c>
      <c r="U27" s="6" t="e">
        <f>+U13*#REF!</f>
        <v>#REF!</v>
      </c>
      <c r="V27" s="6" t="e">
        <f>+V13*#REF!</f>
        <v>#REF!</v>
      </c>
      <c r="W27" s="6" t="e">
        <f>+W13*#REF!</f>
        <v>#REF!</v>
      </c>
      <c r="X27" s="6" t="e">
        <f>+X13*#REF!</f>
        <v>#REF!</v>
      </c>
      <c r="Y27" s="6" t="e">
        <f>+Y13*#REF!</f>
        <v>#REF!</v>
      </c>
      <c r="Z27" s="6" t="e">
        <f>+Z13*#REF!</f>
        <v>#REF!</v>
      </c>
      <c r="AA27" s="6" t="e">
        <f>+AA13*#REF!</f>
        <v>#REF!</v>
      </c>
      <c r="AB27" s="6" t="e">
        <f>+AB13*#REF!</f>
        <v>#REF!</v>
      </c>
      <c r="AC27" s="6" t="e">
        <f>+AC13*#REF!</f>
        <v>#REF!</v>
      </c>
      <c r="AD27" s="6" t="e">
        <f>+AD13*#REF!</f>
        <v>#REF!</v>
      </c>
      <c r="AE27" s="6" t="e">
        <f>+AE13*#REF!</f>
        <v>#REF!</v>
      </c>
      <c r="AF27" s="6" t="e">
        <f>+AF13*#REF!</f>
        <v>#REF!</v>
      </c>
      <c r="AG27" s="6" t="e">
        <f>+AG13*#REF!</f>
        <v>#REF!</v>
      </c>
      <c r="AH27" s="6" t="e">
        <f>+AH13*#REF!</f>
        <v>#REF!</v>
      </c>
      <c r="AI27" s="6" t="e">
        <f>+AI13*#REF!</f>
        <v>#REF!</v>
      </c>
      <c r="AJ27" s="6" t="e">
        <f>+AJ13*#REF!</f>
        <v>#REF!</v>
      </c>
      <c r="AK27" s="6" t="e">
        <f>+AK13*#REF!</f>
        <v>#REF!</v>
      </c>
      <c r="AL27" s="6" t="e">
        <f>+AL13*#REF!</f>
        <v>#REF!</v>
      </c>
      <c r="AM27" s="6" t="e">
        <f>+AM13*#REF!</f>
        <v>#REF!</v>
      </c>
      <c r="AN27" s="6" t="e">
        <f>+AN13*#REF!</f>
        <v>#REF!</v>
      </c>
      <c r="AO27" s="6" t="e">
        <f>+AO13*#REF!</f>
        <v>#REF!</v>
      </c>
      <c r="AP27" s="6" t="e">
        <f>+AP13*#REF!</f>
        <v>#REF!</v>
      </c>
      <c r="AQ27" s="6" t="e">
        <f>+AQ13*#REF!</f>
        <v>#REF!</v>
      </c>
      <c r="AR27" s="6" t="e">
        <f>+AR13*#REF!</f>
        <v>#REF!</v>
      </c>
      <c r="AS27" s="6" t="e">
        <f>+AS13*#REF!</f>
        <v>#REF!</v>
      </c>
      <c r="AT27" s="6" t="e">
        <f>+AT13*#REF!</f>
        <v>#REF!</v>
      </c>
      <c r="AU27" s="6" t="e">
        <f>+AU13*#REF!</f>
        <v>#REF!</v>
      </c>
      <c r="AV27" s="6" t="e">
        <f>+AV13*#REF!</f>
        <v>#REF!</v>
      </c>
      <c r="AW27" s="6" t="e">
        <f>+AW13*#REF!</f>
        <v>#REF!</v>
      </c>
      <c r="AX27" s="6" t="e">
        <f>+AX13*#REF!</f>
        <v>#REF!</v>
      </c>
      <c r="AY27" s="6" t="e">
        <f>+AY13*#REF!</f>
        <v>#REF!</v>
      </c>
      <c r="AZ27" s="6" t="e">
        <f>+AZ13*#REF!</f>
        <v>#REF!</v>
      </c>
      <c r="BA27" s="6" t="e">
        <f>+BA13*#REF!</f>
        <v>#REF!</v>
      </c>
      <c r="BB27" s="6" t="e">
        <f>+BB13*#REF!</f>
        <v>#REF!</v>
      </c>
      <c r="BC27" s="6" t="e">
        <f>+BC13*#REF!</f>
        <v>#REF!</v>
      </c>
      <c r="BD27" s="6" t="e">
        <f>+BD13*#REF!</f>
        <v>#REF!</v>
      </c>
      <c r="BE27" s="6" t="e">
        <f>+BE13*#REF!</f>
        <v>#REF!</v>
      </c>
      <c r="BF27" s="6" t="e">
        <f>+BF13*#REF!</f>
        <v>#REF!</v>
      </c>
      <c r="BG27" s="6" t="e">
        <f>+BG13*#REF!</f>
        <v>#REF!</v>
      </c>
      <c r="BH27" s="6" t="e">
        <f>+BH13*#REF!</f>
        <v>#REF!</v>
      </c>
      <c r="BI27" s="6" t="e">
        <f>+BI13*#REF!</f>
        <v>#REF!</v>
      </c>
      <c r="BJ27" s="6" t="e">
        <f>+BJ13*#REF!</f>
        <v>#REF!</v>
      </c>
      <c r="BK27" s="6" t="e">
        <f>+BK13*#REF!</f>
        <v>#REF!</v>
      </c>
    </row>
    <row r="28" spans="2:63" x14ac:dyDescent="0.25">
      <c r="B28" t="s">
        <v>60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18" t="e">
        <f>+O23*(#REF!+#REF!)</f>
        <v>#REF!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8" t="e">
        <f>+AA23*(#REF!+#REF!)</f>
        <v>#REF!</v>
      </c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 t="e">
        <f>+AM23*#REF!</f>
        <v>#REF!</v>
      </c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 t="e">
        <f>+AY23*#REF!</f>
        <v>#REF!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 t="e">
        <f>+BK23*#REF!</f>
        <v>#REF!</v>
      </c>
    </row>
    <row r="29" spans="2:63" x14ac:dyDescent="0.25">
      <c r="B29" t="s">
        <v>111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8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2:63" x14ac:dyDescent="0.25">
      <c r="B30" t="s">
        <v>107</v>
      </c>
      <c r="C30" s="5" t="e">
        <f>+#REF!+O3</f>
        <v>#REF!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>
        <v>95000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f>+O30</f>
        <v>95000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>
        <f>+AA30</f>
        <v>95000</v>
      </c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>
        <f>+AM30</f>
        <v>95000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>
        <f>+AY30</f>
        <v>95000</v>
      </c>
    </row>
    <row r="31" spans="2:63" x14ac:dyDescent="0.25">
      <c r="B31" t="s">
        <v>110</v>
      </c>
      <c r="C31" s="5"/>
      <c r="D31" s="6" t="e">
        <f>+#REF!+#REF!</f>
        <v>#REF!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 t="e">
        <f>+#REF!</f>
        <v>#REF!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 t="e">
        <f>+O31</f>
        <v>#REF!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 t="e">
        <f>+AA31</f>
        <v>#REF!</v>
      </c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 t="e">
        <f>+AM31</f>
        <v>#REF!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 t="e">
        <f>+AY31</f>
        <v>#REF!</v>
      </c>
    </row>
    <row r="32" spans="2:63" x14ac:dyDescent="0.25">
      <c r="B32" t="s">
        <v>76</v>
      </c>
      <c r="D32" s="23">
        <f>+$C$7/12</f>
        <v>8333.3333333333339</v>
      </c>
      <c r="E32" s="23">
        <f t="shared" ref="E32:N32" si="143">+$C$7/12</f>
        <v>8333.3333333333339</v>
      </c>
      <c r="F32" s="23">
        <f t="shared" si="143"/>
        <v>8333.3333333333339</v>
      </c>
      <c r="G32" s="23">
        <f t="shared" si="143"/>
        <v>8333.3333333333339</v>
      </c>
      <c r="H32" s="23">
        <f t="shared" si="143"/>
        <v>8333.3333333333339</v>
      </c>
      <c r="I32" s="23">
        <f t="shared" si="143"/>
        <v>8333.3333333333339</v>
      </c>
      <c r="J32" s="23">
        <f t="shared" si="143"/>
        <v>8333.3333333333339</v>
      </c>
      <c r="K32" s="23">
        <f t="shared" si="143"/>
        <v>8333.3333333333339</v>
      </c>
      <c r="L32" s="23">
        <f t="shared" si="143"/>
        <v>8333.3333333333339</v>
      </c>
      <c r="M32" s="23">
        <f t="shared" si="143"/>
        <v>8333.3333333333339</v>
      </c>
      <c r="N32" s="23">
        <f t="shared" si="143"/>
        <v>8333.3333333333339</v>
      </c>
      <c r="O32" s="23">
        <f>+$C$7/12</f>
        <v>8333.3333333333339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2:64" x14ac:dyDescent="0.25">
      <c r="B33" t="s">
        <v>108</v>
      </c>
      <c r="C33" s="5"/>
      <c r="D33" s="6" t="e">
        <f>+#REF!</f>
        <v>#REF!</v>
      </c>
      <c r="O33" s="13"/>
    </row>
    <row r="34" spans="2:64" x14ac:dyDescent="0.25">
      <c r="B34" t="s">
        <v>57</v>
      </c>
      <c r="C34" s="6" t="e">
        <f>-SUM(C30:C33)</f>
        <v>#REF!</v>
      </c>
      <c r="D34" s="6" t="e">
        <f t="shared" ref="D34:O34" si="144">+D24-SUM(D26:D33)</f>
        <v>#REF!</v>
      </c>
      <c r="E34" s="6" t="e">
        <f t="shared" si="144"/>
        <v>#REF!</v>
      </c>
      <c r="F34" s="6" t="e">
        <f t="shared" si="144"/>
        <v>#REF!</v>
      </c>
      <c r="G34" s="6" t="e">
        <f t="shared" si="144"/>
        <v>#REF!</v>
      </c>
      <c r="H34" s="6" t="e">
        <f t="shared" si="144"/>
        <v>#REF!</v>
      </c>
      <c r="I34" s="6" t="e">
        <f t="shared" si="144"/>
        <v>#REF!</v>
      </c>
      <c r="J34" s="6" t="e">
        <f t="shared" si="144"/>
        <v>#REF!</v>
      </c>
      <c r="K34" s="6" t="e">
        <f t="shared" si="144"/>
        <v>#REF!</v>
      </c>
      <c r="L34" s="6" t="e">
        <f t="shared" si="144"/>
        <v>#REF!</v>
      </c>
      <c r="M34" s="6" t="e">
        <f t="shared" si="144"/>
        <v>#REF!</v>
      </c>
      <c r="N34" s="6" t="e">
        <f t="shared" si="144"/>
        <v>#REF!</v>
      </c>
      <c r="O34" s="6" t="e">
        <f t="shared" si="144"/>
        <v>#REF!</v>
      </c>
      <c r="P34" s="6" t="e">
        <f>+P24-SUM(P26:P33)</f>
        <v>#REF!</v>
      </c>
      <c r="Q34" s="6" t="e">
        <f t="shared" ref="Q34:AM34" si="145">+Q24-SUM(Q26:Q33)</f>
        <v>#REF!</v>
      </c>
      <c r="R34" s="6" t="e">
        <f t="shared" si="145"/>
        <v>#REF!</v>
      </c>
      <c r="S34" s="6" t="e">
        <f t="shared" si="145"/>
        <v>#REF!</v>
      </c>
      <c r="T34" s="6" t="e">
        <f t="shared" si="145"/>
        <v>#REF!</v>
      </c>
      <c r="U34" s="6" t="e">
        <f t="shared" si="145"/>
        <v>#REF!</v>
      </c>
      <c r="V34" s="6" t="e">
        <f t="shared" si="145"/>
        <v>#REF!</v>
      </c>
      <c r="W34" s="6" t="e">
        <f t="shared" si="145"/>
        <v>#REF!</v>
      </c>
      <c r="X34" s="6" t="e">
        <f t="shared" si="145"/>
        <v>#REF!</v>
      </c>
      <c r="Y34" s="6" t="e">
        <f t="shared" si="145"/>
        <v>#REF!</v>
      </c>
      <c r="Z34" s="6" t="e">
        <f t="shared" si="145"/>
        <v>#REF!</v>
      </c>
      <c r="AA34" s="6" t="e">
        <f t="shared" si="145"/>
        <v>#REF!</v>
      </c>
      <c r="AB34" s="6" t="e">
        <f t="shared" si="145"/>
        <v>#REF!</v>
      </c>
      <c r="AC34" s="6" t="e">
        <f t="shared" si="145"/>
        <v>#REF!</v>
      </c>
      <c r="AD34" s="6" t="e">
        <f t="shared" si="145"/>
        <v>#REF!</v>
      </c>
      <c r="AE34" s="6" t="e">
        <f t="shared" si="145"/>
        <v>#REF!</v>
      </c>
      <c r="AF34" s="6" t="e">
        <f t="shared" si="145"/>
        <v>#REF!</v>
      </c>
      <c r="AG34" s="6" t="e">
        <f t="shared" si="145"/>
        <v>#REF!</v>
      </c>
      <c r="AH34" s="6" t="e">
        <f t="shared" si="145"/>
        <v>#REF!</v>
      </c>
      <c r="AI34" s="6" t="e">
        <f t="shared" si="145"/>
        <v>#REF!</v>
      </c>
      <c r="AJ34" s="6" t="e">
        <f t="shared" si="145"/>
        <v>#REF!</v>
      </c>
      <c r="AK34" s="6" t="e">
        <f t="shared" si="145"/>
        <v>#REF!</v>
      </c>
      <c r="AL34" s="6" t="e">
        <f t="shared" si="145"/>
        <v>#REF!</v>
      </c>
      <c r="AM34" s="6" t="e">
        <f t="shared" si="145"/>
        <v>#REF!</v>
      </c>
      <c r="AN34" s="6" t="e">
        <f t="shared" ref="AN34" si="146">+AN24-SUM(AN26:AN33)</f>
        <v>#REF!</v>
      </c>
      <c r="AO34" s="6" t="e">
        <f t="shared" ref="AO34" si="147">+AO24-SUM(AO26:AO33)</f>
        <v>#REF!</v>
      </c>
      <c r="AP34" s="6" t="e">
        <f t="shared" ref="AP34" si="148">+AP24-SUM(AP26:AP33)</f>
        <v>#REF!</v>
      </c>
      <c r="AQ34" s="6" t="e">
        <f t="shared" ref="AQ34" si="149">+AQ24-SUM(AQ26:AQ33)</f>
        <v>#REF!</v>
      </c>
      <c r="AR34" s="6" t="e">
        <f t="shared" ref="AR34" si="150">+AR24-SUM(AR26:AR33)</f>
        <v>#REF!</v>
      </c>
      <c r="AS34" s="6" t="e">
        <f t="shared" ref="AS34" si="151">+AS24-SUM(AS26:AS33)</f>
        <v>#REF!</v>
      </c>
      <c r="AT34" s="6" t="e">
        <f t="shared" ref="AT34" si="152">+AT24-SUM(AT26:AT33)</f>
        <v>#REF!</v>
      </c>
      <c r="AU34" s="6" t="e">
        <f t="shared" ref="AU34" si="153">+AU24-SUM(AU26:AU33)</f>
        <v>#REF!</v>
      </c>
      <c r="AV34" s="6" t="e">
        <f t="shared" ref="AV34" si="154">+AV24-SUM(AV26:AV33)</f>
        <v>#REF!</v>
      </c>
      <c r="AW34" s="6" t="e">
        <f t="shared" ref="AW34" si="155">+AW24-SUM(AW26:AW33)</f>
        <v>#REF!</v>
      </c>
      <c r="AX34" s="6" t="e">
        <f t="shared" ref="AX34" si="156">+AX24-SUM(AX26:AX33)</f>
        <v>#REF!</v>
      </c>
      <c r="AY34" s="6" t="e">
        <f t="shared" ref="AY34" si="157">+AY24-SUM(AY26:AY33)</f>
        <v>#REF!</v>
      </c>
      <c r="AZ34" s="6" t="e">
        <f t="shared" ref="AZ34" si="158">+AZ24-SUM(AZ26:AZ33)</f>
        <v>#REF!</v>
      </c>
      <c r="BA34" s="6" t="e">
        <f t="shared" ref="BA34" si="159">+BA24-SUM(BA26:BA33)</f>
        <v>#REF!</v>
      </c>
      <c r="BB34" s="6" t="e">
        <f t="shared" ref="BB34" si="160">+BB24-SUM(BB26:BB33)</f>
        <v>#REF!</v>
      </c>
      <c r="BC34" s="6" t="e">
        <f t="shared" ref="BC34" si="161">+BC24-SUM(BC26:BC33)</f>
        <v>#REF!</v>
      </c>
      <c r="BD34" s="6" t="e">
        <f t="shared" ref="BD34" si="162">+BD24-SUM(BD26:BD33)</f>
        <v>#REF!</v>
      </c>
      <c r="BE34" s="6" t="e">
        <f t="shared" ref="BE34" si="163">+BE24-SUM(BE26:BE33)</f>
        <v>#REF!</v>
      </c>
      <c r="BF34" s="6" t="e">
        <f t="shared" ref="BF34" si="164">+BF24-SUM(BF26:BF33)</f>
        <v>#REF!</v>
      </c>
      <c r="BG34" s="6" t="e">
        <f t="shared" ref="BG34" si="165">+BG24-SUM(BG26:BG33)</f>
        <v>#REF!</v>
      </c>
      <c r="BH34" s="6" t="e">
        <f t="shared" ref="BH34" si="166">+BH24-SUM(BH26:BH33)</f>
        <v>#REF!</v>
      </c>
      <c r="BI34" s="6" t="e">
        <f t="shared" ref="BI34" si="167">+BI24-SUM(BI26:BI33)</f>
        <v>#REF!</v>
      </c>
      <c r="BJ34" s="6" t="e">
        <f t="shared" ref="BJ34" si="168">+BJ24-SUM(BJ26:BJ33)</f>
        <v>#REF!</v>
      </c>
      <c r="BK34" s="6" t="e">
        <f t="shared" ref="BK34" si="169">+BK24-SUM(BK26:BK33)</f>
        <v>#REF!</v>
      </c>
    </row>
    <row r="35" spans="2:64" x14ac:dyDescent="0.25">
      <c r="D35" s="6" t="e">
        <f>+C34+D34</f>
        <v>#REF!</v>
      </c>
      <c r="E35" s="6" t="e">
        <f>+D35+E34</f>
        <v>#REF!</v>
      </c>
      <c r="F35" s="6" t="e">
        <f t="shared" ref="F35:BK35" si="170">+E35+F34</f>
        <v>#REF!</v>
      </c>
      <c r="G35" s="6" t="e">
        <f t="shared" si="170"/>
        <v>#REF!</v>
      </c>
      <c r="H35" s="6" t="e">
        <f t="shared" si="170"/>
        <v>#REF!</v>
      </c>
      <c r="I35" s="6" t="e">
        <f t="shared" si="170"/>
        <v>#REF!</v>
      </c>
      <c r="J35" s="6" t="e">
        <f t="shared" si="170"/>
        <v>#REF!</v>
      </c>
      <c r="K35" s="6" t="e">
        <f t="shared" si="170"/>
        <v>#REF!</v>
      </c>
      <c r="L35" s="6" t="e">
        <f t="shared" si="170"/>
        <v>#REF!</v>
      </c>
      <c r="M35" s="6" t="e">
        <f t="shared" si="170"/>
        <v>#REF!</v>
      </c>
      <c r="N35" s="6" t="e">
        <f t="shared" si="170"/>
        <v>#REF!</v>
      </c>
      <c r="O35" s="6" t="e">
        <f t="shared" si="170"/>
        <v>#REF!</v>
      </c>
      <c r="P35" s="6" t="e">
        <f t="shared" si="170"/>
        <v>#REF!</v>
      </c>
      <c r="Q35" s="6" t="e">
        <f t="shared" si="170"/>
        <v>#REF!</v>
      </c>
      <c r="R35" s="6" t="e">
        <f t="shared" si="170"/>
        <v>#REF!</v>
      </c>
      <c r="S35" s="6" t="e">
        <f t="shared" si="170"/>
        <v>#REF!</v>
      </c>
      <c r="T35" s="6" t="e">
        <f t="shared" si="170"/>
        <v>#REF!</v>
      </c>
      <c r="U35" s="6" t="e">
        <f t="shared" si="170"/>
        <v>#REF!</v>
      </c>
      <c r="V35" s="6" t="e">
        <f t="shared" si="170"/>
        <v>#REF!</v>
      </c>
      <c r="W35" s="6" t="e">
        <f t="shared" si="170"/>
        <v>#REF!</v>
      </c>
      <c r="X35" s="6" t="e">
        <f t="shared" si="170"/>
        <v>#REF!</v>
      </c>
      <c r="Y35" s="6" t="e">
        <f t="shared" si="170"/>
        <v>#REF!</v>
      </c>
      <c r="Z35" s="6" t="e">
        <f t="shared" si="170"/>
        <v>#REF!</v>
      </c>
      <c r="AA35" s="6" t="e">
        <f t="shared" si="170"/>
        <v>#REF!</v>
      </c>
      <c r="AB35" s="6" t="e">
        <f t="shared" si="170"/>
        <v>#REF!</v>
      </c>
      <c r="AC35" s="6" t="e">
        <f t="shared" si="170"/>
        <v>#REF!</v>
      </c>
      <c r="AD35" s="6" t="e">
        <f t="shared" si="170"/>
        <v>#REF!</v>
      </c>
      <c r="AE35" s="6" t="e">
        <f t="shared" si="170"/>
        <v>#REF!</v>
      </c>
      <c r="AF35" s="6" t="e">
        <f t="shared" si="170"/>
        <v>#REF!</v>
      </c>
      <c r="AG35" s="6" t="e">
        <f t="shared" si="170"/>
        <v>#REF!</v>
      </c>
      <c r="AH35" s="6" t="e">
        <f t="shared" si="170"/>
        <v>#REF!</v>
      </c>
      <c r="AI35" s="6" t="e">
        <f t="shared" si="170"/>
        <v>#REF!</v>
      </c>
      <c r="AJ35" s="6" t="e">
        <f t="shared" si="170"/>
        <v>#REF!</v>
      </c>
      <c r="AK35" s="6" t="e">
        <f t="shared" si="170"/>
        <v>#REF!</v>
      </c>
      <c r="AL35" s="6" t="e">
        <f t="shared" si="170"/>
        <v>#REF!</v>
      </c>
      <c r="AM35" s="6" t="e">
        <f t="shared" si="170"/>
        <v>#REF!</v>
      </c>
      <c r="AN35" s="6" t="e">
        <f t="shared" si="170"/>
        <v>#REF!</v>
      </c>
      <c r="AO35" s="6" t="e">
        <f t="shared" si="170"/>
        <v>#REF!</v>
      </c>
      <c r="AP35" s="6" t="e">
        <f t="shared" si="170"/>
        <v>#REF!</v>
      </c>
      <c r="AQ35" s="6" t="e">
        <f t="shared" si="170"/>
        <v>#REF!</v>
      </c>
      <c r="AR35" s="6" t="e">
        <f t="shared" si="170"/>
        <v>#REF!</v>
      </c>
      <c r="AS35" s="6" t="e">
        <f t="shared" si="170"/>
        <v>#REF!</v>
      </c>
      <c r="AT35" s="6" t="e">
        <f t="shared" si="170"/>
        <v>#REF!</v>
      </c>
      <c r="AU35" s="6" t="e">
        <f t="shared" si="170"/>
        <v>#REF!</v>
      </c>
      <c r="AV35" s="6" t="e">
        <f t="shared" si="170"/>
        <v>#REF!</v>
      </c>
      <c r="AW35" s="6" t="e">
        <f t="shared" si="170"/>
        <v>#REF!</v>
      </c>
      <c r="AX35" s="6" t="e">
        <f t="shared" si="170"/>
        <v>#REF!</v>
      </c>
      <c r="AY35" s="6" t="e">
        <f t="shared" si="170"/>
        <v>#REF!</v>
      </c>
      <c r="AZ35" s="6" t="e">
        <f t="shared" si="170"/>
        <v>#REF!</v>
      </c>
      <c r="BA35" s="6" t="e">
        <f t="shared" si="170"/>
        <v>#REF!</v>
      </c>
      <c r="BB35" s="6" t="e">
        <f t="shared" si="170"/>
        <v>#REF!</v>
      </c>
      <c r="BC35" s="6" t="e">
        <f t="shared" si="170"/>
        <v>#REF!</v>
      </c>
      <c r="BD35" s="6" t="e">
        <f t="shared" si="170"/>
        <v>#REF!</v>
      </c>
      <c r="BE35" s="6" t="e">
        <f t="shared" si="170"/>
        <v>#REF!</v>
      </c>
      <c r="BF35" s="6" t="e">
        <f t="shared" si="170"/>
        <v>#REF!</v>
      </c>
      <c r="BG35" s="6" t="e">
        <f t="shared" si="170"/>
        <v>#REF!</v>
      </c>
      <c r="BH35" s="6" t="e">
        <f t="shared" si="170"/>
        <v>#REF!</v>
      </c>
      <c r="BI35" s="6" t="e">
        <f t="shared" si="170"/>
        <v>#REF!</v>
      </c>
      <c r="BJ35" s="6" t="e">
        <f t="shared" si="170"/>
        <v>#REF!</v>
      </c>
      <c r="BK35" s="6" t="e">
        <f t="shared" si="170"/>
        <v>#REF!</v>
      </c>
      <c r="BL35" s="6"/>
    </row>
    <row r="36" spans="2:64" x14ac:dyDescent="0.25">
      <c r="B36" t="s">
        <v>61</v>
      </c>
      <c r="C36" s="1">
        <v>0.2</v>
      </c>
    </row>
    <row r="37" spans="2:64" x14ac:dyDescent="0.25">
      <c r="B37" t="s">
        <v>62</v>
      </c>
      <c r="C37" s="11" t="e">
        <f>NPV(C36/12,D34:BK34)+C34</f>
        <v>#REF!</v>
      </c>
    </row>
    <row r="38" spans="2:64" x14ac:dyDescent="0.25">
      <c r="B38" t="s">
        <v>63</v>
      </c>
      <c r="C38" s="1" t="e">
        <f>IRR(C34:BK34)</f>
        <v>#VALUE!</v>
      </c>
    </row>
    <row r="39" spans="2:64" x14ac:dyDescent="0.25">
      <c r="B39" t="s">
        <v>102</v>
      </c>
      <c r="C39" t="e">
        <f>MATCH(0,D35:BK35,1)+1</f>
        <v>#N/A</v>
      </c>
    </row>
    <row r="41" spans="2:64" x14ac:dyDescent="0.25">
      <c r="B41" t="s">
        <v>64</v>
      </c>
    </row>
    <row r="42" spans="2:64" x14ac:dyDescent="0.25">
      <c r="B42" t="s">
        <v>65</v>
      </c>
    </row>
    <row r="46" spans="2:64" x14ac:dyDescent="0.25">
      <c r="B46" t="s">
        <v>103</v>
      </c>
      <c r="C46" t="s">
        <v>104</v>
      </c>
      <c r="D46" t="s">
        <v>105</v>
      </c>
      <c r="E46" t="s">
        <v>106</v>
      </c>
      <c r="F46">
        <v>0.25</v>
      </c>
    </row>
    <row r="47" spans="2:64" x14ac:dyDescent="0.25">
      <c r="D47" t="s">
        <v>105</v>
      </c>
      <c r="E47" t="s">
        <v>106</v>
      </c>
      <c r="F47">
        <v>0.3</v>
      </c>
    </row>
  </sheetData>
  <conditionalFormatting sqref="D35:BK3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M38"/>
  <sheetViews>
    <sheetView topLeftCell="A4" zoomScale="85" zoomScaleNormal="85" workbookViewId="0">
      <selection activeCell="O11" sqref="O11"/>
    </sheetView>
  </sheetViews>
  <sheetFormatPr baseColWidth="10" defaultRowHeight="15" x14ac:dyDescent="0.25"/>
  <cols>
    <col min="1" max="1" width="4" customWidth="1"/>
    <col min="2" max="2" width="25" customWidth="1"/>
    <col min="4" max="4" width="14.28515625" customWidth="1"/>
    <col min="5" max="5" width="13" customWidth="1"/>
    <col min="14" max="14" width="12.5703125" bestFit="1" customWidth="1"/>
  </cols>
  <sheetData>
    <row r="2" spans="2:39" x14ac:dyDescent="0.25">
      <c r="C2" t="s">
        <v>1</v>
      </c>
      <c r="D2" t="s">
        <v>58</v>
      </c>
      <c r="E2" t="s">
        <v>59</v>
      </c>
      <c r="O2" t="s">
        <v>71</v>
      </c>
    </row>
    <row r="3" spans="2:39" x14ac:dyDescent="0.25">
      <c r="B3" t="s">
        <v>0</v>
      </c>
      <c r="C3">
        <v>25</v>
      </c>
      <c r="D3" s="13">
        <v>5</v>
      </c>
      <c r="E3" s="4">
        <f>D3/1.12</f>
        <v>4.4642857142857135</v>
      </c>
      <c r="H3" t="s">
        <v>62</v>
      </c>
      <c r="I3" s="11" t="e">
        <f>+C33</f>
        <v>#REF!</v>
      </c>
      <c r="L3" t="s">
        <v>67</v>
      </c>
      <c r="M3" t="s">
        <v>68</v>
      </c>
      <c r="N3" s="3">
        <f>+O22</f>
        <v>26400</v>
      </c>
      <c r="O3" s="6" t="e">
        <f>+N3*#REF!</f>
        <v>#REF!</v>
      </c>
    </row>
    <row r="4" spans="2:39" x14ac:dyDescent="0.25">
      <c r="B4" t="s">
        <v>2</v>
      </c>
      <c r="C4">
        <v>10</v>
      </c>
      <c r="D4" s="13">
        <v>10</v>
      </c>
      <c r="E4" s="4">
        <f>D4/1.12</f>
        <v>8.928571428571427</v>
      </c>
      <c r="H4" t="s">
        <v>63</v>
      </c>
      <c r="I4" s="1" t="e">
        <f>+C34</f>
        <v>#VALUE!</v>
      </c>
      <c r="M4" t="s">
        <v>69</v>
      </c>
      <c r="N4" s="3">
        <f>+AA22</f>
        <v>36960</v>
      </c>
      <c r="O4" s="6"/>
    </row>
    <row r="5" spans="2:39" x14ac:dyDescent="0.25">
      <c r="B5" t="s">
        <v>43</v>
      </c>
      <c r="C5" s="9">
        <v>0.02</v>
      </c>
      <c r="D5" s="8">
        <v>0.03</v>
      </c>
      <c r="M5" t="s">
        <v>70</v>
      </c>
      <c r="N5" s="3">
        <f>+AM22</f>
        <v>47520</v>
      </c>
      <c r="O5" s="6"/>
    </row>
    <row r="6" spans="2:39" x14ac:dyDescent="0.25">
      <c r="B6" t="s">
        <v>46</v>
      </c>
      <c r="C6" s="4">
        <v>0.15</v>
      </c>
    </row>
    <row r="8" spans="2:39" x14ac:dyDescent="0.25"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16</v>
      </c>
      <c r="N8" t="s">
        <v>17</v>
      </c>
      <c r="O8" s="13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34</v>
      </c>
      <c r="AF8" t="s">
        <v>35</v>
      </c>
      <c r="AG8" t="s">
        <v>36</v>
      </c>
      <c r="AH8" t="s">
        <v>37</v>
      </c>
      <c r="AI8" t="s">
        <v>38</v>
      </c>
      <c r="AJ8" t="s">
        <v>39</v>
      </c>
      <c r="AK8" t="s">
        <v>40</v>
      </c>
      <c r="AL8" t="s">
        <v>41</v>
      </c>
      <c r="AM8" t="s">
        <v>42</v>
      </c>
    </row>
    <row r="9" spans="2:39" x14ac:dyDescent="0.25">
      <c r="B9" t="s">
        <v>3</v>
      </c>
      <c r="C9">
        <v>44000</v>
      </c>
      <c r="D9" s="2">
        <f>+C9</f>
        <v>44000</v>
      </c>
      <c r="E9" s="2">
        <f>+D9</f>
        <v>44000</v>
      </c>
      <c r="F9" s="2">
        <f>+E9</f>
        <v>44000</v>
      </c>
      <c r="G9" s="2">
        <f>+F9</f>
        <v>44000</v>
      </c>
      <c r="H9" s="2">
        <f t="shared" ref="H9:O9" si="0">+G9</f>
        <v>44000</v>
      </c>
      <c r="I9" s="2">
        <f t="shared" si="0"/>
        <v>44000</v>
      </c>
      <c r="J9" s="2">
        <f t="shared" si="0"/>
        <v>44000</v>
      </c>
      <c r="K9" s="2">
        <f t="shared" si="0"/>
        <v>44000</v>
      </c>
      <c r="L9" s="2">
        <f t="shared" si="0"/>
        <v>44000</v>
      </c>
      <c r="M9" s="2">
        <f t="shared" si="0"/>
        <v>44000</v>
      </c>
      <c r="N9" s="2">
        <f t="shared" si="0"/>
        <v>44000</v>
      </c>
      <c r="O9" s="14">
        <f t="shared" si="0"/>
        <v>44000</v>
      </c>
      <c r="P9" s="2">
        <f t="shared" ref="P9:AM9" si="1">+O9</f>
        <v>44000</v>
      </c>
      <c r="Q9" s="2">
        <f t="shared" si="1"/>
        <v>44000</v>
      </c>
      <c r="R9" s="2">
        <f t="shared" si="1"/>
        <v>44000</v>
      </c>
      <c r="S9" s="2">
        <f t="shared" si="1"/>
        <v>44000</v>
      </c>
      <c r="T9" s="2">
        <f t="shared" si="1"/>
        <v>44000</v>
      </c>
      <c r="U9" s="2">
        <f t="shared" si="1"/>
        <v>44000</v>
      </c>
      <c r="V9" s="2">
        <f t="shared" si="1"/>
        <v>44000</v>
      </c>
      <c r="W9" s="2">
        <f t="shared" si="1"/>
        <v>44000</v>
      </c>
      <c r="X9" s="2">
        <f t="shared" si="1"/>
        <v>44000</v>
      </c>
      <c r="Y9" s="2">
        <f t="shared" si="1"/>
        <v>44000</v>
      </c>
      <c r="Z9" s="2">
        <f t="shared" si="1"/>
        <v>44000</v>
      </c>
      <c r="AA9" s="2">
        <f t="shared" si="1"/>
        <v>44000</v>
      </c>
      <c r="AB9" s="2">
        <f t="shared" si="1"/>
        <v>44000</v>
      </c>
      <c r="AC9" s="2">
        <f t="shared" si="1"/>
        <v>44000</v>
      </c>
      <c r="AD9" s="2">
        <f t="shared" si="1"/>
        <v>44000</v>
      </c>
      <c r="AE9" s="2">
        <f t="shared" si="1"/>
        <v>44000</v>
      </c>
      <c r="AF9" s="2">
        <f t="shared" si="1"/>
        <v>44000</v>
      </c>
      <c r="AG9" s="2">
        <f t="shared" si="1"/>
        <v>44000</v>
      </c>
      <c r="AH9" s="2">
        <f t="shared" si="1"/>
        <v>44000</v>
      </c>
      <c r="AI9" s="2">
        <f t="shared" si="1"/>
        <v>44000</v>
      </c>
      <c r="AJ9" s="2">
        <f t="shared" si="1"/>
        <v>44000</v>
      </c>
      <c r="AK9" s="2">
        <f t="shared" si="1"/>
        <v>44000</v>
      </c>
      <c r="AL9" s="2">
        <f t="shared" si="1"/>
        <v>44000</v>
      </c>
      <c r="AM9" s="2">
        <f t="shared" si="1"/>
        <v>44000</v>
      </c>
    </row>
    <row r="10" spans="2:39" x14ac:dyDescent="0.25">
      <c r="B10" t="s">
        <v>4</v>
      </c>
      <c r="D10" s="2">
        <f>+D9*$C$5</f>
        <v>880</v>
      </c>
      <c r="E10" s="2">
        <f>+E9*$C$5</f>
        <v>880</v>
      </c>
      <c r="F10" s="2">
        <f t="shared" ref="F10:O10" si="2">+F9*$C$5</f>
        <v>880</v>
      </c>
      <c r="G10" s="2">
        <f t="shared" si="2"/>
        <v>880</v>
      </c>
      <c r="H10" s="2">
        <f t="shared" si="2"/>
        <v>880</v>
      </c>
      <c r="I10" s="2">
        <f t="shared" si="2"/>
        <v>880</v>
      </c>
      <c r="J10" s="2">
        <f t="shared" si="2"/>
        <v>880</v>
      </c>
      <c r="K10" s="2">
        <f t="shared" si="2"/>
        <v>880</v>
      </c>
      <c r="L10" s="2">
        <f t="shared" si="2"/>
        <v>880</v>
      </c>
      <c r="M10" s="2">
        <f t="shared" si="2"/>
        <v>880</v>
      </c>
      <c r="N10" s="2">
        <f t="shared" si="2"/>
        <v>880</v>
      </c>
      <c r="O10" s="14">
        <f t="shared" si="2"/>
        <v>880</v>
      </c>
      <c r="P10" s="2">
        <f t="shared" ref="P10" si="3">+P9*$C$5</f>
        <v>880</v>
      </c>
      <c r="Q10" s="2">
        <f t="shared" ref="Q10" si="4">+Q9*$C$5</f>
        <v>880</v>
      </c>
      <c r="R10" s="2">
        <f t="shared" ref="R10" si="5">+R9*$C$5</f>
        <v>880</v>
      </c>
      <c r="S10" s="2">
        <f t="shared" ref="S10" si="6">+S9*$C$5</f>
        <v>880</v>
      </c>
      <c r="T10" s="2">
        <f t="shared" ref="T10" si="7">+T9*$C$5</f>
        <v>880</v>
      </c>
      <c r="U10" s="2">
        <f t="shared" ref="U10" si="8">+U9*$C$5</f>
        <v>880</v>
      </c>
      <c r="V10" s="2">
        <f t="shared" ref="V10" si="9">+V9*$C$5</f>
        <v>880</v>
      </c>
      <c r="W10" s="2">
        <f t="shared" ref="W10" si="10">+W9*$C$5</f>
        <v>880</v>
      </c>
      <c r="X10" s="2">
        <f t="shared" ref="X10" si="11">+X9*$C$5</f>
        <v>880</v>
      </c>
      <c r="Y10" s="2">
        <f t="shared" ref="Y10" si="12">+Y9*$C$5</f>
        <v>880</v>
      </c>
      <c r="Z10" s="2">
        <f t="shared" ref="Z10" si="13">+Z9*$C$5</f>
        <v>880</v>
      </c>
      <c r="AA10" s="2">
        <f t="shared" ref="AA10" si="14">+AA9*$C$5</f>
        <v>880</v>
      </c>
      <c r="AB10" s="2">
        <f t="shared" ref="AB10" si="15">+AB9*$C$5</f>
        <v>880</v>
      </c>
      <c r="AC10" s="2">
        <f t="shared" ref="AC10" si="16">+AC9*$C$5</f>
        <v>880</v>
      </c>
      <c r="AD10" s="2">
        <f t="shared" ref="AD10" si="17">+AD9*$C$5</f>
        <v>880</v>
      </c>
      <c r="AE10" s="2">
        <f t="shared" ref="AE10" si="18">+AE9*$C$5</f>
        <v>880</v>
      </c>
      <c r="AF10" s="2">
        <f t="shared" ref="AF10" si="19">+AF9*$C$5</f>
        <v>880</v>
      </c>
      <c r="AG10" s="2">
        <f t="shared" ref="AG10" si="20">+AG9*$C$5</f>
        <v>880</v>
      </c>
      <c r="AH10" s="2">
        <f t="shared" ref="AH10" si="21">+AH9*$C$5</f>
        <v>880</v>
      </c>
      <c r="AI10" s="2">
        <f t="shared" ref="AI10" si="22">+AI9*$C$5</f>
        <v>880</v>
      </c>
      <c r="AJ10" s="2">
        <f t="shared" ref="AJ10" si="23">+AJ9*$C$5</f>
        <v>880</v>
      </c>
      <c r="AK10" s="2">
        <f t="shared" ref="AK10" si="24">+AK9*$C$5</f>
        <v>880</v>
      </c>
      <c r="AL10" s="2">
        <f t="shared" ref="AL10" si="25">+AL9*$C$5</f>
        <v>880</v>
      </c>
      <c r="AM10" s="2">
        <f t="shared" ref="AM10" si="26">+AM9*$C$5</f>
        <v>880</v>
      </c>
    </row>
    <row r="11" spans="2:39" x14ac:dyDescent="0.25">
      <c r="B11" t="s">
        <v>51</v>
      </c>
      <c r="D11" s="2">
        <f>+D10</f>
        <v>880</v>
      </c>
      <c r="E11" s="2">
        <f>+D11+E10</f>
        <v>1760</v>
      </c>
      <c r="F11" s="2">
        <f t="shared" ref="F11:O11" si="27">+E11+F10</f>
        <v>2640</v>
      </c>
      <c r="G11" s="2">
        <f t="shared" si="27"/>
        <v>3520</v>
      </c>
      <c r="H11" s="2">
        <f t="shared" si="27"/>
        <v>4400</v>
      </c>
      <c r="I11" s="2">
        <f t="shared" si="27"/>
        <v>5280</v>
      </c>
      <c r="J11" s="2">
        <f t="shared" si="27"/>
        <v>6160</v>
      </c>
      <c r="K11" s="2">
        <f t="shared" si="27"/>
        <v>7040</v>
      </c>
      <c r="L11" s="2">
        <f t="shared" si="27"/>
        <v>7920</v>
      </c>
      <c r="M11" s="2">
        <f t="shared" si="27"/>
        <v>8800</v>
      </c>
      <c r="N11" s="2">
        <f t="shared" si="27"/>
        <v>9680</v>
      </c>
      <c r="O11" s="14">
        <f t="shared" si="27"/>
        <v>10560</v>
      </c>
      <c r="P11" s="2">
        <f t="shared" ref="P11" si="28">+O11+P10</f>
        <v>11440</v>
      </c>
      <c r="Q11" s="2">
        <f t="shared" ref="Q11" si="29">+P11+Q10</f>
        <v>12320</v>
      </c>
      <c r="R11" s="2">
        <f t="shared" ref="R11" si="30">+Q11+R10</f>
        <v>13200</v>
      </c>
      <c r="S11" s="2">
        <f t="shared" ref="S11" si="31">+R11+S10</f>
        <v>14080</v>
      </c>
      <c r="T11" s="2">
        <f t="shared" ref="T11" si="32">+S11+T10</f>
        <v>14960</v>
      </c>
      <c r="U11" s="2">
        <f t="shared" ref="U11" si="33">+T11+U10</f>
        <v>15840</v>
      </c>
      <c r="V11" s="2">
        <f t="shared" ref="V11" si="34">+U11+V10</f>
        <v>16720</v>
      </c>
      <c r="W11" s="2">
        <f t="shared" ref="W11" si="35">+V11+W10</f>
        <v>17600</v>
      </c>
      <c r="X11" s="2">
        <f t="shared" ref="X11" si="36">+W11+X10</f>
        <v>18480</v>
      </c>
      <c r="Y11" s="2">
        <f t="shared" ref="Y11" si="37">+X11+Y10</f>
        <v>19360</v>
      </c>
      <c r="Z11" s="2">
        <f t="shared" ref="Z11" si="38">+Y11+Z10</f>
        <v>20240</v>
      </c>
      <c r="AA11" s="2">
        <f t="shared" ref="AA11" si="39">+Z11+AA10</f>
        <v>21120</v>
      </c>
      <c r="AB11" s="2">
        <f t="shared" ref="AB11" si="40">+AA11+AB10</f>
        <v>22000</v>
      </c>
      <c r="AC11" s="2">
        <f t="shared" ref="AC11" si="41">+AB11+AC10</f>
        <v>22880</v>
      </c>
      <c r="AD11" s="2">
        <f t="shared" ref="AD11" si="42">+AC11+AD10</f>
        <v>23760</v>
      </c>
      <c r="AE11" s="2">
        <f t="shared" ref="AE11" si="43">+AD11+AE10</f>
        <v>24640</v>
      </c>
      <c r="AF11" s="2">
        <f t="shared" ref="AF11" si="44">+AE11+AF10</f>
        <v>25520</v>
      </c>
      <c r="AG11" s="2">
        <f t="shared" ref="AG11" si="45">+AF11+AG10</f>
        <v>26400</v>
      </c>
      <c r="AH11" s="2">
        <f t="shared" ref="AH11" si="46">+AG11+AH10</f>
        <v>27280</v>
      </c>
      <c r="AI11" s="2">
        <f t="shared" ref="AI11" si="47">+AH11+AI10</f>
        <v>28160</v>
      </c>
      <c r="AJ11" s="2">
        <f t="shared" ref="AJ11" si="48">+AI11+AJ10</f>
        <v>29040</v>
      </c>
      <c r="AK11" s="2">
        <f t="shared" ref="AK11" si="49">+AJ11+AK10</f>
        <v>29920</v>
      </c>
      <c r="AL11" s="2">
        <f t="shared" ref="AL11" si="50">+AK11+AL10</f>
        <v>30800</v>
      </c>
      <c r="AM11" s="2">
        <f t="shared" ref="AM11" si="51">+AL11+AM10</f>
        <v>31680</v>
      </c>
    </row>
    <row r="12" spans="2:39" x14ac:dyDescent="0.25">
      <c r="B12" t="s">
        <v>74</v>
      </c>
      <c r="D12" s="2">
        <f t="shared" ref="D12:O12" si="52">D9*$D$5</f>
        <v>1320</v>
      </c>
      <c r="E12" s="2">
        <f t="shared" si="52"/>
        <v>1320</v>
      </c>
      <c r="F12" s="2">
        <f t="shared" si="52"/>
        <v>1320</v>
      </c>
      <c r="G12" s="2">
        <f t="shared" si="52"/>
        <v>1320</v>
      </c>
      <c r="H12" s="2">
        <f t="shared" si="52"/>
        <v>1320</v>
      </c>
      <c r="I12" s="2">
        <f t="shared" si="52"/>
        <v>1320</v>
      </c>
      <c r="J12" s="2">
        <f t="shared" si="52"/>
        <v>1320</v>
      </c>
      <c r="K12" s="2">
        <f t="shared" si="52"/>
        <v>1320</v>
      </c>
      <c r="L12" s="2">
        <f t="shared" si="52"/>
        <v>1320</v>
      </c>
      <c r="M12" s="2">
        <f t="shared" si="52"/>
        <v>1320</v>
      </c>
      <c r="N12" s="2">
        <f t="shared" si="52"/>
        <v>1320</v>
      </c>
      <c r="O12" s="14">
        <f t="shared" si="52"/>
        <v>1320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2:39" x14ac:dyDescent="0.25">
      <c r="B13" t="s">
        <v>72</v>
      </c>
      <c r="D13" s="2">
        <f>+D12</f>
        <v>1320</v>
      </c>
      <c r="E13" s="2">
        <f>+D13+E12</f>
        <v>2640</v>
      </c>
      <c r="F13" s="2">
        <f t="shared" ref="F13:AM13" si="53">+E13+F12</f>
        <v>3960</v>
      </c>
      <c r="G13" s="2">
        <f t="shared" si="53"/>
        <v>5280</v>
      </c>
      <c r="H13" s="2">
        <f t="shared" si="53"/>
        <v>6600</v>
      </c>
      <c r="I13" s="2">
        <f t="shared" si="53"/>
        <v>7920</v>
      </c>
      <c r="J13" s="2">
        <f t="shared" si="53"/>
        <v>9240</v>
      </c>
      <c r="K13" s="2">
        <f t="shared" si="53"/>
        <v>10560</v>
      </c>
      <c r="L13" s="2">
        <f t="shared" si="53"/>
        <v>11880</v>
      </c>
      <c r="M13" s="2">
        <f t="shared" si="53"/>
        <v>13200</v>
      </c>
      <c r="N13" s="2">
        <f t="shared" si="53"/>
        <v>14520</v>
      </c>
      <c r="O13" s="14">
        <f t="shared" si="53"/>
        <v>15840</v>
      </c>
      <c r="P13" s="2">
        <f t="shared" si="53"/>
        <v>15840</v>
      </c>
      <c r="Q13" s="2">
        <f t="shared" si="53"/>
        <v>15840</v>
      </c>
      <c r="R13" s="2">
        <f t="shared" si="53"/>
        <v>15840</v>
      </c>
      <c r="S13" s="2">
        <f t="shared" si="53"/>
        <v>15840</v>
      </c>
      <c r="T13" s="2">
        <f t="shared" si="53"/>
        <v>15840</v>
      </c>
      <c r="U13" s="2">
        <f t="shared" si="53"/>
        <v>15840</v>
      </c>
      <c r="V13" s="2">
        <f t="shared" si="53"/>
        <v>15840</v>
      </c>
      <c r="W13" s="2">
        <f t="shared" si="53"/>
        <v>15840</v>
      </c>
      <c r="X13" s="2">
        <f t="shared" si="53"/>
        <v>15840</v>
      </c>
      <c r="Y13" s="2">
        <f t="shared" si="53"/>
        <v>15840</v>
      </c>
      <c r="Z13" s="2">
        <f t="shared" si="53"/>
        <v>15840</v>
      </c>
      <c r="AA13" s="2">
        <f t="shared" si="53"/>
        <v>15840</v>
      </c>
      <c r="AB13" s="2">
        <f t="shared" si="53"/>
        <v>15840</v>
      </c>
      <c r="AC13" s="2">
        <f t="shared" si="53"/>
        <v>15840</v>
      </c>
      <c r="AD13" s="2">
        <f t="shared" si="53"/>
        <v>15840</v>
      </c>
      <c r="AE13" s="2">
        <f t="shared" si="53"/>
        <v>15840</v>
      </c>
      <c r="AF13" s="2">
        <f t="shared" si="53"/>
        <v>15840</v>
      </c>
      <c r="AG13" s="2">
        <f t="shared" si="53"/>
        <v>15840</v>
      </c>
      <c r="AH13" s="2">
        <f t="shared" si="53"/>
        <v>15840</v>
      </c>
      <c r="AI13" s="2">
        <f t="shared" si="53"/>
        <v>15840</v>
      </c>
      <c r="AJ13" s="2">
        <f t="shared" si="53"/>
        <v>15840</v>
      </c>
      <c r="AK13" s="2">
        <f t="shared" si="53"/>
        <v>15840</v>
      </c>
      <c r="AL13" s="2">
        <f t="shared" si="53"/>
        <v>15840</v>
      </c>
      <c r="AM13" s="2">
        <f t="shared" si="53"/>
        <v>15840</v>
      </c>
    </row>
    <row r="14" spans="2:39" x14ac:dyDescent="0.25">
      <c r="B14" t="s">
        <v>5</v>
      </c>
      <c r="D14" s="2">
        <f>D9*5</f>
        <v>220000</v>
      </c>
      <c r="E14" s="2">
        <f>E9*5</f>
        <v>220000</v>
      </c>
      <c r="F14" s="2">
        <f>F9*5</f>
        <v>220000</v>
      </c>
      <c r="G14" s="2">
        <f>G9*5</f>
        <v>220000</v>
      </c>
      <c r="H14" s="2">
        <f t="shared" ref="H14:O14" si="54">H9*5</f>
        <v>220000</v>
      </c>
      <c r="I14" s="2">
        <f t="shared" si="54"/>
        <v>220000</v>
      </c>
      <c r="J14" s="2">
        <f t="shared" si="54"/>
        <v>220000</v>
      </c>
      <c r="K14" s="2">
        <f t="shared" si="54"/>
        <v>220000</v>
      </c>
      <c r="L14" s="2">
        <f t="shared" si="54"/>
        <v>220000</v>
      </c>
      <c r="M14" s="2">
        <f t="shared" si="54"/>
        <v>220000</v>
      </c>
      <c r="N14" s="2">
        <f t="shared" si="54"/>
        <v>220000</v>
      </c>
      <c r="O14" s="14">
        <f t="shared" si="54"/>
        <v>220000</v>
      </c>
      <c r="P14" s="2">
        <f t="shared" ref="P14:AM14" si="55">P9*5</f>
        <v>220000</v>
      </c>
      <c r="Q14" s="2">
        <f t="shared" si="55"/>
        <v>220000</v>
      </c>
      <c r="R14" s="2">
        <f t="shared" si="55"/>
        <v>220000</v>
      </c>
      <c r="S14" s="2">
        <f t="shared" si="55"/>
        <v>220000</v>
      </c>
      <c r="T14" s="2">
        <f t="shared" si="55"/>
        <v>220000</v>
      </c>
      <c r="U14" s="2">
        <f t="shared" si="55"/>
        <v>220000</v>
      </c>
      <c r="V14" s="2">
        <f t="shared" si="55"/>
        <v>220000</v>
      </c>
      <c r="W14" s="2">
        <f t="shared" si="55"/>
        <v>220000</v>
      </c>
      <c r="X14" s="2">
        <f t="shared" si="55"/>
        <v>220000</v>
      </c>
      <c r="Y14" s="2">
        <f t="shared" si="55"/>
        <v>220000</v>
      </c>
      <c r="Z14" s="2">
        <f t="shared" si="55"/>
        <v>220000</v>
      </c>
      <c r="AA14" s="2">
        <f t="shared" si="55"/>
        <v>220000</v>
      </c>
      <c r="AB14" s="2">
        <f t="shared" si="55"/>
        <v>220000</v>
      </c>
      <c r="AC14" s="2">
        <f t="shared" si="55"/>
        <v>220000</v>
      </c>
      <c r="AD14" s="2">
        <f t="shared" si="55"/>
        <v>220000</v>
      </c>
      <c r="AE14" s="2">
        <f t="shared" si="55"/>
        <v>220000</v>
      </c>
      <c r="AF14" s="2">
        <f t="shared" si="55"/>
        <v>220000</v>
      </c>
      <c r="AG14" s="2">
        <f t="shared" si="55"/>
        <v>220000</v>
      </c>
      <c r="AH14" s="2">
        <f t="shared" si="55"/>
        <v>220000</v>
      </c>
      <c r="AI14" s="2">
        <f t="shared" si="55"/>
        <v>220000</v>
      </c>
      <c r="AJ14" s="2">
        <f t="shared" si="55"/>
        <v>220000</v>
      </c>
      <c r="AK14" s="2">
        <f t="shared" si="55"/>
        <v>220000</v>
      </c>
      <c r="AL14" s="2">
        <f t="shared" si="55"/>
        <v>220000</v>
      </c>
      <c r="AM14" s="2">
        <f t="shared" si="55"/>
        <v>220000</v>
      </c>
    </row>
    <row r="15" spans="2:39" x14ac:dyDescent="0.25">
      <c r="B15" t="s">
        <v>6</v>
      </c>
      <c r="D15" s="2">
        <f>D11*5</f>
        <v>4400</v>
      </c>
      <c r="E15" s="2">
        <f t="shared" ref="E15:O15" si="56">E11*5</f>
        <v>8800</v>
      </c>
      <c r="F15" s="2">
        <f t="shared" si="56"/>
        <v>13200</v>
      </c>
      <c r="G15" s="2">
        <f t="shared" si="56"/>
        <v>17600</v>
      </c>
      <c r="H15" s="2">
        <f t="shared" si="56"/>
        <v>22000</v>
      </c>
      <c r="I15" s="2">
        <f t="shared" si="56"/>
        <v>26400</v>
      </c>
      <c r="J15" s="2">
        <f t="shared" si="56"/>
        <v>30800</v>
      </c>
      <c r="K15" s="2">
        <f t="shared" si="56"/>
        <v>35200</v>
      </c>
      <c r="L15" s="2">
        <f t="shared" si="56"/>
        <v>39600</v>
      </c>
      <c r="M15" s="2">
        <f t="shared" si="56"/>
        <v>44000</v>
      </c>
      <c r="N15" s="2">
        <f t="shared" si="56"/>
        <v>48400</v>
      </c>
      <c r="O15" s="14">
        <f t="shared" si="56"/>
        <v>52800</v>
      </c>
      <c r="P15" s="2">
        <f t="shared" ref="P15:AM15" si="57">P11*5</f>
        <v>57200</v>
      </c>
      <c r="Q15" s="2">
        <f t="shared" si="57"/>
        <v>61600</v>
      </c>
      <c r="R15" s="2">
        <f t="shared" si="57"/>
        <v>66000</v>
      </c>
      <c r="S15" s="2">
        <f t="shared" si="57"/>
        <v>70400</v>
      </c>
      <c r="T15" s="2">
        <f t="shared" si="57"/>
        <v>74800</v>
      </c>
      <c r="U15" s="2">
        <f t="shared" si="57"/>
        <v>79200</v>
      </c>
      <c r="V15" s="2">
        <f t="shared" si="57"/>
        <v>83600</v>
      </c>
      <c r="W15" s="2">
        <f t="shared" si="57"/>
        <v>88000</v>
      </c>
      <c r="X15" s="2">
        <f t="shared" si="57"/>
        <v>92400</v>
      </c>
      <c r="Y15" s="2">
        <f t="shared" si="57"/>
        <v>96800</v>
      </c>
      <c r="Z15" s="2">
        <f t="shared" si="57"/>
        <v>101200</v>
      </c>
      <c r="AA15" s="2">
        <f t="shared" si="57"/>
        <v>105600</v>
      </c>
      <c r="AB15" s="2">
        <f t="shared" si="57"/>
        <v>110000</v>
      </c>
      <c r="AC15" s="2">
        <f t="shared" si="57"/>
        <v>114400</v>
      </c>
      <c r="AD15" s="2">
        <f t="shared" si="57"/>
        <v>118800</v>
      </c>
      <c r="AE15" s="2">
        <f t="shared" si="57"/>
        <v>123200</v>
      </c>
      <c r="AF15" s="2">
        <f t="shared" si="57"/>
        <v>127600</v>
      </c>
      <c r="AG15" s="2">
        <f t="shared" si="57"/>
        <v>132000</v>
      </c>
      <c r="AH15" s="2">
        <f t="shared" si="57"/>
        <v>136400</v>
      </c>
      <c r="AI15" s="2">
        <f t="shared" si="57"/>
        <v>140800</v>
      </c>
      <c r="AJ15" s="2">
        <f t="shared" si="57"/>
        <v>145200</v>
      </c>
      <c r="AK15" s="2">
        <f t="shared" si="57"/>
        <v>149600</v>
      </c>
      <c r="AL15" s="2">
        <f t="shared" si="57"/>
        <v>154000</v>
      </c>
      <c r="AM15" s="2">
        <f t="shared" si="57"/>
        <v>158400</v>
      </c>
    </row>
    <row r="16" spans="2:39" x14ac:dyDescent="0.25">
      <c r="B16" t="s">
        <v>44</v>
      </c>
      <c r="D16" s="2">
        <f>D14+D15</f>
        <v>224400</v>
      </c>
      <c r="E16" s="2">
        <f>E14+E15</f>
        <v>228800</v>
      </c>
      <c r="F16" s="2">
        <f>F14+F15</f>
        <v>233200</v>
      </c>
      <c r="G16" s="2">
        <f>G14+G15</f>
        <v>237600</v>
      </c>
      <c r="H16" s="2">
        <f t="shared" ref="H16:O16" si="58">H14+H15</f>
        <v>242000</v>
      </c>
      <c r="I16" s="2">
        <f t="shared" si="58"/>
        <v>246400</v>
      </c>
      <c r="J16" s="2">
        <f t="shared" si="58"/>
        <v>250800</v>
      </c>
      <c r="K16" s="2">
        <f t="shared" si="58"/>
        <v>255200</v>
      </c>
      <c r="L16" s="2">
        <f t="shared" si="58"/>
        <v>259600</v>
      </c>
      <c r="M16" s="2">
        <f t="shared" si="58"/>
        <v>264000</v>
      </c>
      <c r="N16" s="2">
        <f t="shared" si="58"/>
        <v>268400</v>
      </c>
      <c r="O16" s="14">
        <f t="shared" si="58"/>
        <v>272800</v>
      </c>
      <c r="P16" s="2">
        <f t="shared" ref="P16" si="59">P14+P15</f>
        <v>277200</v>
      </c>
      <c r="Q16" s="2">
        <f t="shared" ref="Q16" si="60">Q14+Q15</f>
        <v>281600</v>
      </c>
      <c r="R16" s="2">
        <f t="shared" ref="R16" si="61">R14+R15</f>
        <v>286000</v>
      </c>
      <c r="S16" s="2">
        <f t="shared" ref="S16" si="62">S14+S15</f>
        <v>290400</v>
      </c>
      <c r="T16" s="2">
        <f t="shared" ref="T16" si="63">T14+T15</f>
        <v>294800</v>
      </c>
      <c r="U16" s="2">
        <f t="shared" ref="U16" si="64">U14+U15</f>
        <v>299200</v>
      </c>
      <c r="V16" s="2">
        <f t="shared" ref="V16" si="65">V14+V15</f>
        <v>303600</v>
      </c>
      <c r="W16" s="2">
        <f t="shared" ref="W16" si="66">W14+W15</f>
        <v>308000</v>
      </c>
      <c r="X16" s="2">
        <f t="shared" ref="X16" si="67">X14+X15</f>
        <v>312400</v>
      </c>
      <c r="Y16" s="2">
        <f t="shared" ref="Y16" si="68">Y14+Y15</f>
        <v>316800</v>
      </c>
      <c r="Z16" s="2">
        <f t="shared" ref="Z16" si="69">Z14+Z15</f>
        <v>321200</v>
      </c>
      <c r="AA16" s="2">
        <f t="shared" ref="AA16" si="70">AA14+AA15</f>
        <v>325600</v>
      </c>
      <c r="AB16" s="2">
        <f t="shared" ref="AB16" si="71">AB14+AB15</f>
        <v>330000</v>
      </c>
      <c r="AC16" s="2">
        <f t="shared" ref="AC16" si="72">AC14+AC15</f>
        <v>334400</v>
      </c>
      <c r="AD16" s="2">
        <f t="shared" ref="AD16" si="73">AD14+AD15</f>
        <v>338800</v>
      </c>
      <c r="AE16" s="2">
        <f t="shared" ref="AE16" si="74">AE14+AE15</f>
        <v>343200</v>
      </c>
      <c r="AF16" s="2">
        <f t="shared" ref="AF16" si="75">AF14+AF15</f>
        <v>347600</v>
      </c>
      <c r="AG16" s="2">
        <f t="shared" ref="AG16" si="76">AG14+AG15</f>
        <v>352000</v>
      </c>
      <c r="AH16" s="2">
        <f t="shared" ref="AH16" si="77">AH14+AH15</f>
        <v>356400</v>
      </c>
      <c r="AI16" s="2">
        <f t="shared" ref="AI16" si="78">AI14+AI15</f>
        <v>360800</v>
      </c>
      <c r="AJ16" s="2">
        <f t="shared" ref="AJ16" si="79">AJ14+AJ15</f>
        <v>365200</v>
      </c>
      <c r="AK16" s="2">
        <f t="shared" ref="AK16" si="80">AK14+AK15</f>
        <v>369600</v>
      </c>
      <c r="AL16" s="2">
        <f t="shared" ref="AL16" si="81">AL14+AL15</f>
        <v>374000</v>
      </c>
      <c r="AM16" s="2">
        <f t="shared" ref="AM16" si="82">AM14+AM15</f>
        <v>378400</v>
      </c>
    </row>
    <row r="17" spans="2:39" x14ac:dyDescent="0.25">
      <c r="B17" s="10" t="s">
        <v>45</v>
      </c>
      <c r="O17" s="13"/>
    </row>
    <row r="18" spans="2:39" x14ac:dyDescent="0.25">
      <c r="B18" t="s">
        <v>46</v>
      </c>
      <c r="D18" s="5">
        <f>D15*$C$6</f>
        <v>660</v>
      </c>
      <c r="E18" s="5">
        <f>E15*$C$6</f>
        <v>1320</v>
      </c>
      <c r="F18" s="5">
        <f>F15*$C$6</f>
        <v>1980</v>
      </c>
      <c r="G18" s="5">
        <f>G15*$C$6</f>
        <v>2640</v>
      </c>
      <c r="H18" s="5">
        <f t="shared" ref="H18:O18" si="83">H15*$C$6</f>
        <v>3300</v>
      </c>
      <c r="I18" s="5">
        <f t="shared" si="83"/>
        <v>3960</v>
      </c>
      <c r="J18" s="5">
        <f t="shared" si="83"/>
        <v>4620</v>
      </c>
      <c r="K18" s="5">
        <f t="shared" si="83"/>
        <v>5280</v>
      </c>
      <c r="L18" s="5">
        <f t="shared" si="83"/>
        <v>5940</v>
      </c>
      <c r="M18" s="5">
        <f t="shared" si="83"/>
        <v>6600</v>
      </c>
      <c r="N18" s="5">
        <f t="shared" si="83"/>
        <v>7260</v>
      </c>
      <c r="O18" s="15">
        <f t="shared" si="83"/>
        <v>7920</v>
      </c>
      <c r="P18" s="5">
        <f t="shared" ref="P18:AM18" si="84">P15*$C$6</f>
        <v>8580</v>
      </c>
      <c r="Q18" s="5">
        <f t="shared" si="84"/>
        <v>9240</v>
      </c>
      <c r="R18" s="5">
        <f t="shared" si="84"/>
        <v>9900</v>
      </c>
      <c r="S18" s="5">
        <f t="shared" si="84"/>
        <v>10560</v>
      </c>
      <c r="T18" s="5">
        <f t="shared" si="84"/>
        <v>11220</v>
      </c>
      <c r="U18" s="5">
        <f t="shared" si="84"/>
        <v>11880</v>
      </c>
      <c r="V18" s="5">
        <f t="shared" si="84"/>
        <v>12540</v>
      </c>
      <c r="W18" s="5">
        <f t="shared" si="84"/>
        <v>13200</v>
      </c>
      <c r="X18" s="5">
        <f t="shared" si="84"/>
        <v>13860</v>
      </c>
      <c r="Y18" s="5">
        <f t="shared" si="84"/>
        <v>14520</v>
      </c>
      <c r="Z18" s="5">
        <f t="shared" si="84"/>
        <v>15180</v>
      </c>
      <c r="AA18" s="5">
        <f t="shared" si="84"/>
        <v>15840</v>
      </c>
      <c r="AB18" s="5">
        <f t="shared" si="84"/>
        <v>16500</v>
      </c>
      <c r="AC18" s="5">
        <f t="shared" si="84"/>
        <v>17160</v>
      </c>
      <c r="AD18" s="5">
        <f t="shared" si="84"/>
        <v>17820</v>
      </c>
      <c r="AE18" s="5">
        <f t="shared" si="84"/>
        <v>18480</v>
      </c>
      <c r="AF18" s="5">
        <f t="shared" si="84"/>
        <v>19140</v>
      </c>
      <c r="AG18" s="5">
        <f t="shared" si="84"/>
        <v>19800</v>
      </c>
      <c r="AH18" s="5">
        <f t="shared" si="84"/>
        <v>20460</v>
      </c>
      <c r="AI18" s="5">
        <f t="shared" si="84"/>
        <v>21120</v>
      </c>
      <c r="AJ18" s="5">
        <f t="shared" si="84"/>
        <v>21780</v>
      </c>
      <c r="AK18" s="5">
        <f t="shared" si="84"/>
        <v>22440</v>
      </c>
      <c r="AL18" s="5">
        <f t="shared" si="84"/>
        <v>23100</v>
      </c>
      <c r="AM18" s="5">
        <f t="shared" si="84"/>
        <v>23760</v>
      </c>
    </row>
    <row r="19" spans="2:39" x14ac:dyDescent="0.25">
      <c r="B19" t="s">
        <v>47</v>
      </c>
      <c r="D19" s="5">
        <f>+D10*$E$3</f>
        <v>3928.571428571428</v>
      </c>
      <c r="E19" s="5">
        <f>+E10*$E$3</f>
        <v>3928.571428571428</v>
      </c>
      <c r="F19" s="5">
        <f>+F10*$E$3</f>
        <v>3928.571428571428</v>
      </c>
      <c r="G19" s="5">
        <f>+G10*$E$3</f>
        <v>3928.571428571428</v>
      </c>
      <c r="H19" s="5">
        <f t="shared" ref="H19:O19" si="85">+H10*$E$3</f>
        <v>3928.571428571428</v>
      </c>
      <c r="I19" s="5">
        <f t="shared" si="85"/>
        <v>3928.571428571428</v>
      </c>
      <c r="J19" s="5">
        <f t="shared" si="85"/>
        <v>3928.571428571428</v>
      </c>
      <c r="K19" s="5">
        <f t="shared" si="85"/>
        <v>3928.571428571428</v>
      </c>
      <c r="L19" s="5">
        <f t="shared" si="85"/>
        <v>3928.571428571428</v>
      </c>
      <c r="M19" s="5">
        <f t="shared" si="85"/>
        <v>3928.571428571428</v>
      </c>
      <c r="N19" s="5">
        <f t="shared" si="85"/>
        <v>3928.571428571428</v>
      </c>
      <c r="O19" s="15">
        <f t="shared" si="85"/>
        <v>3928.571428571428</v>
      </c>
      <c r="P19" s="5">
        <f t="shared" ref="P19:AM19" si="86">+P10*$E$3</f>
        <v>3928.571428571428</v>
      </c>
      <c r="Q19" s="5">
        <f t="shared" si="86"/>
        <v>3928.571428571428</v>
      </c>
      <c r="R19" s="5">
        <f t="shared" si="86"/>
        <v>3928.571428571428</v>
      </c>
      <c r="S19" s="5">
        <f t="shared" si="86"/>
        <v>3928.571428571428</v>
      </c>
      <c r="T19" s="5">
        <f t="shared" si="86"/>
        <v>3928.571428571428</v>
      </c>
      <c r="U19" s="5">
        <f t="shared" si="86"/>
        <v>3928.571428571428</v>
      </c>
      <c r="V19" s="5">
        <f t="shared" si="86"/>
        <v>3928.571428571428</v>
      </c>
      <c r="W19" s="5">
        <f t="shared" si="86"/>
        <v>3928.571428571428</v>
      </c>
      <c r="X19" s="5">
        <f t="shared" si="86"/>
        <v>3928.571428571428</v>
      </c>
      <c r="Y19" s="5">
        <f t="shared" si="86"/>
        <v>3928.571428571428</v>
      </c>
      <c r="Z19" s="5">
        <f t="shared" si="86"/>
        <v>3928.571428571428</v>
      </c>
      <c r="AA19" s="5">
        <f t="shared" si="86"/>
        <v>3928.571428571428</v>
      </c>
      <c r="AB19" s="5">
        <f t="shared" si="86"/>
        <v>3928.571428571428</v>
      </c>
      <c r="AC19" s="5">
        <f t="shared" si="86"/>
        <v>3928.571428571428</v>
      </c>
      <c r="AD19" s="5">
        <f t="shared" si="86"/>
        <v>3928.571428571428</v>
      </c>
      <c r="AE19" s="5">
        <f t="shared" si="86"/>
        <v>3928.571428571428</v>
      </c>
      <c r="AF19" s="5">
        <f t="shared" si="86"/>
        <v>3928.571428571428</v>
      </c>
      <c r="AG19" s="5">
        <f t="shared" si="86"/>
        <v>3928.571428571428</v>
      </c>
      <c r="AH19" s="5">
        <f t="shared" si="86"/>
        <v>3928.571428571428</v>
      </c>
      <c r="AI19" s="5">
        <f t="shared" si="86"/>
        <v>3928.571428571428</v>
      </c>
      <c r="AJ19" s="5">
        <f t="shared" si="86"/>
        <v>3928.571428571428</v>
      </c>
      <c r="AK19" s="5">
        <f t="shared" si="86"/>
        <v>3928.571428571428</v>
      </c>
      <c r="AL19" s="5">
        <f t="shared" si="86"/>
        <v>3928.571428571428</v>
      </c>
      <c r="AM19" s="5">
        <f t="shared" si="86"/>
        <v>3928.571428571428</v>
      </c>
    </row>
    <row r="20" spans="2:39" x14ac:dyDescent="0.25">
      <c r="B20" t="s">
        <v>75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15">
        <v>0</v>
      </c>
      <c r="P20" s="5">
        <f>+(D10+D12)*$E$4</f>
        <v>19642.857142857141</v>
      </c>
      <c r="Q20" s="5">
        <f>+(E10+E12)*$E$4</f>
        <v>19642.857142857141</v>
      </c>
      <c r="R20" s="5">
        <f t="shared" ref="R20:AA20" si="87">+(F10+F12)*$E$4</f>
        <v>19642.857142857141</v>
      </c>
      <c r="S20" s="5">
        <f t="shared" si="87"/>
        <v>19642.857142857141</v>
      </c>
      <c r="T20" s="5">
        <f t="shared" si="87"/>
        <v>19642.857142857141</v>
      </c>
      <c r="U20" s="5">
        <f t="shared" si="87"/>
        <v>19642.857142857141</v>
      </c>
      <c r="V20" s="5">
        <f t="shared" si="87"/>
        <v>19642.857142857141</v>
      </c>
      <c r="W20" s="5">
        <f t="shared" si="87"/>
        <v>19642.857142857141</v>
      </c>
      <c r="X20" s="5">
        <f t="shared" si="87"/>
        <v>19642.857142857141</v>
      </c>
      <c r="Y20" s="5">
        <f t="shared" si="87"/>
        <v>19642.857142857141</v>
      </c>
      <c r="Z20" s="5">
        <f t="shared" si="87"/>
        <v>19642.857142857141</v>
      </c>
      <c r="AA20" s="5">
        <f t="shared" si="87"/>
        <v>19642.857142857141</v>
      </c>
      <c r="AB20" s="5">
        <f>+((P10+P12)*$E$4)+P20</f>
        <v>27499.999999999996</v>
      </c>
      <c r="AC20" s="5">
        <f t="shared" ref="AC20:AM20" si="88">+((Q10+Q12)*$E$4)+Q20</f>
        <v>27499.999999999996</v>
      </c>
      <c r="AD20" s="5">
        <f t="shared" si="88"/>
        <v>27499.999999999996</v>
      </c>
      <c r="AE20" s="5">
        <f t="shared" si="88"/>
        <v>27499.999999999996</v>
      </c>
      <c r="AF20" s="5">
        <f t="shared" si="88"/>
        <v>27499.999999999996</v>
      </c>
      <c r="AG20" s="5">
        <f t="shared" si="88"/>
        <v>27499.999999999996</v>
      </c>
      <c r="AH20" s="5">
        <f t="shared" si="88"/>
        <v>27499.999999999996</v>
      </c>
      <c r="AI20" s="5">
        <f t="shared" si="88"/>
        <v>27499.999999999996</v>
      </c>
      <c r="AJ20" s="5">
        <f t="shared" si="88"/>
        <v>27499.999999999996</v>
      </c>
      <c r="AK20" s="5">
        <f t="shared" si="88"/>
        <v>27499.999999999996</v>
      </c>
      <c r="AL20" s="5">
        <f t="shared" si="88"/>
        <v>27499.999999999996</v>
      </c>
      <c r="AM20" s="5">
        <f t="shared" si="88"/>
        <v>27499.999999999996</v>
      </c>
    </row>
    <row r="21" spans="2:39" x14ac:dyDescent="0.25">
      <c r="B21" t="s">
        <v>48</v>
      </c>
      <c r="D21" s="5">
        <f>+D12*$E$3</f>
        <v>5892.8571428571422</v>
      </c>
      <c r="E21" s="5">
        <f t="shared" ref="E21:O21" si="89">+E12*$E$3</f>
        <v>5892.8571428571422</v>
      </c>
      <c r="F21" s="5">
        <f t="shared" si="89"/>
        <v>5892.8571428571422</v>
      </c>
      <c r="G21" s="5">
        <f t="shared" si="89"/>
        <v>5892.8571428571422</v>
      </c>
      <c r="H21" s="5">
        <f t="shared" si="89"/>
        <v>5892.8571428571422</v>
      </c>
      <c r="I21" s="5">
        <f t="shared" si="89"/>
        <v>5892.8571428571422</v>
      </c>
      <c r="J21" s="5">
        <f t="shared" si="89"/>
        <v>5892.8571428571422</v>
      </c>
      <c r="K21" s="5">
        <f t="shared" si="89"/>
        <v>5892.8571428571422</v>
      </c>
      <c r="L21" s="5">
        <f t="shared" si="89"/>
        <v>5892.8571428571422</v>
      </c>
      <c r="M21" s="5">
        <f t="shared" si="89"/>
        <v>5892.8571428571422</v>
      </c>
      <c r="N21" s="5">
        <f t="shared" si="89"/>
        <v>5892.8571428571422</v>
      </c>
      <c r="O21" s="15">
        <f t="shared" si="89"/>
        <v>5892.8571428571422</v>
      </c>
      <c r="P21" s="5">
        <f t="shared" ref="P21:AM21" si="90">+P12*$E$3</f>
        <v>0</v>
      </c>
      <c r="Q21" s="5">
        <f t="shared" si="90"/>
        <v>0</v>
      </c>
      <c r="R21" s="5">
        <f t="shared" si="90"/>
        <v>0</v>
      </c>
      <c r="S21" s="5">
        <f t="shared" si="90"/>
        <v>0</v>
      </c>
      <c r="T21" s="5">
        <f t="shared" si="90"/>
        <v>0</v>
      </c>
      <c r="U21" s="5">
        <f t="shared" si="90"/>
        <v>0</v>
      </c>
      <c r="V21" s="5">
        <f t="shared" si="90"/>
        <v>0</v>
      </c>
      <c r="W21" s="5">
        <f t="shared" si="90"/>
        <v>0</v>
      </c>
      <c r="X21" s="5">
        <f t="shared" si="90"/>
        <v>0</v>
      </c>
      <c r="Y21" s="5">
        <f t="shared" si="90"/>
        <v>0</v>
      </c>
      <c r="Z21" s="5">
        <f t="shared" si="90"/>
        <v>0</v>
      </c>
      <c r="AA21" s="5">
        <f t="shared" si="90"/>
        <v>0</v>
      </c>
      <c r="AB21" s="5">
        <f t="shared" si="90"/>
        <v>0</v>
      </c>
      <c r="AC21" s="5">
        <f t="shared" si="90"/>
        <v>0</v>
      </c>
      <c r="AD21" s="5">
        <f t="shared" si="90"/>
        <v>0</v>
      </c>
      <c r="AE21" s="5">
        <f t="shared" si="90"/>
        <v>0</v>
      </c>
      <c r="AF21" s="5">
        <f t="shared" si="90"/>
        <v>0</v>
      </c>
      <c r="AG21" s="5">
        <f t="shared" si="90"/>
        <v>0</v>
      </c>
      <c r="AH21" s="5">
        <f t="shared" si="90"/>
        <v>0</v>
      </c>
      <c r="AI21" s="5">
        <f t="shared" si="90"/>
        <v>0</v>
      </c>
      <c r="AJ21" s="5">
        <f t="shared" si="90"/>
        <v>0</v>
      </c>
      <c r="AK21" s="5">
        <f t="shared" si="90"/>
        <v>0</v>
      </c>
      <c r="AL21" s="5">
        <f t="shared" si="90"/>
        <v>0</v>
      </c>
      <c r="AM21" s="5">
        <f t="shared" si="90"/>
        <v>0</v>
      </c>
    </row>
    <row r="22" spans="2:39" x14ac:dyDescent="0.25">
      <c r="B22" t="s">
        <v>49</v>
      </c>
      <c r="D22" s="3">
        <f>+D10+D12</f>
        <v>2200</v>
      </c>
      <c r="E22" s="3">
        <f>+E10+E12+D22</f>
        <v>4400</v>
      </c>
      <c r="F22" s="3">
        <f t="shared" ref="F22:O22" si="91">+F10+F12+E22</f>
        <v>6600</v>
      </c>
      <c r="G22" s="3">
        <f t="shared" si="91"/>
        <v>8800</v>
      </c>
      <c r="H22" s="3">
        <f t="shared" si="91"/>
        <v>11000</v>
      </c>
      <c r="I22" s="3">
        <f t="shared" si="91"/>
        <v>13200</v>
      </c>
      <c r="J22" s="3">
        <f t="shared" si="91"/>
        <v>15400</v>
      </c>
      <c r="K22" s="3">
        <f t="shared" si="91"/>
        <v>17600</v>
      </c>
      <c r="L22" s="3">
        <f t="shared" si="91"/>
        <v>19800</v>
      </c>
      <c r="M22" s="3">
        <f t="shared" si="91"/>
        <v>22000</v>
      </c>
      <c r="N22" s="3">
        <f t="shared" si="91"/>
        <v>24200</v>
      </c>
      <c r="O22" s="16">
        <f t="shared" si="91"/>
        <v>26400</v>
      </c>
      <c r="P22" s="3">
        <f t="shared" ref="P22:AM22" si="92">+P10+P12+O22</f>
        <v>27280</v>
      </c>
      <c r="Q22" s="3">
        <f t="shared" si="92"/>
        <v>28160</v>
      </c>
      <c r="R22" s="3">
        <f t="shared" si="92"/>
        <v>29040</v>
      </c>
      <c r="S22" s="3">
        <f t="shared" si="92"/>
        <v>29920</v>
      </c>
      <c r="T22" s="3">
        <f t="shared" si="92"/>
        <v>30800</v>
      </c>
      <c r="U22" s="3">
        <f t="shared" si="92"/>
        <v>31680</v>
      </c>
      <c r="V22" s="3">
        <f t="shared" si="92"/>
        <v>32560</v>
      </c>
      <c r="W22" s="3">
        <f t="shared" si="92"/>
        <v>33440</v>
      </c>
      <c r="X22" s="3">
        <f t="shared" si="92"/>
        <v>34320</v>
      </c>
      <c r="Y22" s="3">
        <f t="shared" si="92"/>
        <v>35200</v>
      </c>
      <c r="Z22" s="3">
        <f t="shared" si="92"/>
        <v>36080</v>
      </c>
      <c r="AA22" s="3">
        <f t="shared" si="92"/>
        <v>36960</v>
      </c>
      <c r="AB22" s="3">
        <f t="shared" si="92"/>
        <v>37840</v>
      </c>
      <c r="AC22" s="3">
        <f t="shared" si="92"/>
        <v>38720</v>
      </c>
      <c r="AD22" s="3">
        <f t="shared" si="92"/>
        <v>39600</v>
      </c>
      <c r="AE22" s="3">
        <f t="shared" si="92"/>
        <v>40480</v>
      </c>
      <c r="AF22" s="3">
        <f t="shared" si="92"/>
        <v>41360</v>
      </c>
      <c r="AG22" s="3">
        <f t="shared" si="92"/>
        <v>42240</v>
      </c>
      <c r="AH22" s="3">
        <f t="shared" si="92"/>
        <v>43120</v>
      </c>
      <c r="AI22" s="3">
        <f t="shared" si="92"/>
        <v>44000</v>
      </c>
      <c r="AJ22" s="3">
        <f t="shared" si="92"/>
        <v>44880</v>
      </c>
      <c r="AK22" s="3">
        <f t="shared" si="92"/>
        <v>45760</v>
      </c>
      <c r="AL22" s="3">
        <f t="shared" si="92"/>
        <v>46640</v>
      </c>
      <c r="AM22" s="3">
        <f t="shared" si="92"/>
        <v>47520</v>
      </c>
    </row>
    <row r="23" spans="2:39" x14ac:dyDescent="0.25">
      <c r="B23" t="s">
        <v>50</v>
      </c>
      <c r="D23" s="7">
        <f>+SUM(D18:D22)</f>
        <v>12681.428571428569</v>
      </c>
      <c r="E23" s="7">
        <f t="shared" ref="E23:O23" si="93">+SUM(E18:E22)</f>
        <v>15541.428571428569</v>
      </c>
      <c r="F23" s="7">
        <f t="shared" si="93"/>
        <v>18401.428571428569</v>
      </c>
      <c r="G23" s="7">
        <f t="shared" si="93"/>
        <v>21261.428571428569</v>
      </c>
      <c r="H23" s="7">
        <f t="shared" si="93"/>
        <v>24121.428571428569</v>
      </c>
      <c r="I23" s="7">
        <f t="shared" si="93"/>
        <v>26981.428571428569</v>
      </c>
      <c r="J23" s="7">
        <f t="shared" si="93"/>
        <v>29841.428571428569</v>
      </c>
      <c r="K23" s="7">
        <f t="shared" si="93"/>
        <v>32701.428571428569</v>
      </c>
      <c r="L23" s="7">
        <f t="shared" si="93"/>
        <v>35561.428571428565</v>
      </c>
      <c r="M23" s="7">
        <f t="shared" si="93"/>
        <v>38421.428571428565</v>
      </c>
      <c r="N23" s="7">
        <f t="shared" si="93"/>
        <v>41281.428571428565</v>
      </c>
      <c r="O23" s="17">
        <f t="shared" si="93"/>
        <v>44141.428571428565</v>
      </c>
      <c r="P23" s="7">
        <f t="shared" ref="P23" si="94">+SUM(P18:P22)</f>
        <v>59431.428571428565</v>
      </c>
      <c r="Q23" s="7">
        <f t="shared" ref="Q23" si="95">+SUM(Q18:Q22)</f>
        <v>60971.428571428565</v>
      </c>
      <c r="R23" s="7">
        <f t="shared" ref="R23" si="96">+SUM(R18:R22)</f>
        <v>62511.428571428565</v>
      </c>
      <c r="S23" s="7">
        <f t="shared" ref="S23" si="97">+SUM(S18:S22)</f>
        <v>64051.428571428565</v>
      </c>
      <c r="T23" s="7">
        <f t="shared" ref="T23" si="98">+SUM(T18:T22)</f>
        <v>65591.428571428565</v>
      </c>
      <c r="U23" s="7">
        <f t="shared" ref="U23" si="99">+SUM(U18:U22)</f>
        <v>67131.428571428565</v>
      </c>
      <c r="V23" s="7">
        <f t="shared" ref="V23" si="100">+SUM(V18:V22)</f>
        <v>68671.428571428565</v>
      </c>
      <c r="W23" s="7">
        <f t="shared" ref="W23" si="101">+SUM(W18:W22)</f>
        <v>70211.428571428565</v>
      </c>
      <c r="X23" s="7">
        <f t="shared" ref="X23" si="102">+SUM(X18:X22)</f>
        <v>71751.428571428565</v>
      </c>
      <c r="Y23" s="7">
        <f t="shared" ref="Y23" si="103">+SUM(Y18:Y22)</f>
        <v>73291.428571428565</v>
      </c>
      <c r="Z23" s="7">
        <f t="shared" ref="Z23" si="104">+SUM(Z18:Z22)</f>
        <v>74831.428571428565</v>
      </c>
      <c r="AA23" s="7">
        <f t="shared" ref="AA23" si="105">+SUM(AA18:AA22)</f>
        <v>76371.428571428565</v>
      </c>
      <c r="AB23" s="7">
        <f t="shared" ref="AB23" si="106">+SUM(AB18:AB22)</f>
        <v>85768.57142857142</v>
      </c>
      <c r="AC23" s="7">
        <f t="shared" ref="AC23" si="107">+SUM(AC18:AC22)</f>
        <v>87308.57142857142</v>
      </c>
      <c r="AD23" s="7">
        <f t="shared" ref="AD23" si="108">+SUM(AD18:AD22)</f>
        <v>88848.57142857142</v>
      </c>
      <c r="AE23" s="7">
        <f t="shared" ref="AE23" si="109">+SUM(AE18:AE22)</f>
        <v>90388.57142857142</v>
      </c>
      <c r="AF23" s="7">
        <f t="shared" ref="AF23" si="110">+SUM(AF18:AF22)</f>
        <v>91928.57142857142</v>
      </c>
      <c r="AG23" s="7">
        <f t="shared" ref="AG23" si="111">+SUM(AG18:AG22)</f>
        <v>93468.57142857142</v>
      </c>
      <c r="AH23" s="7">
        <f t="shared" ref="AH23" si="112">+SUM(AH18:AH22)</f>
        <v>95008.57142857142</v>
      </c>
      <c r="AI23" s="7">
        <f t="shared" ref="AI23" si="113">+SUM(AI18:AI22)</f>
        <v>96548.57142857142</v>
      </c>
      <c r="AJ23" s="7">
        <f t="shared" ref="AJ23" si="114">+SUM(AJ18:AJ22)</f>
        <v>98088.57142857142</v>
      </c>
      <c r="AK23" s="7">
        <f t="shared" ref="AK23" si="115">+SUM(AK18:AK22)</f>
        <v>99628.57142857142</v>
      </c>
      <c r="AL23" s="7">
        <f t="shared" ref="AL23" si="116">+SUM(AL18:AL22)</f>
        <v>101168.57142857142</v>
      </c>
      <c r="AM23" s="7">
        <f t="shared" ref="AM23" si="117">+SUM(AM18:AM22)</f>
        <v>102708.57142857142</v>
      </c>
    </row>
    <row r="24" spans="2:39" x14ac:dyDescent="0.25">
      <c r="B24" s="10" t="s">
        <v>52</v>
      </c>
      <c r="O24" s="13"/>
    </row>
    <row r="25" spans="2:39" x14ac:dyDescent="0.25">
      <c r="B25" t="s">
        <v>55</v>
      </c>
      <c r="D25" s="6" t="e">
        <f>+D10*#REF!</f>
        <v>#REF!</v>
      </c>
      <c r="E25" s="6" t="e">
        <f>+E10*#REF!</f>
        <v>#REF!</v>
      </c>
      <c r="F25" s="6" t="e">
        <f>+F10*#REF!</f>
        <v>#REF!</v>
      </c>
      <c r="G25" s="6" t="e">
        <f>+G10*#REF!</f>
        <v>#REF!</v>
      </c>
      <c r="H25" s="6" t="e">
        <f>+H10*#REF!</f>
        <v>#REF!</v>
      </c>
      <c r="I25" s="6" t="e">
        <f>+I10*#REF!</f>
        <v>#REF!</v>
      </c>
      <c r="J25" s="6" t="e">
        <f>+J10*#REF!</f>
        <v>#REF!</v>
      </c>
      <c r="K25" s="6" t="e">
        <f>+K10*#REF!</f>
        <v>#REF!</v>
      </c>
      <c r="L25" s="6" t="e">
        <f>+L10*#REF!</f>
        <v>#REF!</v>
      </c>
      <c r="M25" s="6" t="e">
        <f>+M10*#REF!</f>
        <v>#REF!</v>
      </c>
      <c r="N25" s="6" t="e">
        <f>+N10*#REF!</f>
        <v>#REF!</v>
      </c>
      <c r="O25" s="18" t="e">
        <f>+O10*#REF!</f>
        <v>#REF!</v>
      </c>
      <c r="P25" s="6" t="e">
        <f>+P10*#REF!</f>
        <v>#REF!</v>
      </c>
      <c r="Q25" s="6" t="e">
        <f>+Q10*#REF!</f>
        <v>#REF!</v>
      </c>
      <c r="R25" s="6" t="e">
        <f>+R10*#REF!</f>
        <v>#REF!</v>
      </c>
      <c r="S25" s="6" t="e">
        <f>+S10*#REF!</f>
        <v>#REF!</v>
      </c>
      <c r="T25" s="6" t="e">
        <f>+T10*#REF!</f>
        <v>#REF!</v>
      </c>
      <c r="U25" s="6" t="e">
        <f>+U10*#REF!</f>
        <v>#REF!</v>
      </c>
      <c r="V25" s="6" t="e">
        <f>+V10*#REF!</f>
        <v>#REF!</v>
      </c>
      <c r="W25" s="6" t="e">
        <f>+W10*#REF!</f>
        <v>#REF!</v>
      </c>
      <c r="X25" s="6" t="e">
        <f>+X10*#REF!</f>
        <v>#REF!</v>
      </c>
      <c r="Y25" s="6" t="e">
        <f>+Y10*#REF!</f>
        <v>#REF!</v>
      </c>
      <c r="Z25" s="6" t="e">
        <f>+Z10*#REF!</f>
        <v>#REF!</v>
      </c>
      <c r="AA25" s="6" t="e">
        <f>+AA10*#REF!</f>
        <v>#REF!</v>
      </c>
      <c r="AB25" s="6" t="e">
        <f>+AB10*#REF!</f>
        <v>#REF!</v>
      </c>
      <c r="AC25" s="6" t="e">
        <f>+AC10*#REF!</f>
        <v>#REF!</v>
      </c>
      <c r="AD25" s="6" t="e">
        <f>+AD10*#REF!</f>
        <v>#REF!</v>
      </c>
      <c r="AE25" s="6" t="e">
        <f>+AE10*#REF!</f>
        <v>#REF!</v>
      </c>
      <c r="AF25" s="6" t="e">
        <f>+AF10*#REF!</f>
        <v>#REF!</v>
      </c>
      <c r="AG25" s="6" t="e">
        <f>+AG10*#REF!</f>
        <v>#REF!</v>
      </c>
      <c r="AH25" s="6" t="e">
        <f>+AH10*#REF!</f>
        <v>#REF!</v>
      </c>
      <c r="AI25" s="6" t="e">
        <f>+AI10*#REF!</f>
        <v>#REF!</v>
      </c>
      <c r="AJ25" s="6" t="e">
        <f>+AJ10*#REF!</f>
        <v>#REF!</v>
      </c>
      <c r="AK25" s="6" t="e">
        <f>+AK10*#REF!</f>
        <v>#REF!</v>
      </c>
      <c r="AL25" s="6" t="e">
        <f>+AL10*#REF!</f>
        <v>#REF!</v>
      </c>
      <c r="AM25" s="6" t="e">
        <f>+AM10*#REF!</f>
        <v>#REF!</v>
      </c>
    </row>
    <row r="26" spans="2:39" x14ac:dyDescent="0.25">
      <c r="B26" t="s">
        <v>56</v>
      </c>
      <c r="D26" s="6" t="e">
        <f>+D12*#REF!</f>
        <v>#REF!</v>
      </c>
      <c r="E26" s="6" t="e">
        <f>+E12*#REF!</f>
        <v>#REF!</v>
      </c>
      <c r="F26" s="6" t="e">
        <f>+F12*#REF!</f>
        <v>#REF!</v>
      </c>
      <c r="G26" s="6" t="e">
        <f>+G12*#REF!</f>
        <v>#REF!</v>
      </c>
      <c r="H26" s="6" t="e">
        <f>+H12*#REF!</f>
        <v>#REF!</v>
      </c>
      <c r="I26" s="6" t="e">
        <f>+I12*#REF!</f>
        <v>#REF!</v>
      </c>
      <c r="J26" s="6" t="e">
        <f>+J12*#REF!</f>
        <v>#REF!</v>
      </c>
      <c r="K26" s="6" t="e">
        <f>+K12*#REF!</f>
        <v>#REF!</v>
      </c>
      <c r="L26" s="6" t="e">
        <f>+L12*#REF!</f>
        <v>#REF!</v>
      </c>
      <c r="M26" s="6" t="e">
        <f>+M12*#REF!</f>
        <v>#REF!</v>
      </c>
      <c r="N26" s="6" t="e">
        <f>+N12*#REF!</f>
        <v>#REF!</v>
      </c>
      <c r="O26" s="18" t="e">
        <f>+O12*#REF!</f>
        <v>#REF!</v>
      </c>
      <c r="P26" s="6" t="e">
        <f>+P12*#REF!</f>
        <v>#REF!</v>
      </c>
      <c r="Q26" s="6" t="e">
        <f>+Q12*#REF!</f>
        <v>#REF!</v>
      </c>
      <c r="R26" s="6" t="e">
        <f>+R12*#REF!</f>
        <v>#REF!</v>
      </c>
      <c r="S26" s="6" t="e">
        <f>+S12*#REF!</f>
        <v>#REF!</v>
      </c>
      <c r="T26" s="6" t="e">
        <f>+T12*#REF!</f>
        <v>#REF!</v>
      </c>
      <c r="U26" s="6" t="e">
        <f>+U12*#REF!</f>
        <v>#REF!</v>
      </c>
      <c r="V26" s="6" t="e">
        <f>+V12*#REF!</f>
        <v>#REF!</v>
      </c>
      <c r="W26" s="6" t="e">
        <f>+W12*#REF!</f>
        <v>#REF!</v>
      </c>
      <c r="X26" s="6" t="e">
        <f>+X12*#REF!</f>
        <v>#REF!</v>
      </c>
      <c r="Y26" s="6" t="e">
        <f>+Y12*#REF!</f>
        <v>#REF!</v>
      </c>
      <c r="Z26" s="6" t="e">
        <f>+Z12*#REF!</f>
        <v>#REF!</v>
      </c>
      <c r="AA26" s="6" t="e">
        <f>+AA12*#REF!</f>
        <v>#REF!</v>
      </c>
      <c r="AB26" s="6" t="e">
        <f>+AB12*#REF!</f>
        <v>#REF!</v>
      </c>
      <c r="AC26" s="6" t="e">
        <f>+AC12*#REF!</f>
        <v>#REF!</v>
      </c>
      <c r="AD26" s="6" t="e">
        <f>+AD12*#REF!</f>
        <v>#REF!</v>
      </c>
      <c r="AE26" s="6" t="e">
        <f>+AE12*#REF!</f>
        <v>#REF!</v>
      </c>
      <c r="AF26" s="6" t="e">
        <f>+AF12*#REF!</f>
        <v>#REF!</v>
      </c>
      <c r="AG26" s="6" t="e">
        <f>+AG12*#REF!</f>
        <v>#REF!</v>
      </c>
      <c r="AH26" s="6" t="e">
        <f>+AH12*#REF!</f>
        <v>#REF!</v>
      </c>
      <c r="AI26" s="6" t="e">
        <f>+AI12*#REF!</f>
        <v>#REF!</v>
      </c>
      <c r="AJ26" s="6" t="e">
        <f>+AJ12*#REF!</f>
        <v>#REF!</v>
      </c>
      <c r="AK26" s="6" t="e">
        <f>+AK12*#REF!</f>
        <v>#REF!</v>
      </c>
      <c r="AL26" s="6" t="e">
        <f>+AL12*#REF!</f>
        <v>#REF!</v>
      </c>
      <c r="AM26" s="6" t="e">
        <f>+AM12*#REF!</f>
        <v>#REF!</v>
      </c>
    </row>
    <row r="27" spans="2:39" x14ac:dyDescent="0.25">
      <c r="B27" t="s">
        <v>60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8" t="e">
        <f>+O22*(#REF!+#REF!)</f>
        <v>#REF!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 t="e">
        <f>+AA22*#REF!</f>
        <v>#REF!</v>
      </c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 t="e">
        <f>+AM22*#REF!</f>
        <v>#REF!</v>
      </c>
    </row>
    <row r="28" spans="2:39" x14ac:dyDescent="0.25">
      <c r="B28" t="s">
        <v>66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8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2:39" x14ac:dyDescent="0.25">
      <c r="B29" t="s">
        <v>53</v>
      </c>
      <c r="C29" s="5">
        <v>8000</v>
      </c>
      <c r="O29" s="13"/>
    </row>
    <row r="30" spans="2:39" x14ac:dyDescent="0.25">
      <c r="B30" t="s">
        <v>57</v>
      </c>
      <c r="C30" s="6">
        <f>-C29</f>
        <v>-8000</v>
      </c>
      <c r="D30" s="6" t="e">
        <f>+D23-SUM(D25:D27)</f>
        <v>#REF!</v>
      </c>
      <c r="E30" s="6" t="e">
        <f t="shared" ref="E30:AM30" si="118">+E23-SUM(E25:E27)</f>
        <v>#REF!</v>
      </c>
      <c r="F30" s="6" t="e">
        <f t="shared" si="118"/>
        <v>#REF!</v>
      </c>
      <c r="G30" s="6" t="e">
        <f t="shared" si="118"/>
        <v>#REF!</v>
      </c>
      <c r="H30" s="6" t="e">
        <f t="shared" si="118"/>
        <v>#REF!</v>
      </c>
      <c r="I30" s="6" t="e">
        <f t="shared" si="118"/>
        <v>#REF!</v>
      </c>
      <c r="J30" s="6" t="e">
        <f t="shared" si="118"/>
        <v>#REF!</v>
      </c>
      <c r="K30" s="6" t="e">
        <f t="shared" si="118"/>
        <v>#REF!</v>
      </c>
      <c r="L30" s="6" t="e">
        <f t="shared" si="118"/>
        <v>#REF!</v>
      </c>
      <c r="M30" s="6" t="e">
        <f t="shared" si="118"/>
        <v>#REF!</v>
      </c>
      <c r="N30" s="6" t="e">
        <f t="shared" si="118"/>
        <v>#REF!</v>
      </c>
      <c r="O30" s="18" t="e">
        <f t="shared" si="118"/>
        <v>#REF!</v>
      </c>
      <c r="P30" s="6" t="e">
        <f t="shared" si="118"/>
        <v>#REF!</v>
      </c>
      <c r="Q30" s="6" t="e">
        <f t="shared" si="118"/>
        <v>#REF!</v>
      </c>
      <c r="R30" s="6" t="e">
        <f t="shared" si="118"/>
        <v>#REF!</v>
      </c>
      <c r="S30" s="6" t="e">
        <f t="shared" si="118"/>
        <v>#REF!</v>
      </c>
      <c r="T30" s="6" t="e">
        <f t="shared" si="118"/>
        <v>#REF!</v>
      </c>
      <c r="U30" s="6" t="e">
        <f t="shared" si="118"/>
        <v>#REF!</v>
      </c>
      <c r="V30" s="6" t="e">
        <f t="shared" si="118"/>
        <v>#REF!</v>
      </c>
      <c r="W30" s="6" t="e">
        <f t="shared" si="118"/>
        <v>#REF!</v>
      </c>
      <c r="X30" s="6" t="e">
        <f t="shared" si="118"/>
        <v>#REF!</v>
      </c>
      <c r="Y30" s="6" t="e">
        <f t="shared" si="118"/>
        <v>#REF!</v>
      </c>
      <c r="Z30" s="6" t="e">
        <f t="shared" si="118"/>
        <v>#REF!</v>
      </c>
      <c r="AA30" s="6" t="e">
        <f t="shared" si="118"/>
        <v>#REF!</v>
      </c>
      <c r="AB30" s="6" t="e">
        <f t="shared" si="118"/>
        <v>#REF!</v>
      </c>
      <c r="AC30" s="6" t="e">
        <f t="shared" si="118"/>
        <v>#REF!</v>
      </c>
      <c r="AD30" s="6" t="e">
        <f t="shared" si="118"/>
        <v>#REF!</v>
      </c>
      <c r="AE30" s="6" t="e">
        <f t="shared" si="118"/>
        <v>#REF!</v>
      </c>
      <c r="AF30" s="6" t="e">
        <f t="shared" si="118"/>
        <v>#REF!</v>
      </c>
      <c r="AG30" s="6" t="e">
        <f t="shared" si="118"/>
        <v>#REF!</v>
      </c>
      <c r="AH30" s="6" t="e">
        <f t="shared" si="118"/>
        <v>#REF!</v>
      </c>
      <c r="AI30" s="6" t="e">
        <f t="shared" si="118"/>
        <v>#REF!</v>
      </c>
      <c r="AJ30" s="6" t="e">
        <f t="shared" si="118"/>
        <v>#REF!</v>
      </c>
      <c r="AK30" s="6" t="e">
        <f t="shared" si="118"/>
        <v>#REF!</v>
      </c>
      <c r="AL30" s="6" t="e">
        <f t="shared" si="118"/>
        <v>#REF!</v>
      </c>
      <c r="AM30" s="6" t="e">
        <f t="shared" si="118"/>
        <v>#REF!</v>
      </c>
    </row>
    <row r="32" spans="2:39" x14ac:dyDescent="0.25">
      <c r="B32" t="s">
        <v>61</v>
      </c>
      <c r="C32" s="1">
        <v>0.2</v>
      </c>
    </row>
    <row r="33" spans="2:3" x14ac:dyDescent="0.25">
      <c r="B33" t="s">
        <v>62</v>
      </c>
      <c r="C33" s="11" t="e">
        <f>NPV(C32/12,D30:AM30)+C30</f>
        <v>#REF!</v>
      </c>
    </row>
    <row r="34" spans="2:3" x14ac:dyDescent="0.25">
      <c r="B34" t="s">
        <v>63</v>
      </c>
      <c r="C34" s="1" t="e">
        <f>IRR(C30:AM30)</f>
        <v>#VALUE!</v>
      </c>
    </row>
    <row r="37" spans="2:3" x14ac:dyDescent="0.25">
      <c r="B37" t="s">
        <v>64</v>
      </c>
    </row>
    <row r="38" spans="2:3" x14ac:dyDescent="0.25">
      <c r="B38" t="s">
        <v>65</v>
      </c>
    </row>
  </sheetData>
  <pageMargins left="0.7" right="0.7" top="0.75" bottom="0.75" header="0.3" footer="0.3"/>
  <pageSetup orientation="portrait" r:id="rId1"/>
  <ignoredErrors>
    <ignoredError sqref="P20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66"/>
  <sheetViews>
    <sheetView tabSelected="1" topLeftCell="A19" zoomScale="70" zoomScaleNormal="70" workbookViewId="0">
      <selection activeCell="C39" sqref="C39"/>
    </sheetView>
  </sheetViews>
  <sheetFormatPr baseColWidth="10" defaultRowHeight="15" x14ac:dyDescent="0.25"/>
  <cols>
    <col min="1" max="1" width="5.42578125" customWidth="1"/>
    <col min="2" max="2" width="34.42578125" bestFit="1" customWidth="1"/>
    <col min="3" max="3" width="17.7109375" customWidth="1"/>
    <col min="4" max="4" width="15.5703125" customWidth="1"/>
    <col min="5" max="5" width="15.85546875" customWidth="1"/>
    <col min="6" max="6" width="13.85546875" customWidth="1"/>
    <col min="7" max="7" width="15.42578125" customWidth="1"/>
    <col min="8" max="62" width="13.85546875" customWidth="1"/>
    <col min="63" max="63" width="16.28515625" customWidth="1"/>
  </cols>
  <sheetData>
    <row r="2" spans="2:63" x14ac:dyDescent="0.25">
      <c r="B2" t="s">
        <v>112</v>
      </c>
      <c r="C2" s="4">
        <f>1.75*(100/112)</f>
        <v>1.5625</v>
      </c>
    </row>
    <row r="3" spans="2:63" x14ac:dyDescent="0.25">
      <c r="B3" t="s">
        <v>113</v>
      </c>
      <c r="C3" s="2">
        <v>111428</v>
      </c>
    </row>
    <row r="4" spans="2:63" x14ac:dyDescent="0.25">
      <c r="B4" t="s">
        <v>158</v>
      </c>
      <c r="C4" s="1">
        <v>0.94</v>
      </c>
    </row>
    <row r="5" spans="2:63" x14ac:dyDescent="0.25">
      <c r="B5" t="s">
        <v>221</v>
      </c>
      <c r="C5">
        <v>55</v>
      </c>
    </row>
    <row r="6" spans="2:63" x14ac:dyDescent="0.25">
      <c r="B6" t="s">
        <v>222</v>
      </c>
      <c r="C6" s="73">
        <v>0.02</v>
      </c>
    </row>
    <row r="7" spans="2:63" x14ac:dyDescent="0.25">
      <c r="B7" t="s">
        <v>227</v>
      </c>
      <c r="C7" s="9">
        <v>0.6</v>
      </c>
    </row>
    <row r="8" spans="2:63" x14ac:dyDescent="0.25">
      <c r="B8" t="s">
        <v>230</v>
      </c>
      <c r="C8" s="4">
        <v>0.02</v>
      </c>
    </row>
    <row r="9" spans="2:63" x14ac:dyDescent="0.25">
      <c r="B9" t="s">
        <v>236</v>
      </c>
      <c r="C9" s="19">
        <v>0.4</v>
      </c>
      <c r="D9" s="19">
        <f>+C9/12</f>
        <v>3.3333333333333333E-2</v>
      </c>
      <c r="E9" s="1">
        <f>+D9+D9</f>
        <v>6.6666666666666666E-2</v>
      </c>
      <c r="F9" s="1">
        <f>+$D$9+E9</f>
        <v>0.1</v>
      </c>
      <c r="G9" s="1">
        <f t="shared" ref="G9:O9" si="0">+$D$9+F9</f>
        <v>0.13333333333333333</v>
      </c>
      <c r="H9" s="1">
        <f t="shared" si="0"/>
        <v>0.16666666666666666</v>
      </c>
      <c r="I9" s="1">
        <f t="shared" si="0"/>
        <v>0.19999999999999998</v>
      </c>
      <c r="J9" s="1">
        <f t="shared" si="0"/>
        <v>0.23333333333333331</v>
      </c>
      <c r="K9" s="1">
        <f t="shared" si="0"/>
        <v>0.26666666666666666</v>
      </c>
      <c r="L9" s="1">
        <f t="shared" si="0"/>
        <v>0.3</v>
      </c>
      <c r="M9" s="1">
        <f t="shared" si="0"/>
        <v>0.33333333333333331</v>
      </c>
      <c r="N9" s="1">
        <f t="shared" si="0"/>
        <v>0.36666666666666664</v>
      </c>
      <c r="O9" s="1">
        <f t="shared" si="0"/>
        <v>0.39999999999999997</v>
      </c>
    </row>
    <row r="10" spans="2:63" x14ac:dyDescent="0.25">
      <c r="B10" t="s">
        <v>235</v>
      </c>
      <c r="C10" s="1">
        <v>0.5</v>
      </c>
      <c r="D10" s="19">
        <f>C10/12</f>
        <v>4.1666666666666664E-2</v>
      </c>
      <c r="E10" s="1">
        <f>+D10+D10</f>
        <v>8.3333333333333329E-2</v>
      </c>
      <c r="F10" s="1">
        <f>+E10+$D$10</f>
        <v>0.125</v>
      </c>
      <c r="G10" s="1">
        <f>+F10+$D$10</f>
        <v>0.16666666666666666</v>
      </c>
      <c r="H10" s="1">
        <f t="shared" ref="H10:O10" si="1">+G10+$D$10</f>
        <v>0.20833333333333331</v>
      </c>
      <c r="I10" s="1">
        <f t="shared" si="1"/>
        <v>0.24999999999999997</v>
      </c>
      <c r="J10" s="1">
        <f t="shared" si="1"/>
        <v>0.29166666666666663</v>
      </c>
      <c r="K10" s="1">
        <f t="shared" si="1"/>
        <v>0.33333333333333331</v>
      </c>
      <c r="L10" s="1">
        <f t="shared" si="1"/>
        <v>0.375</v>
      </c>
      <c r="M10" s="1">
        <f t="shared" si="1"/>
        <v>0.41666666666666669</v>
      </c>
      <c r="N10" s="1">
        <f t="shared" si="1"/>
        <v>0.45833333333333337</v>
      </c>
      <c r="O10" s="1">
        <f t="shared" si="1"/>
        <v>0.5</v>
      </c>
    </row>
    <row r="15" spans="2:63" x14ac:dyDescent="0.25">
      <c r="C15" s="76" t="s">
        <v>159</v>
      </c>
      <c r="D15" s="76" t="s">
        <v>160</v>
      </c>
      <c r="E15" s="76" t="s">
        <v>161</v>
      </c>
      <c r="F15" s="76" t="s">
        <v>162</v>
      </c>
      <c r="G15" s="76" t="s">
        <v>163</v>
      </c>
      <c r="H15" s="76" t="s">
        <v>164</v>
      </c>
      <c r="I15" s="76" t="s">
        <v>165</v>
      </c>
      <c r="J15" s="76" t="s">
        <v>166</v>
      </c>
      <c r="K15" s="76" t="s">
        <v>167</v>
      </c>
      <c r="L15" s="76" t="s">
        <v>168</v>
      </c>
      <c r="M15" s="76" t="s">
        <v>169</v>
      </c>
      <c r="N15" s="76" t="s">
        <v>170</v>
      </c>
      <c r="O15" s="76" t="s">
        <v>171</v>
      </c>
      <c r="P15" s="76" t="s">
        <v>172</v>
      </c>
      <c r="Q15" s="76" t="s">
        <v>173</v>
      </c>
      <c r="R15" s="76" t="s">
        <v>174</v>
      </c>
      <c r="S15" s="76" t="s">
        <v>175</v>
      </c>
      <c r="T15" s="76" t="s">
        <v>176</v>
      </c>
      <c r="U15" s="76" t="s">
        <v>177</v>
      </c>
      <c r="V15" s="76" t="s">
        <v>178</v>
      </c>
      <c r="W15" s="76" t="s">
        <v>179</v>
      </c>
      <c r="X15" s="76" t="s">
        <v>180</v>
      </c>
      <c r="Y15" s="76" t="s">
        <v>181</v>
      </c>
      <c r="Z15" s="76" t="s">
        <v>182</v>
      </c>
      <c r="AA15" s="76" t="s">
        <v>183</v>
      </c>
      <c r="AB15" s="76" t="s">
        <v>184</v>
      </c>
      <c r="AC15" s="76" t="s">
        <v>185</v>
      </c>
      <c r="AD15" s="76" t="s">
        <v>186</v>
      </c>
      <c r="AE15" s="76" t="s">
        <v>187</v>
      </c>
      <c r="AF15" s="76" t="s">
        <v>188</v>
      </c>
      <c r="AG15" s="76" t="s">
        <v>189</v>
      </c>
      <c r="AH15" s="76" t="s">
        <v>190</v>
      </c>
      <c r="AI15" s="76" t="s">
        <v>191</v>
      </c>
      <c r="AJ15" s="76" t="s">
        <v>192</v>
      </c>
      <c r="AK15" s="76" t="s">
        <v>193</v>
      </c>
      <c r="AL15" s="76" t="s">
        <v>194</v>
      </c>
      <c r="AM15" s="76" t="s">
        <v>195</v>
      </c>
      <c r="AN15" s="76" t="s">
        <v>196</v>
      </c>
      <c r="AO15" s="76" t="s">
        <v>197</v>
      </c>
      <c r="AP15" s="76" t="s">
        <v>198</v>
      </c>
      <c r="AQ15" s="76" t="s">
        <v>199</v>
      </c>
      <c r="AR15" s="76" t="s">
        <v>200</v>
      </c>
      <c r="AS15" s="76" t="s">
        <v>201</v>
      </c>
      <c r="AT15" s="76" t="s">
        <v>202</v>
      </c>
      <c r="AU15" s="76" t="s">
        <v>203</v>
      </c>
      <c r="AV15" s="76" t="s">
        <v>204</v>
      </c>
      <c r="AW15" s="76" t="s">
        <v>205</v>
      </c>
      <c r="AX15" s="76" t="s">
        <v>206</v>
      </c>
      <c r="AY15" s="76" t="s">
        <v>207</v>
      </c>
      <c r="AZ15" s="76" t="s">
        <v>208</v>
      </c>
      <c r="BA15" s="76" t="s">
        <v>209</v>
      </c>
      <c r="BB15" s="76" t="s">
        <v>210</v>
      </c>
      <c r="BC15" s="76" t="s">
        <v>211</v>
      </c>
      <c r="BD15" s="76" t="s">
        <v>212</v>
      </c>
      <c r="BE15" s="76" t="s">
        <v>213</v>
      </c>
      <c r="BF15" s="76" t="s">
        <v>214</v>
      </c>
      <c r="BG15" s="76" t="s">
        <v>215</v>
      </c>
      <c r="BH15" s="76" t="s">
        <v>216</v>
      </c>
      <c r="BI15" s="76" t="s">
        <v>217</v>
      </c>
      <c r="BJ15" s="76" t="s">
        <v>218</v>
      </c>
      <c r="BK15" s="76" t="s">
        <v>219</v>
      </c>
    </row>
    <row r="17" spans="2:63" x14ac:dyDescent="0.25">
      <c r="B17" t="s">
        <v>113</v>
      </c>
      <c r="D17" s="3">
        <f>+C3</f>
        <v>111428</v>
      </c>
      <c r="E17" s="74">
        <f>+D17+D18+D19</f>
        <v>113428</v>
      </c>
      <c r="F17" s="74">
        <f t="shared" ref="F17:BK17" si="2">+E17+E18+E19</f>
        <v>115428</v>
      </c>
      <c r="G17" s="74">
        <f t="shared" si="2"/>
        <v>117428</v>
      </c>
      <c r="H17" s="74">
        <f t="shared" si="2"/>
        <v>119428</v>
      </c>
      <c r="I17" s="74">
        <f t="shared" si="2"/>
        <v>121428</v>
      </c>
      <c r="J17" s="74">
        <f t="shared" si="2"/>
        <v>123428</v>
      </c>
      <c r="K17" s="74">
        <f t="shared" si="2"/>
        <v>125428</v>
      </c>
      <c r="L17" s="74">
        <f t="shared" si="2"/>
        <v>127428</v>
      </c>
      <c r="M17" s="74">
        <f t="shared" si="2"/>
        <v>129428</v>
      </c>
      <c r="N17" s="74">
        <f t="shared" si="2"/>
        <v>131428</v>
      </c>
      <c r="O17" s="74">
        <f t="shared" si="2"/>
        <v>133428</v>
      </c>
      <c r="P17" s="74">
        <f t="shared" si="2"/>
        <v>135428</v>
      </c>
      <c r="Q17" s="74">
        <f t="shared" si="2"/>
        <v>137428</v>
      </c>
      <c r="R17" s="74">
        <f t="shared" si="2"/>
        <v>139428</v>
      </c>
      <c r="S17" s="74">
        <f t="shared" si="2"/>
        <v>141428</v>
      </c>
      <c r="T17" s="74">
        <f t="shared" si="2"/>
        <v>143428</v>
      </c>
      <c r="U17" s="74">
        <f t="shared" si="2"/>
        <v>145428</v>
      </c>
      <c r="V17" s="74">
        <f t="shared" si="2"/>
        <v>147428</v>
      </c>
      <c r="W17" s="74">
        <f t="shared" si="2"/>
        <v>149428</v>
      </c>
      <c r="X17" s="74">
        <f t="shared" si="2"/>
        <v>151428</v>
      </c>
      <c r="Y17" s="74">
        <f t="shared" si="2"/>
        <v>153428</v>
      </c>
      <c r="Z17" s="74">
        <f t="shared" si="2"/>
        <v>155428</v>
      </c>
      <c r="AA17" s="74">
        <f t="shared" si="2"/>
        <v>157428</v>
      </c>
      <c r="AB17" s="74">
        <f t="shared" si="2"/>
        <v>159428</v>
      </c>
      <c r="AC17" s="74">
        <f t="shared" si="2"/>
        <v>161428</v>
      </c>
      <c r="AD17" s="74">
        <f t="shared" si="2"/>
        <v>163428</v>
      </c>
      <c r="AE17" s="74">
        <f t="shared" si="2"/>
        <v>165428</v>
      </c>
      <c r="AF17" s="74">
        <f t="shared" si="2"/>
        <v>167428</v>
      </c>
      <c r="AG17" s="74">
        <f t="shared" si="2"/>
        <v>169428</v>
      </c>
      <c r="AH17" s="74">
        <f t="shared" si="2"/>
        <v>171428</v>
      </c>
      <c r="AI17" s="74">
        <f t="shared" si="2"/>
        <v>173428</v>
      </c>
      <c r="AJ17" s="74">
        <f t="shared" si="2"/>
        <v>175428</v>
      </c>
      <c r="AK17" s="74">
        <f t="shared" si="2"/>
        <v>177428</v>
      </c>
      <c r="AL17" s="74">
        <f t="shared" si="2"/>
        <v>179428</v>
      </c>
      <c r="AM17" s="74">
        <f t="shared" si="2"/>
        <v>181428</v>
      </c>
      <c r="AN17" s="74">
        <f t="shared" si="2"/>
        <v>183428</v>
      </c>
      <c r="AO17" s="74">
        <f t="shared" si="2"/>
        <v>185428</v>
      </c>
      <c r="AP17" s="74">
        <f t="shared" si="2"/>
        <v>187428</v>
      </c>
      <c r="AQ17" s="74">
        <f t="shared" si="2"/>
        <v>189428</v>
      </c>
      <c r="AR17" s="74">
        <f t="shared" si="2"/>
        <v>191428</v>
      </c>
      <c r="AS17" s="74">
        <f t="shared" si="2"/>
        <v>193428</v>
      </c>
      <c r="AT17" s="74">
        <f t="shared" si="2"/>
        <v>195428</v>
      </c>
      <c r="AU17" s="74">
        <f t="shared" si="2"/>
        <v>197428</v>
      </c>
      <c r="AV17" s="74">
        <f t="shared" si="2"/>
        <v>199428</v>
      </c>
      <c r="AW17" s="74">
        <f t="shared" si="2"/>
        <v>201428</v>
      </c>
      <c r="AX17" s="74">
        <f t="shared" si="2"/>
        <v>203428</v>
      </c>
      <c r="AY17" s="74">
        <f t="shared" si="2"/>
        <v>205428</v>
      </c>
      <c r="AZ17" s="74">
        <f t="shared" si="2"/>
        <v>207428</v>
      </c>
      <c r="BA17" s="74">
        <f t="shared" si="2"/>
        <v>209428</v>
      </c>
      <c r="BB17" s="74">
        <f t="shared" si="2"/>
        <v>211428</v>
      </c>
      <c r="BC17" s="74">
        <f t="shared" si="2"/>
        <v>213428</v>
      </c>
      <c r="BD17" s="74">
        <f t="shared" si="2"/>
        <v>215428</v>
      </c>
      <c r="BE17" s="74">
        <f t="shared" si="2"/>
        <v>217428</v>
      </c>
      <c r="BF17" s="74">
        <f t="shared" si="2"/>
        <v>219428</v>
      </c>
      <c r="BG17" s="74">
        <f t="shared" si="2"/>
        <v>221428</v>
      </c>
      <c r="BH17" s="74">
        <f t="shared" si="2"/>
        <v>223428</v>
      </c>
      <c r="BI17" s="74">
        <f t="shared" si="2"/>
        <v>225428</v>
      </c>
      <c r="BJ17" s="74">
        <f t="shared" si="2"/>
        <v>227428</v>
      </c>
      <c r="BK17" s="74">
        <f t="shared" si="2"/>
        <v>229428</v>
      </c>
    </row>
    <row r="18" spans="2:63" x14ac:dyDescent="0.25">
      <c r="B18" t="s">
        <v>223</v>
      </c>
      <c r="D18" s="74">
        <v>2000</v>
      </c>
      <c r="E18" s="74">
        <f>+D18</f>
        <v>2000</v>
      </c>
      <c r="F18" s="74">
        <f t="shared" ref="F18:BK18" si="3">+E18</f>
        <v>2000</v>
      </c>
      <c r="G18" s="74">
        <f t="shared" si="3"/>
        <v>2000</v>
      </c>
      <c r="H18" s="74">
        <f t="shared" si="3"/>
        <v>2000</v>
      </c>
      <c r="I18" s="74">
        <f t="shared" si="3"/>
        <v>2000</v>
      </c>
      <c r="J18" s="74">
        <f t="shared" si="3"/>
        <v>2000</v>
      </c>
      <c r="K18" s="74">
        <f t="shared" si="3"/>
        <v>2000</v>
      </c>
      <c r="L18" s="74">
        <f t="shared" si="3"/>
        <v>2000</v>
      </c>
      <c r="M18" s="74">
        <f t="shared" si="3"/>
        <v>2000</v>
      </c>
      <c r="N18" s="74">
        <f t="shared" si="3"/>
        <v>2000</v>
      </c>
      <c r="O18" s="74">
        <f t="shared" si="3"/>
        <v>2000</v>
      </c>
      <c r="P18" s="74">
        <f t="shared" si="3"/>
        <v>2000</v>
      </c>
      <c r="Q18" s="74">
        <f t="shared" si="3"/>
        <v>2000</v>
      </c>
      <c r="R18" s="74">
        <f t="shared" si="3"/>
        <v>2000</v>
      </c>
      <c r="S18" s="74">
        <f t="shared" si="3"/>
        <v>2000</v>
      </c>
      <c r="T18" s="74">
        <f t="shared" si="3"/>
        <v>2000</v>
      </c>
      <c r="U18" s="74">
        <f t="shared" si="3"/>
        <v>2000</v>
      </c>
      <c r="V18" s="74">
        <f t="shared" si="3"/>
        <v>2000</v>
      </c>
      <c r="W18" s="74">
        <f t="shared" si="3"/>
        <v>2000</v>
      </c>
      <c r="X18" s="74">
        <f t="shared" si="3"/>
        <v>2000</v>
      </c>
      <c r="Y18" s="74">
        <f t="shared" si="3"/>
        <v>2000</v>
      </c>
      <c r="Z18" s="74">
        <f t="shared" si="3"/>
        <v>2000</v>
      </c>
      <c r="AA18" s="74">
        <f t="shared" si="3"/>
        <v>2000</v>
      </c>
      <c r="AB18" s="74">
        <f t="shared" si="3"/>
        <v>2000</v>
      </c>
      <c r="AC18" s="74">
        <f t="shared" si="3"/>
        <v>2000</v>
      </c>
      <c r="AD18" s="74">
        <f t="shared" si="3"/>
        <v>2000</v>
      </c>
      <c r="AE18" s="74">
        <f t="shared" si="3"/>
        <v>2000</v>
      </c>
      <c r="AF18" s="74">
        <f t="shared" si="3"/>
        <v>2000</v>
      </c>
      <c r="AG18" s="74">
        <f t="shared" si="3"/>
        <v>2000</v>
      </c>
      <c r="AH18" s="74">
        <f t="shared" si="3"/>
        <v>2000</v>
      </c>
      <c r="AI18" s="74">
        <f t="shared" si="3"/>
        <v>2000</v>
      </c>
      <c r="AJ18" s="74">
        <f t="shared" si="3"/>
        <v>2000</v>
      </c>
      <c r="AK18" s="74">
        <f t="shared" si="3"/>
        <v>2000</v>
      </c>
      <c r="AL18" s="74">
        <f t="shared" si="3"/>
        <v>2000</v>
      </c>
      <c r="AM18" s="74">
        <f t="shared" si="3"/>
        <v>2000</v>
      </c>
      <c r="AN18" s="74">
        <f t="shared" si="3"/>
        <v>2000</v>
      </c>
      <c r="AO18" s="74">
        <f t="shared" si="3"/>
        <v>2000</v>
      </c>
      <c r="AP18" s="74">
        <f t="shared" si="3"/>
        <v>2000</v>
      </c>
      <c r="AQ18" s="74">
        <f t="shared" si="3"/>
        <v>2000</v>
      </c>
      <c r="AR18" s="74">
        <f t="shared" si="3"/>
        <v>2000</v>
      </c>
      <c r="AS18" s="74">
        <f t="shared" si="3"/>
        <v>2000</v>
      </c>
      <c r="AT18" s="74">
        <f t="shared" si="3"/>
        <v>2000</v>
      </c>
      <c r="AU18" s="74">
        <f t="shared" si="3"/>
        <v>2000</v>
      </c>
      <c r="AV18" s="74">
        <f t="shared" si="3"/>
        <v>2000</v>
      </c>
      <c r="AW18" s="74">
        <f t="shared" si="3"/>
        <v>2000</v>
      </c>
      <c r="AX18" s="74">
        <f t="shared" si="3"/>
        <v>2000</v>
      </c>
      <c r="AY18" s="74">
        <f t="shared" si="3"/>
        <v>2000</v>
      </c>
      <c r="AZ18" s="74">
        <f t="shared" si="3"/>
        <v>2000</v>
      </c>
      <c r="BA18" s="74">
        <f t="shared" si="3"/>
        <v>2000</v>
      </c>
      <c r="BB18" s="74">
        <f t="shared" si="3"/>
        <v>2000</v>
      </c>
      <c r="BC18" s="74">
        <f t="shared" si="3"/>
        <v>2000</v>
      </c>
      <c r="BD18" s="74">
        <f t="shared" si="3"/>
        <v>2000</v>
      </c>
      <c r="BE18" s="74">
        <f t="shared" si="3"/>
        <v>2000</v>
      </c>
      <c r="BF18" s="74">
        <f t="shared" si="3"/>
        <v>2000</v>
      </c>
      <c r="BG18" s="74">
        <f t="shared" si="3"/>
        <v>2000</v>
      </c>
      <c r="BH18" s="74">
        <f t="shared" si="3"/>
        <v>2000</v>
      </c>
      <c r="BI18" s="74">
        <f t="shared" si="3"/>
        <v>2000</v>
      </c>
      <c r="BJ18" s="74">
        <f t="shared" si="3"/>
        <v>2000</v>
      </c>
      <c r="BK18" s="74">
        <f t="shared" si="3"/>
        <v>2000</v>
      </c>
    </row>
    <row r="19" spans="2:63" x14ac:dyDescent="0.25">
      <c r="B19" t="s">
        <v>224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2" spans="2:63" x14ac:dyDescent="0.25">
      <c r="B22" s="12" t="s">
        <v>229</v>
      </c>
      <c r="D22" s="3">
        <f>+D25</f>
        <v>9805664</v>
      </c>
      <c r="E22" s="3">
        <f t="shared" ref="E22:BK22" si="4">+E25</f>
        <v>9981664</v>
      </c>
      <c r="F22" s="3">
        <f t="shared" si="4"/>
        <v>10157664</v>
      </c>
      <c r="G22" s="3">
        <f t="shared" si="4"/>
        <v>10333664</v>
      </c>
      <c r="H22" s="3">
        <f t="shared" si="4"/>
        <v>10509664</v>
      </c>
      <c r="I22" s="3">
        <f t="shared" si="4"/>
        <v>10685664</v>
      </c>
      <c r="J22" s="3">
        <f t="shared" si="4"/>
        <v>10861664</v>
      </c>
      <c r="K22" s="3">
        <f t="shared" si="4"/>
        <v>11037664</v>
      </c>
      <c r="L22" s="3">
        <f t="shared" si="4"/>
        <v>11213664</v>
      </c>
      <c r="M22" s="3">
        <f t="shared" si="4"/>
        <v>11389664</v>
      </c>
      <c r="N22" s="3">
        <f t="shared" si="4"/>
        <v>11565664</v>
      </c>
      <c r="O22" s="3">
        <f t="shared" si="4"/>
        <v>11741664</v>
      </c>
      <c r="P22" s="3">
        <f t="shared" si="4"/>
        <v>11917664</v>
      </c>
      <c r="Q22" s="3">
        <f t="shared" si="4"/>
        <v>12093664</v>
      </c>
      <c r="R22" s="3">
        <f t="shared" si="4"/>
        <v>12269664</v>
      </c>
      <c r="S22" s="3">
        <f t="shared" si="4"/>
        <v>12445664</v>
      </c>
      <c r="T22" s="3">
        <f t="shared" si="4"/>
        <v>12621664</v>
      </c>
      <c r="U22" s="3">
        <f t="shared" si="4"/>
        <v>12797664</v>
      </c>
      <c r="V22" s="3">
        <f t="shared" si="4"/>
        <v>12973664</v>
      </c>
      <c r="W22" s="3">
        <f t="shared" si="4"/>
        <v>13149664</v>
      </c>
      <c r="X22" s="3">
        <f t="shared" si="4"/>
        <v>13325664</v>
      </c>
      <c r="Y22" s="3">
        <f t="shared" si="4"/>
        <v>13501664</v>
      </c>
      <c r="Z22" s="3">
        <f t="shared" si="4"/>
        <v>13677664</v>
      </c>
      <c r="AA22" s="3">
        <f t="shared" si="4"/>
        <v>13853664</v>
      </c>
      <c r="AB22" s="3">
        <f t="shared" si="4"/>
        <v>14029664</v>
      </c>
      <c r="AC22" s="3">
        <f t="shared" si="4"/>
        <v>14205664</v>
      </c>
      <c r="AD22" s="3">
        <f t="shared" si="4"/>
        <v>14381664</v>
      </c>
      <c r="AE22" s="3">
        <f t="shared" si="4"/>
        <v>14557664</v>
      </c>
      <c r="AF22" s="3">
        <f t="shared" si="4"/>
        <v>14733664</v>
      </c>
      <c r="AG22" s="3">
        <f t="shared" si="4"/>
        <v>14909664</v>
      </c>
      <c r="AH22" s="3">
        <f t="shared" si="4"/>
        <v>15085664</v>
      </c>
      <c r="AI22" s="3">
        <f t="shared" si="4"/>
        <v>15261664</v>
      </c>
      <c r="AJ22" s="3">
        <f t="shared" si="4"/>
        <v>15437664</v>
      </c>
      <c r="AK22" s="3">
        <f t="shared" si="4"/>
        <v>15613664</v>
      </c>
      <c r="AL22" s="3">
        <f t="shared" si="4"/>
        <v>15789664</v>
      </c>
      <c r="AM22" s="3">
        <f t="shared" si="4"/>
        <v>15965664</v>
      </c>
      <c r="AN22" s="3">
        <f t="shared" si="4"/>
        <v>16141664</v>
      </c>
      <c r="AO22" s="3">
        <f t="shared" si="4"/>
        <v>16317664</v>
      </c>
      <c r="AP22" s="3">
        <f t="shared" si="4"/>
        <v>16493664</v>
      </c>
      <c r="AQ22" s="3">
        <f t="shared" si="4"/>
        <v>16669664</v>
      </c>
      <c r="AR22" s="3">
        <f t="shared" si="4"/>
        <v>16845664</v>
      </c>
      <c r="AS22" s="3">
        <f t="shared" si="4"/>
        <v>17021664</v>
      </c>
      <c r="AT22" s="3">
        <f t="shared" si="4"/>
        <v>17197664</v>
      </c>
      <c r="AU22" s="3">
        <f t="shared" si="4"/>
        <v>17373664</v>
      </c>
      <c r="AV22" s="3">
        <f t="shared" si="4"/>
        <v>17549664</v>
      </c>
      <c r="AW22" s="3">
        <f t="shared" si="4"/>
        <v>17725664</v>
      </c>
      <c r="AX22" s="3">
        <f t="shared" si="4"/>
        <v>17901664</v>
      </c>
      <c r="AY22" s="3">
        <f t="shared" si="4"/>
        <v>18077664</v>
      </c>
      <c r="AZ22" s="3">
        <f t="shared" si="4"/>
        <v>18253664</v>
      </c>
      <c r="BA22" s="3">
        <f t="shared" si="4"/>
        <v>18429664</v>
      </c>
      <c r="BB22" s="3">
        <f t="shared" si="4"/>
        <v>18605664</v>
      </c>
      <c r="BC22" s="3">
        <f t="shared" si="4"/>
        <v>18781664</v>
      </c>
      <c r="BD22" s="3">
        <f t="shared" si="4"/>
        <v>18957664</v>
      </c>
      <c r="BE22" s="3">
        <f t="shared" si="4"/>
        <v>19133664</v>
      </c>
      <c r="BF22" s="3">
        <f t="shared" si="4"/>
        <v>19309664</v>
      </c>
      <c r="BG22" s="3">
        <f t="shared" si="4"/>
        <v>19485664</v>
      </c>
      <c r="BH22" s="3">
        <f t="shared" si="4"/>
        <v>19661664</v>
      </c>
      <c r="BI22" s="3">
        <f t="shared" si="4"/>
        <v>19837664</v>
      </c>
      <c r="BJ22" s="3">
        <f t="shared" si="4"/>
        <v>20013664</v>
      </c>
      <c r="BK22" s="3">
        <f t="shared" si="4"/>
        <v>20189664</v>
      </c>
    </row>
    <row r="23" spans="2:63" x14ac:dyDescent="0.25">
      <c r="B23" t="s">
        <v>225</v>
      </c>
      <c r="D23" s="2">
        <f>+D17*$C$5</f>
        <v>6128540</v>
      </c>
      <c r="E23" s="2">
        <f t="shared" ref="E23:BK23" si="5">+E17*$C$5</f>
        <v>6238540</v>
      </c>
      <c r="F23" s="2">
        <f t="shared" si="5"/>
        <v>6348540</v>
      </c>
      <c r="G23" s="2">
        <f t="shared" si="5"/>
        <v>6458540</v>
      </c>
      <c r="H23" s="2">
        <f t="shared" si="5"/>
        <v>6568540</v>
      </c>
      <c r="I23" s="2">
        <f t="shared" si="5"/>
        <v>6678540</v>
      </c>
      <c r="J23" s="2">
        <f t="shared" si="5"/>
        <v>6788540</v>
      </c>
      <c r="K23" s="2">
        <f t="shared" si="5"/>
        <v>6898540</v>
      </c>
      <c r="L23" s="2">
        <f t="shared" si="5"/>
        <v>7008540</v>
      </c>
      <c r="M23" s="2">
        <f t="shared" si="5"/>
        <v>7118540</v>
      </c>
      <c r="N23" s="2">
        <f t="shared" si="5"/>
        <v>7228540</v>
      </c>
      <c r="O23" s="2">
        <f t="shared" si="5"/>
        <v>7338540</v>
      </c>
      <c r="P23" s="2">
        <f t="shared" si="5"/>
        <v>7448540</v>
      </c>
      <c r="Q23" s="2">
        <f t="shared" si="5"/>
        <v>7558540</v>
      </c>
      <c r="R23" s="2">
        <f t="shared" si="5"/>
        <v>7668540</v>
      </c>
      <c r="S23" s="2">
        <f t="shared" si="5"/>
        <v>7778540</v>
      </c>
      <c r="T23" s="2">
        <f t="shared" si="5"/>
        <v>7888540</v>
      </c>
      <c r="U23" s="2">
        <f t="shared" si="5"/>
        <v>7998540</v>
      </c>
      <c r="V23" s="2">
        <f t="shared" si="5"/>
        <v>8108540</v>
      </c>
      <c r="W23" s="2">
        <f t="shared" si="5"/>
        <v>8218540</v>
      </c>
      <c r="X23" s="2">
        <f t="shared" si="5"/>
        <v>8328540</v>
      </c>
      <c r="Y23" s="2">
        <f t="shared" si="5"/>
        <v>8438540</v>
      </c>
      <c r="Z23" s="2">
        <f t="shared" si="5"/>
        <v>8548540</v>
      </c>
      <c r="AA23" s="2">
        <f t="shared" si="5"/>
        <v>8658540</v>
      </c>
      <c r="AB23" s="2">
        <f t="shared" si="5"/>
        <v>8768540</v>
      </c>
      <c r="AC23" s="2">
        <f t="shared" si="5"/>
        <v>8878540</v>
      </c>
      <c r="AD23" s="2">
        <f t="shared" si="5"/>
        <v>8988540</v>
      </c>
      <c r="AE23" s="2">
        <f t="shared" si="5"/>
        <v>9098540</v>
      </c>
      <c r="AF23" s="2">
        <f t="shared" si="5"/>
        <v>9208540</v>
      </c>
      <c r="AG23" s="2">
        <f t="shared" si="5"/>
        <v>9318540</v>
      </c>
      <c r="AH23" s="2">
        <f t="shared" si="5"/>
        <v>9428540</v>
      </c>
      <c r="AI23" s="2">
        <f t="shared" si="5"/>
        <v>9538540</v>
      </c>
      <c r="AJ23" s="2">
        <f t="shared" si="5"/>
        <v>9648540</v>
      </c>
      <c r="AK23" s="2">
        <f t="shared" si="5"/>
        <v>9758540</v>
      </c>
      <c r="AL23" s="2">
        <f t="shared" si="5"/>
        <v>9868540</v>
      </c>
      <c r="AM23" s="2">
        <f t="shared" si="5"/>
        <v>9978540</v>
      </c>
      <c r="AN23" s="2">
        <f t="shared" si="5"/>
        <v>10088540</v>
      </c>
      <c r="AO23" s="2">
        <f t="shared" si="5"/>
        <v>10198540</v>
      </c>
      <c r="AP23" s="2">
        <f t="shared" si="5"/>
        <v>10308540</v>
      </c>
      <c r="AQ23" s="2">
        <f t="shared" si="5"/>
        <v>10418540</v>
      </c>
      <c r="AR23" s="2">
        <f t="shared" si="5"/>
        <v>10528540</v>
      </c>
      <c r="AS23" s="2">
        <f t="shared" si="5"/>
        <v>10638540</v>
      </c>
      <c r="AT23" s="2">
        <f t="shared" si="5"/>
        <v>10748540</v>
      </c>
      <c r="AU23" s="2">
        <f t="shared" si="5"/>
        <v>10858540</v>
      </c>
      <c r="AV23" s="2">
        <f t="shared" si="5"/>
        <v>10968540</v>
      </c>
      <c r="AW23" s="2">
        <f t="shared" si="5"/>
        <v>11078540</v>
      </c>
      <c r="AX23" s="2">
        <f t="shared" si="5"/>
        <v>11188540</v>
      </c>
      <c r="AY23" s="2">
        <f t="shared" si="5"/>
        <v>11298540</v>
      </c>
      <c r="AZ23" s="2">
        <f t="shared" si="5"/>
        <v>11408540</v>
      </c>
      <c r="BA23" s="2">
        <f t="shared" si="5"/>
        <v>11518540</v>
      </c>
      <c r="BB23" s="2">
        <f t="shared" si="5"/>
        <v>11628540</v>
      </c>
      <c r="BC23" s="2">
        <f t="shared" si="5"/>
        <v>11738540</v>
      </c>
      <c r="BD23" s="2">
        <f t="shared" si="5"/>
        <v>11848540</v>
      </c>
      <c r="BE23" s="2">
        <f t="shared" si="5"/>
        <v>11958540</v>
      </c>
      <c r="BF23" s="2">
        <f t="shared" si="5"/>
        <v>12068540</v>
      </c>
      <c r="BG23" s="2">
        <f t="shared" si="5"/>
        <v>12178540</v>
      </c>
      <c r="BH23" s="2">
        <f t="shared" si="5"/>
        <v>12288540</v>
      </c>
      <c r="BI23" s="2">
        <f t="shared" si="5"/>
        <v>12398540</v>
      </c>
      <c r="BJ23" s="2">
        <f t="shared" si="5"/>
        <v>12508540</v>
      </c>
      <c r="BK23" s="2">
        <f t="shared" si="5"/>
        <v>12618540</v>
      </c>
    </row>
    <row r="24" spans="2:63" x14ac:dyDescent="0.25">
      <c r="B24" t="s">
        <v>226</v>
      </c>
      <c r="D24" s="2">
        <f>ROUND(D23*$C$7,0)</f>
        <v>3677124</v>
      </c>
      <c r="E24" s="2">
        <f t="shared" ref="E24:BK24" si="6">ROUND(E23*$C$7,0)</f>
        <v>3743124</v>
      </c>
      <c r="F24" s="2">
        <f t="shared" si="6"/>
        <v>3809124</v>
      </c>
      <c r="G24" s="2">
        <f t="shared" si="6"/>
        <v>3875124</v>
      </c>
      <c r="H24" s="2">
        <f t="shared" si="6"/>
        <v>3941124</v>
      </c>
      <c r="I24" s="2">
        <f t="shared" si="6"/>
        <v>4007124</v>
      </c>
      <c r="J24" s="2">
        <f t="shared" si="6"/>
        <v>4073124</v>
      </c>
      <c r="K24" s="2">
        <f t="shared" si="6"/>
        <v>4139124</v>
      </c>
      <c r="L24" s="2">
        <f t="shared" si="6"/>
        <v>4205124</v>
      </c>
      <c r="M24" s="2">
        <f t="shared" si="6"/>
        <v>4271124</v>
      </c>
      <c r="N24" s="2">
        <f t="shared" si="6"/>
        <v>4337124</v>
      </c>
      <c r="O24" s="2">
        <f t="shared" si="6"/>
        <v>4403124</v>
      </c>
      <c r="P24" s="2">
        <f t="shared" si="6"/>
        <v>4469124</v>
      </c>
      <c r="Q24" s="2">
        <f t="shared" si="6"/>
        <v>4535124</v>
      </c>
      <c r="R24" s="2">
        <f t="shared" si="6"/>
        <v>4601124</v>
      </c>
      <c r="S24" s="2">
        <f t="shared" si="6"/>
        <v>4667124</v>
      </c>
      <c r="T24" s="2">
        <f t="shared" si="6"/>
        <v>4733124</v>
      </c>
      <c r="U24" s="2">
        <f t="shared" si="6"/>
        <v>4799124</v>
      </c>
      <c r="V24" s="2">
        <f t="shared" si="6"/>
        <v>4865124</v>
      </c>
      <c r="W24" s="2">
        <f t="shared" si="6"/>
        <v>4931124</v>
      </c>
      <c r="X24" s="2">
        <f t="shared" si="6"/>
        <v>4997124</v>
      </c>
      <c r="Y24" s="2">
        <f t="shared" si="6"/>
        <v>5063124</v>
      </c>
      <c r="Z24" s="2">
        <f t="shared" si="6"/>
        <v>5129124</v>
      </c>
      <c r="AA24" s="2">
        <f t="shared" si="6"/>
        <v>5195124</v>
      </c>
      <c r="AB24" s="2">
        <f t="shared" si="6"/>
        <v>5261124</v>
      </c>
      <c r="AC24" s="2">
        <f t="shared" si="6"/>
        <v>5327124</v>
      </c>
      <c r="AD24" s="2">
        <f t="shared" si="6"/>
        <v>5393124</v>
      </c>
      <c r="AE24" s="2">
        <f t="shared" si="6"/>
        <v>5459124</v>
      </c>
      <c r="AF24" s="2">
        <f t="shared" si="6"/>
        <v>5525124</v>
      </c>
      <c r="AG24" s="2">
        <f t="shared" si="6"/>
        <v>5591124</v>
      </c>
      <c r="AH24" s="2">
        <f t="shared" si="6"/>
        <v>5657124</v>
      </c>
      <c r="AI24" s="2">
        <f t="shared" si="6"/>
        <v>5723124</v>
      </c>
      <c r="AJ24" s="2">
        <f t="shared" si="6"/>
        <v>5789124</v>
      </c>
      <c r="AK24" s="2">
        <f t="shared" si="6"/>
        <v>5855124</v>
      </c>
      <c r="AL24" s="2">
        <f t="shared" si="6"/>
        <v>5921124</v>
      </c>
      <c r="AM24" s="2">
        <f t="shared" si="6"/>
        <v>5987124</v>
      </c>
      <c r="AN24" s="2">
        <f t="shared" si="6"/>
        <v>6053124</v>
      </c>
      <c r="AO24" s="2">
        <f t="shared" si="6"/>
        <v>6119124</v>
      </c>
      <c r="AP24" s="2">
        <f t="shared" si="6"/>
        <v>6185124</v>
      </c>
      <c r="AQ24" s="2">
        <f t="shared" si="6"/>
        <v>6251124</v>
      </c>
      <c r="AR24" s="2">
        <f t="shared" si="6"/>
        <v>6317124</v>
      </c>
      <c r="AS24" s="2">
        <f t="shared" si="6"/>
        <v>6383124</v>
      </c>
      <c r="AT24" s="2">
        <f t="shared" si="6"/>
        <v>6449124</v>
      </c>
      <c r="AU24" s="2">
        <f t="shared" si="6"/>
        <v>6515124</v>
      </c>
      <c r="AV24" s="2">
        <f t="shared" si="6"/>
        <v>6581124</v>
      </c>
      <c r="AW24" s="2">
        <f t="shared" si="6"/>
        <v>6647124</v>
      </c>
      <c r="AX24" s="2">
        <f t="shared" si="6"/>
        <v>6713124</v>
      </c>
      <c r="AY24" s="2">
        <f t="shared" si="6"/>
        <v>6779124</v>
      </c>
      <c r="AZ24" s="2">
        <f t="shared" si="6"/>
        <v>6845124</v>
      </c>
      <c r="BA24" s="2">
        <f t="shared" si="6"/>
        <v>6911124</v>
      </c>
      <c r="BB24" s="2">
        <f t="shared" si="6"/>
        <v>6977124</v>
      </c>
      <c r="BC24" s="2">
        <f t="shared" si="6"/>
        <v>7043124</v>
      </c>
      <c r="BD24" s="2">
        <f t="shared" si="6"/>
        <v>7109124</v>
      </c>
      <c r="BE24" s="2">
        <f t="shared" si="6"/>
        <v>7175124</v>
      </c>
      <c r="BF24" s="2">
        <f t="shared" si="6"/>
        <v>7241124</v>
      </c>
      <c r="BG24" s="2">
        <f t="shared" si="6"/>
        <v>7307124</v>
      </c>
      <c r="BH24" s="2">
        <f t="shared" si="6"/>
        <v>7373124</v>
      </c>
      <c r="BI24" s="2">
        <f t="shared" si="6"/>
        <v>7439124</v>
      </c>
      <c r="BJ24" s="2">
        <f t="shared" si="6"/>
        <v>7505124</v>
      </c>
      <c r="BK24" s="2">
        <f t="shared" si="6"/>
        <v>7571124</v>
      </c>
    </row>
    <row r="25" spans="2:63" x14ac:dyDescent="0.25">
      <c r="B25" t="s">
        <v>228</v>
      </c>
      <c r="D25" s="3">
        <f>+D23+D24</f>
        <v>9805664</v>
      </c>
      <c r="E25" s="3">
        <f t="shared" ref="E25:BK25" si="7">+E23+E24</f>
        <v>9981664</v>
      </c>
      <c r="F25" s="3">
        <f t="shared" si="7"/>
        <v>10157664</v>
      </c>
      <c r="G25" s="3">
        <f t="shared" si="7"/>
        <v>10333664</v>
      </c>
      <c r="H25" s="3">
        <f t="shared" si="7"/>
        <v>10509664</v>
      </c>
      <c r="I25" s="3">
        <f t="shared" si="7"/>
        <v>10685664</v>
      </c>
      <c r="J25" s="3">
        <f t="shared" si="7"/>
        <v>10861664</v>
      </c>
      <c r="K25" s="3">
        <f t="shared" si="7"/>
        <v>11037664</v>
      </c>
      <c r="L25" s="3">
        <f t="shared" si="7"/>
        <v>11213664</v>
      </c>
      <c r="M25" s="3">
        <f t="shared" si="7"/>
        <v>11389664</v>
      </c>
      <c r="N25" s="3">
        <f t="shared" si="7"/>
        <v>11565664</v>
      </c>
      <c r="O25" s="3">
        <f t="shared" si="7"/>
        <v>11741664</v>
      </c>
      <c r="P25" s="3">
        <f t="shared" si="7"/>
        <v>11917664</v>
      </c>
      <c r="Q25" s="3">
        <f t="shared" si="7"/>
        <v>12093664</v>
      </c>
      <c r="R25" s="3">
        <f t="shared" si="7"/>
        <v>12269664</v>
      </c>
      <c r="S25" s="3">
        <f t="shared" si="7"/>
        <v>12445664</v>
      </c>
      <c r="T25" s="3">
        <f t="shared" si="7"/>
        <v>12621664</v>
      </c>
      <c r="U25" s="3">
        <f t="shared" si="7"/>
        <v>12797664</v>
      </c>
      <c r="V25" s="3">
        <f t="shared" si="7"/>
        <v>12973664</v>
      </c>
      <c r="W25" s="3">
        <f t="shared" si="7"/>
        <v>13149664</v>
      </c>
      <c r="X25" s="3">
        <f t="shared" si="7"/>
        <v>13325664</v>
      </c>
      <c r="Y25" s="3">
        <f t="shared" si="7"/>
        <v>13501664</v>
      </c>
      <c r="Z25" s="3">
        <f t="shared" si="7"/>
        <v>13677664</v>
      </c>
      <c r="AA25" s="3">
        <f t="shared" si="7"/>
        <v>13853664</v>
      </c>
      <c r="AB25" s="3">
        <f t="shared" si="7"/>
        <v>14029664</v>
      </c>
      <c r="AC25" s="3">
        <f t="shared" si="7"/>
        <v>14205664</v>
      </c>
      <c r="AD25" s="3">
        <f t="shared" si="7"/>
        <v>14381664</v>
      </c>
      <c r="AE25" s="3">
        <f t="shared" si="7"/>
        <v>14557664</v>
      </c>
      <c r="AF25" s="3">
        <f t="shared" si="7"/>
        <v>14733664</v>
      </c>
      <c r="AG25" s="3">
        <f t="shared" si="7"/>
        <v>14909664</v>
      </c>
      <c r="AH25" s="3">
        <f t="shared" si="7"/>
        <v>15085664</v>
      </c>
      <c r="AI25" s="3">
        <f t="shared" si="7"/>
        <v>15261664</v>
      </c>
      <c r="AJ25" s="3">
        <f t="shared" si="7"/>
        <v>15437664</v>
      </c>
      <c r="AK25" s="3">
        <f t="shared" si="7"/>
        <v>15613664</v>
      </c>
      <c r="AL25" s="3">
        <f t="shared" si="7"/>
        <v>15789664</v>
      </c>
      <c r="AM25" s="3">
        <f t="shared" si="7"/>
        <v>15965664</v>
      </c>
      <c r="AN25" s="3">
        <f t="shared" si="7"/>
        <v>16141664</v>
      </c>
      <c r="AO25" s="3">
        <f t="shared" si="7"/>
        <v>16317664</v>
      </c>
      <c r="AP25" s="3">
        <f t="shared" si="7"/>
        <v>16493664</v>
      </c>
      <c r="AQ25" s="3">
        <f t="shared" si="7"/>
        <v>16669664</v>
      </c>
      <c r="AR25" s="3">
        <f t="shared" si="7"/>
        <v>16845664</v>
      </c>
      <c r="AS25" s="3">
        <f t="shared" si="7"/>
        <v>17021664</v>
      </c>
      <c r="AT25" s="3">
        <f t="shared" si="7"/>
        <v>17197664</v>
      </c>
      <c r="AU25" s="3">
        <f t="shared" si="7"/>
        <v>17373664</v>
      </c>
      <c r="AV25" s="3">
        <f t="shared" si="7"/>
        <v>17549664</v>
      </c>
      <c r="AW25" s="3">
        <f t="shared" si="7"/>
        <v>17725664</v>
      </c>
      <c r="AX25" s="3">
        <f t="shared" si="7"/>
        <v>17901664</v>
      </c>
      <c r="AY25" s="3">
        <f t="shared" si="7"/>
        <v>18077664</v>
      </c>
      <c r="AZ25" s="3">
        <f t="shared" si="7"/>
        <v>18253664</v>
      </c>
      <c r="BA25" s="3">
        <f t="shared" si="7"/>
        <v>18429664</v>
      </c>
      <c r="BB25" s="3">
        <f t="shared" si="7"/>
        <v>18605664</v>
      </c>
      <c r="BC25" s="3">
        <f t="shared" si="7"/>
        <v>18781664</v>
      </c>
      <c r="BD25" s="3">
        <f t="shared" si="7"/>
        <v>18957664</v>
      </c>
      <c r="BE25" s="3">
        <f t="shared" si="7"/>
        <v>19133664</v>
      </c>
      <c r="BF25" s="3">
        <f t="shared" si="7"/>
        <v>19309664</v>
      </c>
      <c r="BG25" s="3">
        <f t="shared" si="7"/>
        <v>19485664</v>
      </c>
      <c r="BH25" s="3">
        <f t="shared" si="7"/>
        <v>19661664</v>
      </c>
      <c r="BI25" s="3">
        <f t="shared" si="7"/>
        <v>19837664</v>
      </c>
      <c r="BJ25" s="3">
        <f t="shared" si="7"/>
        <v>20013664</v>
      </c>
      <c r="BK25" s="3">
        <f t="shared" si="7"/>
        <v>20189664</v>
      </c>
    </row>
    <row r="26" spans="2:63" x14ac:dyDescent="0.25">
      <c r="B26" t="s">
        <v>233</v>
      </c>
      <c r="D26" s="3">
        <f>ROUND(D23*D9,0)</f>
        <v>204285</v>
      </c>
      <c r="E26" s="3">
        <f>ROUND(E23*E9,0)</f>
        <v>415903</v>
      </c>
      <c r="F26" s="3">
        <f t="shared" ref="F26:O26" si="8">ROUND(F23*F9,0)</f>
        <v>634854</v>
      </c>
      <c r="G26" s="3">
        <f t="shared" si="8"/>
        <v>861139</v>
      </c>
      <c r="H26" s="3">
        <f t="shared" si="8"/>
        <v>1094757</v>
      </c>
      <c r="I26" s="3">
        <f t="shared" si="8"/>
        <v>1335708</v>
      </c>
      <c r="J26" s="3">
        <f t="shared" si="8"/>
        <v>1583993</v>
      </c>
      <c r="K26" s="3">
        <f t="shared" si="8"/>
        <v>1839611</v>
      </c>
      <c r="L26" s="3">
        <f t="shared" si="8"/>
        <v>2102562</v>
      </c>
      <c r="M26" s="3">
        <f t="shared" si="8"/>
        <v>2372847</v>
      </c>
      <c r="N26" s="3">
        <f t="shared" si="8"/>
        <v>2650465</v>
      </c>
      <c r="O26" s="3">
        <f t="shared" si="8"/>
        <v>2935416</v>
      </c>
      <c r="P26" s="3">
        <f>ROUND(P23*$O$9,0)</f>
        <v>2979416</v>
      </c>
      <c r="Q26" s="3">
        <f t="shared" ref="Q26:BK26" si="9">ROUND(Q23*$O$9,0)</f>
        <v>3023416</v>
      </c>
      <c r="R26" s="3">
        <f t="shared" si="9"/>
        <v>3067416</v>
      </c>
      <c r="S26" s="3">
        <f t="shared" si="9"/>
        <v>3111416</v>
      </c>
      <c r="T26" s="3">
        <f t="shared" si="9"/>
        <v>3155416</v>
      </c>
      <c r="U26" s="3">
        <f t="shared" si="9"/>
        <v>3199416</v>
      </c>
      <c r="V26" s="3">
        <f t="shared" si="9"/>
        <v>3243416</v>
      </c>
      <c r="W26" s="3">
        <f t="shared" si="9"/>
        <v>3287416</v>
      </c>
      <c r="X26" s="3">
        <f t="shared" si="9"/>
        <v>3331416</v>
      </c>
      <c r="Y26" s="3">
        <f t="shared" si="9"/>
        <v>3375416</v>
      </c>
      <c r="Z26" s="3">
        <f t="shared" si="9"/>
        <v>3419416</v>
      </c>
      <c r="AA26" s="3">
        <f t="shared" si="9"/>
        <v>3463416</v>
      </c>
      <c r="AB26" s="3">
        <f t="shared" si="9"/>
        <v>3507416</v>
      </c>
      <c r="AC26" s="3">
        <f t="shared" si="9"/>
        <v>3551416</v>
      </c>
      <c r="AD26" s="3">
        <f t="shared" si="9"/>
        <v>3595416</v>
      </c>
      <c r="AE26" s="3">
        <f t="shared" si="9"/>
        <v>3639416</v>
      </c>
      <c r="AF26" s="3">
        <f t="shared" si="9"/>
        <v>3683416</v>
      </c>
      <c r="AG26" s="3">
        <f t="shared" si="9"/>
        <v>3727416</v>
      </c>
      <c r="AH26" s="3">
        <f t="shared" si="9"/>
        <v>3771416</v>
      </c>
      <c r="AI26" s="3">
        <f t="shared" si="9"/>
        <v>3815416</v>
      </c>
      <c r="AJ26" s="3">
        <f t="shared" si="9"/>
        <v>3859416</v>
      </c>
      <c r="AK26" s="3">
        <f t="shared" si="9"/>
        <v>3903416</v>
      </c>
      <c r="AL26" s="3">
        <f t="shared" si="9"/>
        <v>3947416</v>
      </c>
      <c r="AM26" s="3">
        <f t="shared" si="9"/>
        <v>3991416</v>
      </c>
      <c r="AN26" s="3">
        <f t="shared" si="9"/>
        <v>4035416</v>
      </c>
      <c r="AO26" s="3">
        <f t="shared" si="9"/>
        <v>4079416</v>
      </c>
      <c r="AP26" s="3">
        <f t="shared" si="9"/>
        <v>4123416</v>
      </c>
      <c r="AQ26" s="3">
        <f t="shared" si="9"/>
        <v>4167416</v>
      </c>
      <c r="AR26" s="3">
        <f t="shared" si="9"/>
        <v>4211416</v>
      </c>
      <c r="AS26" s="3">
        <f t="shared" si="9"/>
        <v>4255416</v>
      </c>
      <c r="AT26" s="3">
        <f t="shared" si="9"/>
        <v>4299416</v>
      </c>
      <c r="AU26" s="3">
        <f t="shared" si="9"/>
        <v>4343416</v>
      </c>
      <c r="AV26" s="3">
        <f t="shared" si="9"/>
        <v>4387416</v>
      </c>
      <c r="AW26" s="3">
        <f t="shared" si="9"/>
        <v>4431416</v>
      </c>
      <c r="AX26" s="3">
        <f t="shared" si="9"/>
        <v>4475416</v>
      </c>
      <c r="AY26" s="3">
        <f t="shared" si="9"/>
        <v>4519416</v>
      </c>
      <c r="AZ26" s="3">
        <f t="shared" si="9"/>
        <v>4563416</v>
      </c>
      <c r="BA26" s="3">
        <f t="shared" si="9"/>
        <v>4607416</v>
      </c>
      <c r="BB26" s="3">
        <f t="shared" si="9"/>
        <v>4651416</v>
      </c>
      <c r="BC26" s="3">
        <f t="shared" si="9"/>
        <v>4695416</v>
      </c>
      <c r="BD26" s="3">
        <f t="shared" si="9"/>
        <v>4739416</v>
      </c>
      <c r="BE26" s="3">
        <f t="shared" si="9"/>
        <v>4783416</v>
      </c>
      <c r="BF26" s="3">
        <f t="shared" si="9"/>
        <v>4827416</v>
      </c>
      <c r="BG26" s="3">
        <f t="shared" si="9"/>
        <v>4871416</v>
      </c>
      <c r="BH26" s="3">
        <f t="shared" si="9"/>
        <v>4915416</v>
      </c>
      <c r="BI26" s="3">
        <f t="shared" si="9"/>
        <v>4959416</v>
      </c>
      <c r="BJ26" s="3">
        <f t="shared" si="9"/>
        <v>5003416</v>
      </c>
      <c r="BK26" s="3">
        <f t="shared" si="9"/>
        <v>5047416</v>
      </c>
    </row>
    <row r="27" spans="2:63" x14ac:dyDescent="0.25">
      <c r="B27" t="s">
        <v>234</v>
      </c>
      <c r="D27" s="3">
        <f>ROUND(D24*D10,0)</f>
        <v>153214</v>
      </c>
      <c r="E27" s="3">
        <f t="shared" ref="E27:O27" si="10">ROUND(E24*E10,0)</f>
        <v>311927</v>
      </c>
      <c r="F27" s="3">
        <f t="shared" si="10"/>
        <v>476141</v>
      </c>
      <c r="G27" s="3">
        <f t="shared" si="10"/>
        <v>645854</v>
      </c>
      <c r="H27" s="3">
        <f t="shared" si="10"/>
        <v>821068</v>
      </c>
      <c r="I27" s="3">
        <f t="shared" si="10"/>
        <v>1001781</v>
      </c>
      <c r="J27" s="3">
        <f t="shared" si="10"/>
        <v>1187995</v>
      </c>
      <c r="K27" s="3">
        <f t="shared" si="10"/>
        <v>1379708</v>
      </c>
      <c r="L27" s="3">
        <f t="shared" si="10"/>
        <v>1576922</v>
      </c>
      <c r="M27" s="3">
        <f t="shared" si="10"/>
        <v>1779635</v>
      </c>
      <c r="N27" s="3">
        <f t="shared" si="10"/>
        <v>1987849</v>
      </c>
      <c r="O27" s="3">
        <f t="shared" si="10"/>
        <v>2201562</v>
      </c>
      <c r="P27" s="3">
        <f>ROUND(P24*$O$10,0)</f>
        <v>2234562</v>
      </c>
      <c r="Q27" s="3">
        <f t="shared" ref="Q27:BK27" si="11">ROUND(Q24*$O$10,0)</f>
        <v>2267562</v>
      </c>
      <c r="R27" s="3">
        <f t="shared" si="11"/>
        <v>2300562</v>
      </c>
      <c r="S27" s="3">
        <f t="shared" si="11"/>
        <v>2333562</v>
      </c>
      <c r="T27" s="3">
        <f t="shared" si="11"/>
        <v>2366562</v>
      </c>
      <c r="U27" s="3">
        <f t="shared" si="11"/>
        <v>2399562</v>
      </c>
      <c r="V27" s="3">
        <f t="shared" si="11"/>
        <v>2432562</v>
      </c>
      <c r="W27" s="3">
        <f t="shared" si="11"/>
        <v>2465562</v>
      </c>
      <c r="X27" s="3">
        <f t="shared" si="11"/>
        <v>2498562</v>
      </c>
      <c r="Y27" s="3">
        <f t="shared" si="11"/>
        <v>2531562</v>
      </c>
      <c r="Z27" s="3">
        <f t="shared" si="11"/>
        <v>2564562</v>
      </c>
      <c r="AA27" s="3">
        <f t="shared" si="11"/>
        <v>2597562</v>
      </c>
      <c r="AB27" s="3">
        <f t="shared" si="11"/>
        <v>2630562</v>
      </c>
      <c r="AC27" s="3">
        <f t="shared" si="11"/>
        <v>2663562</v>
      </c>
      <c r="AD27" s="3">
        <f t="shared" si="11"/>
        <v>2696562</v>
      </c>
      <c r="AE27" s="3">
        <f t="shared" si="11"/>
        <v>2729562</v>
      </c>
      <c r="AF27" s="3">
        <f t="shared" si="11"/>
        <v>2762562</v>
      </c>
      <c r="AG27" s="3">
        <f t="shared" si="11"/>
        <v>2795562</v>
      </c>
      <c r="AH27" s="3">
        <f t="shared" si="11"/>
        <v>2828562</v>
      </c>
      <c r="AI27" s="3">
        <f t="shared" si="11"/>
        <v>2861562</v>
      </c>
      <c r="AJ27" s="3">
        <f t="shared" si="11"/>
        <v>2894562</v>
      </c>
      <c r="AK27" s="3">
        <f t="shared" si="11"/>
        <v>2927562</v>
      </c>
      <c r="AL27" s="3">
        <f t="shared" si="11"/>
        <v>2960562</v>
      </c>
      <c r="AM27" s="3">
        <f t="shared" si="11"/>
        <v>2993562</v>
      </c>
      <c r="AN27" s="3">
        <f t="shared" si="11"/>
        <v>3026562</v>
      </c>
      <c r="AO27" s="3">
        <f t="shared" si="11"/>
        <v>3059562</v>
      </c>
      <c r="AP27" s="3">
        <f t="shared" si="11"/>
        <v>3092562</v>
      </c>
      <c r="AQ27" s="3">
        <f t="shared" si="11"/>
        <v>3125562</v>
      </c>
      <c r="AR27" s="3">
        <f t="shared" si="11"/>
        <v>3158562</v>
      </c>
      <c r="AS27" s="3">
        <f t="shared" si="11"/>
        <v>3191562</v>
      </c>
      <c r="AT27" s="3">
        <f t="shared" si="11"/>
        <v>3224562</v>
      </c>
      <c r="AU27" s="3">
        <f t="shared" si="11"/>
        <v>3257562</v>
      </c>
      <c r="AV27" s="3">
        <f t="shared" si="11"/>
        <v>3290562</v>
      </c>
      <c r="AW27" s="3">
        <f t="shared" si="11"/>
        <v>3323562</v>
      </c>
      <c r="AX27" s="3">
        <f t="shared" si="11"/>
        <v>3356562</v>
      </c>
      <c r="AY27" s="3">
        <f t="shared" si="11"/>
        <v>3389562</v>
      </c>
      <c r="AZ27" s="3">
        <f t="shared" si="11"/>
        <v>3422562</v>
      </c>
      <c r="BA27" s="3">
        <f t="shared" si="11"/>
        <v>3455562</v>
      </c>
      <c r="BB27" s="3">
        <f t="shared" si="11"/>
        <v>3488562</v>
      </c>
      <c r="BC27" s="3">
        <f t="shared" si="11"/>
        <v>3521562</v>
      </c>
      <c r="BD27" s="3">
        <f t="shared" si="11"/>
        <v>3554562</v>
      </c>
      <c r="BE27" s="3">
        <f t="shared" si="11"/>
        <v>3587562</v>
      </c>
      <c r="BF27" s="3">
        <f t="shared" si="11"/>
        <v>3620562</v>
      </c>
      <c r="BG27" s="3">
        <f t="shared" si="11"/>
        <v>3653562</v>
      </c>
      <c r="BH27" s="3">
        <f t="shared" si="11"/>
        <v>3686562</v>
      </c>
      <c r="BI27" s="3">
        <f t="shared" si="11"/>
        <v>3719562</v>
      </c>
      <c r="BJ27" s="3">
        <f t="shared" si="11"/>
        <v>3752562</v>
      </c>
      <c r="BK27" s="3">
        <f t="shared" si="11"/>
        <v>3785562</v>
      </c>
    </row>
    <row r="28" spans="2:63" x14ac:dyDescent="0.25">
      <c r="B28" t="s">
        <v>237</v>
      </c>
      <c r="D28" s="3">
        <f>+D26+D27</f>
        <v>357499</v>
      </c>
      <c r="E28" s="3">
        <f t="shared" ref="E28:BK28" si="12">+E26+E27</f>
        <v>727830</v>
      </c>
      <c r="F28" s="3">
        <f t="shared" si="12"/>
        <v>1110995</v>
      </c>
      <c r="G28" s="3">
        <f t="shared" si="12"/>
        <v>1506993</v>
      </c>
      <c r="H28" s="3">
        <f t="shared" si="12"/>
        <v>1915825</v>
      </c>
      <c r="I28" s="3">
        <f t="shared" si="12"/>
        <v>2337489</v>
      </c>
      <c r="J28" s="3">
        <f t="shared" si="12"/>
        <v>2771988</v>
      </c>
      <c r="K28" s="3">
        <f t="shared" si="12"/>
        <v>3219319</v>
      </c>
      <c r="L28" s="3">
        <f t="shared" si="12"/>
        <v>3679484</v>
      </c>
      <c r="M28" s="3">
        <f t="shared" si="12"/>
        <v>4152482</v>
      </c>
      <c r="N28" s="3">
        <f t="shared" si="12"/>
        <v>4638314</v>
      </c>
      <c r="O28" s="3">
        <f t="shared" si="12"/>
        <v>5136978</v>
      </c>
      <c r="P28" s="3">
        <f t="shared" si="12"/>
        <v>5213978</v>
      </c>
      <c r="Q28" s="3">
        <f t="shared" si="12"/>
        <v>5290978</v>
      </c>
      <c r="R28" s="3">
        <f t="shared" si="12"/>
        <v>5367978</v>
      </c>
      <c r="S28" s="3">
        <f t="shared" si="12"/>
        <v>5444978</v>
      </c>
      <c r="T28" s="3">
        <f t="shared" si="12"/>
        <v>5521978</v>
      </c>
      <c r="U28" s="3">
        <f t="shared" si="12"/>
        <v>5598978</v>
      </c>
      <c r="V28" s="3">
        <f t="shared" si="12"/>
        <v>5675978</v>
      </c>
      <c r="W28" s="3">
        <f t="shared" si="12"/>
        <v>5752978</v>
      </c>
      <c r="X28" s="3">
        <f t="shared" si="12"/>
        <v>5829978</v>
      </c>
      <c r="Y28" s="3">
        <f t="shared" si="12"/>
        <v>5906978</v>
      </c>
      <c r="Z28" s="3">
        <f t="shared" si="12"/>
        <v>5983978</v>
      </c>
      <c r="AA28" s="3">
        <f t="shared" si="12"/>
        <v>6060978</v>
      </c>
      <c r="AB28" s="3">
        <f t="shared" si="12"/>
        <v>6137978</v>
      </c>
      <c r="AC28" s="3">
        <f t="shared" si="12"/>
        <v>6214978</v>
      </c>
      <c r="AD28" s="3">
        <f t="shared" si="12"/>
        <v>6291978</v>
      </c>
      <c r="AE28" s="3">
        <f t="shared" si="12"/>
        <v>6368978</v>
      </c>
      <c r="AF28" s="3">
        <f t="shared" si="12"/>
        <v>6445978</v>
      </c>
      <c r="AG28" s="3">
        <f t="shared" si="12"/>
        <v>6522978</v>
      </c>
      <c r="AH28" s="3">
        <f t="shared" si="12"/>
        <v>6599978</v>
      </c>
      <c r="AI28" s="3">
        <f t="shared" si="12"/>
        <v>6676978</v>
      </c>
      <c r="AJ28" s="3">
        <f t="shared" si="12"/>
        <v>6753978</v>
      </c>
      <c r="AK28" s="3">
        <f t="shared" si="12"/>
        <v>6830978</v>
      </c>
      <c r="AL28" s="3">
        <f t="shared" si="12"/>
        <v>6907978</v>
      </c>
      <c r="AM28" s="3">
        <f t="shared" si="12"/>
        <v>6984978</v>
      </c>
      <c r="AN28" s="3">
        <f t="shared" si="12"/>
        <v>7061978</v>
      </c>
      <c r="AO28" s="3">
        <f t="shared" si="12"/>
        <v>7138978</v>
      </c>
      <c r="AP28" s="3">
        <f t="shared" si="12"/>
        <v>7215978</v>
      </c>
      <c r="AQ28" s="3">
        <f t="shared" si="12"/>
        <v>7292978</v>
      </c>
      <c r="AR28" s="3">
        <f t="shared" si="12"/>
        <v>7369978</v>
      </c>
      <c r="AS28" s="3">
        <f t="shared" si="12"/>
        <v>7446978</v>
      </c>
      <c r="AT28" s="3">
        <f t="shared" si="12"/>
        <v>7523978</v>
      </c>
      <c r="AU28" s="3">
        <f t="shared" si="12"/>
        <v>7600978</v>
      </c>
      <c r="AV28" s="3">
        <f t="shared" si="12"/>
        <v>7677978</v>
      </c>
      <c r="AW28" s="3">
        <f t="shared" si="12"/>
        <v>7754978</v>
      </c>
      <c r="AX28" s="3">
        <f t="shared" si="12"/>
        <v>7831978</v>
      </c>
      <c r="AY28" s="3">
        <f t="shared" si="12"/>
        <v>7908978</v>
      </c>
      <c r="AZ28" s="3">
        <f t="shared" si="12"/>
        <v>7985978</v>
      </c>
      <c r="BA28" s="3">
        <f t="shared" si="12"/>
        <v>8062978</v>
      </c>
      <c r="BB28" s="3">
        <f t="shared" si="12"/>
        <v>8139978</v>
      </c>
      <c r="BC28" s="3">
        <f t="shared" si="12"/>
        <v>8216978</v>
      </c>
      <c r="BD28" s="3">
        <f t="shared" si="12"/>
        <v>8293978</v>
      </c>
      <c r="BE28" s="3">
        <f t="shared" si="12"/>
        <v>8370978</v>
      </c>
      <c r="BF28" s="3">
        <f t="shared" si="12"/>
        <v>8447978</v>
      </c>
      <c r="BG28" s="3">
        <f t="shared" si="12"/>
        <v>8524978</v>
      </c>
      <c r="BH28" s="3">
        <f t="shared" si="12"/>
        <v>8601978</v>
      </c>
      <c r="BI28" s="3">
        <f t="shared" si="12"/>
        <v>8678978</v>
      </c>
      <c r="BJ28" s="3">
        <f t="shared" si="12"/>
        <v>8755978</v>
      </c>
      <c r="BK28" s="3">
        <f t="shared" si="12"/>
        <v>8832978</v>
      </c>
    </row>
    <row r="29" spans="2:63" x14ac:dyDescent="0.25">
      <c r="B29" t="s">
        <v>241</v>
      </c>
      <c r="D29" s="3">
        <f>+D22</f>
        <v>9805664</v>
      </c>
      <c r="E29" s="3">
        <f t="shared" ref="E29:BK29" si="13">+E22</f>
        <v>9981664</v>
      </c>
      <c r="F29" s="3">
        <f t="shared" si="13"/>
        <v>10157664</v>
      </c>
      <c r="G29" s="3">
        <f t="shared" si="13"/>
        <v>10333664</v>
      </c>
      <c r="H29" s="3">
        <f t="shared" si="13"/>
        <v>10509664</v>
      </c>
      <c r="I29" s="3">
        <f t="shared" si="13"/>
        <v>10685664</v>
      </c>
      <c r="J29" s="3">
        <f t="shared" si="13"/>
        <v>10861664</v>
      </c>
      <c r="K29" s="3">
        <f t="shared" si="13"/>
        <v>11037664</v>
      </c>
      <c r="L29" s="3">
        <f t="shared" si="13"/>
        <v>11213664</v>
      </c>
      <c r="M29" s="3">
        <f t="shared" si="13"/>
        <v>11389664</v>
      </c>
      <c r="N29" s="3">
        <f t="shared" si="13"/>
        <v>11565664</v>
      </c>
      <c r="O29" s="3">
        <f t="shared" si="13"/>
        <v>11741664</v>
      </c>
      <c r="P29" s="3">
        <f t="shared" si="13"/>
        <v>11917664</v>
      </c>
      <c r="Q29" s="3">
        <f t="shared" si="13"/>
        <v>12093664</v>
      </c>
      <c r="R29" s="3">
        <f t="shared" si="13"/>
        <v>12269664</v>
      </c>
      <c r="S29" s="3">
        <f t="shared" si="13"/>
        <v>12445664</v>
      </c>
      <c r="T29" s="3">
        <f t="shared" si="13"/>
        <v>12621664</v>
      </c>
      <c r="U29" s="3">
        <f t="shared" si="13"/>
        <v>12797664</v>
      </c>
      <c r="V29" s="3">
        <f t="shared" si="13"/>
        <v>12973664</v>
      </c>
      <c r="W29" s="3">
        <f t="shared" si="13"/>
        <v>13149664</v>
      </c>
      <c r="X29" s="3">
        <f t="shared" si="13"/>
        <v>13325664</v>
      </c>
      <c r="Y29" s="3">
        <f t="shared" si="13"/>
        <v>13501664</v>
      </c>
      <c r="Z29" s="3">
        <f t="shared" si="13"/>
        <v>13677664</v>
      </c>
      <c r="AA29" s="3">
        <f t="shared" si="13"/>
        <v>13853664</v>
      </c>
      <c r="AB29" s="3">
        <f t="shared" si="13"/>
        <v>14029664</v>
      </c>
      <c r="AC29" s="3">
        <f t="shared" si="13"/>
        <v>14205664</v>
      </c>
      <c r="AD29" s="3">
        <f t="shared" si="13"/>
        <v>14381664</v>
      </c>
      <c r="AE29" s="3">
        <f t="shared" si="13"/>
        <v>14557664</v>
      </c>
      <c r="AF29" s="3">
        <f t="shared" si="13"/>
        <v>14733664</v>
      </c>
      <c r="AG29" s="3">
        <f t="shared" si="13"/>
        <v>14909664</v>
      </c>
      <c r="AH29" s="3">
        <f t="shared" si="13"/>
        <v>15085664</v>
      </c>
      <c r="AI29" s="3">
        <f t="shared" si="13"/>
        <v>15261664</v>
      </c>
      <c r="AJ29" s="3">
        <f t="shared" si="13"/>
        <v>15437664</v>
      </c>
      <c r="AK29" s="3">
        <f t="shared" si="13"/>
        <v>15613664</v>
      </c>
      <c r="AL29" s="3">
        <f t="shared" si="13"/>
        <v>15789664</v>
      </c>
      <c r="AM29" s="3">
        <f t="shared" si="13"/>
        <v>15965664</v>
      </c>
      <c r="AN29" s="3">
        <f t="shared" si="13"/>
        <v>16141664</v>
      </c>
      <c r="AO29" s="3">
        <f t="shared" si="13"/>
        <v>16317664</v>
      </c>
      <c r="AP29" s="3">
        <f t="shared" si="13"/>
        <v>16493664</v>
      </c>
      <c r="AQ29" s="3">
        <f t="shared" si="13"/>
        <v>16669664</v>
      </c>
      <c r="AR29" s="3">
        <f t="shared" si="13"/>
        <v>16845664</v>
      </c>
      <c r="AS29" s="3">
        <f t="shared" si="13"/>
        <v>17021664</v>
      </c>
      <c r="AT29" s="3">
        <f t="shared" si="13"/>
        <v>17197664</v>
      </c>
      <c r="AU29" s="3">
        <f t="shared" si="13"/>
        <v>17373664</v>
      </c>
      <c r="AV29" s="3">
        <f t="shared" si="13"/>
        <v>17549664</v>
      </c>
      <c r="AW29" s="3">
        <f t="shared" si="13"/>
        <v>17725664</v>
      </c>
      <c r="AX29" s="3">
        <f t="shared" si="13"/>
        <v>17901664</v>
      </c>
      <c r="AY29" s="3">
        <f t="shared" si="13"/>
        <v>18077664</v>
      </c>
      <c r="AZ29" s="3">
        <f t="shared" si="13"/>
        <v>18253664</v>
      </c>
      <c r="BA29" s="3">
        <f t="shared" si="13"/>
        <v>18429664</v>
      </c>
      <c r="BB29" s="3">
        <f t="shared" si="13"/>
        <v>18605664</v>
      </c>
      <c r="BC29" s="3">
        <f t="shared" si="13"/>
        <v>18781664</v>
      </c>
      <c r="BD29" s="3">
        <f t="shared" si="13"/>
        <v>18957664</v>
      </c>
      <c r="BE29" s="3">
        <f t="shared" si="13"/>
        <v>19133664</v>
      </c>
      <c r="BF29" s="3">
        <f t="shared" si="13"/>
        <v>19309664</v>
      </c>
      <c r="BG29" s="3">
        <f t="shared" si="13"/>
        <v>19485664</v>
      </c>
      <c r="BH29" s="3">
        <f t="shared" si="13"/>
        <v>19661664</v>
      </c>
      <c r="BI29" s="3">
        <f t="shared" si="13"/>
        <v>19837664</v>
      </c>
      <c r="BJ29" s="3">
        <f t="shared" si="13"/>
        <v>20013664</v>
      </c>
      <c r="BK29" s="3">
        <f t="shared" si="13"/>
        <v>20189664</v>
      </c>
    </row>
    <row r="30" spans="2:63" x14ac:dyDescent="0.25">
      <c r="B30" t="s">
        <v>242</v>
      </c>
      <c r="D30" s="3">
        <f>+D22+D29</f>
        <v>19611328</v>
      </c>
      <c r="E30" s="3">
        <f t="shared" ref="E30:BK30" si="14">+E22+E29</f>
        <v>19963328</v>
      </c>
      <c r="F30" s="3">
        <f t="shared" si="14"/>
        <v>20315328</v>
      </c>
      <c r="G30" s="3">
        <f t="shared" si="14"/>
        <v>20667328</v>
      </c>
      <c r="H30" s="3">
        <f t="shared" si="14"/>
        <v>21019328</v>
      </c>
      <c r="I30" s="3">
        <f t="shared" si="14"/>
        <v>21371328</v>
      </c>
      <c r="J30" s="3">
        <f t="shared" si="14"/>
        <v>21723328</v>
      </c>
      <c r="K30" s="3">
        <f t="shared" si="14"/>
        <v>22075328</v>
      </c>
      <c r="L30" s="3">
        <f t="shared" si="14"/>
        <v>22427328</v>
      </c>
      <c r="M30" s="3">
        <f t="shared" si="14"/>
        <v>22779328</v>
      </c>
      <c r="N30" s="3">
        <f t="shared" si="14"/>
        <v>23131328</v>
      </c>
      <c r="O30" s="3">
        <f t="shared" si="14"/>
        <v>23483328</v>
      </c>
      <c r="P30" s="3">
        <f t="shared" si="14"/>
        <v>23835328</v>
      </c>
      <c r="Q30" s="3">
        <f t="shared" si="14"/>
        <v>24187328</v>
      </c>
      <c r="R30" s="3">
        <f t="shared" si="14"/>
        <v>24539328</v>
      </c>
      <c r="S30" s="3">
        <f t="shared" si="14"/>
        <v>24891328</v>
      </c>
      <c r="T30" s="3">
        <f t="shared" si="14"/>
        <v>25243328</v>
      </c>
      <c r="U30" s="3">
        <f t="shared" si="14"/>
        <v>25595328</v>
      </c>
      <c r="V30" s="3">
        <f t="shared" si="14"/>
        <v>25947328</v>
      </c>
      <c r="W30" s="3">
        <f t="shared" si="14"/>
        <v>26299328</v>
      </c>
      <c r="X30" s="3">
        <f t="shared" si="14"/>
        <v>26651328</v>
      </c>
      <c r="Y30" s="3">
        <f t="shared" si="14"/>
        <v>27003328</v>
      </c>
      <c r="Z30" s="3">
        <f t="shared" si="14"/>
        <v>27355328</v>
      </c>
      <c r="AA30" s="3">
        <f t="shared" si="14"/>
        <v>27707328</v>
      </c>
      <c r="AB30" s="3">
        <f t="shared" si="14"/>
        <v>28059328</v>
      </c>
      <c r="AC30" s="3">
        <f t="shared" si="14"/>
        <v>28411328</v>
      </c>
      <c r="AD30" s="3">
        <f t="shared" si="14"/>
        <v>28763328</v>
      </c>
      <c r="AE30" s="3">
        <f t="shared" si="14"/>
        <v>29115328</v>
      </c>
      <c r="AF30" s="3">
        <f t="shared" si="14"/>
        <v>29467328</v>
      </c>
      <c r="AG30" s="3">
        <f t="shared" si="14"/>
        <v>29819328</v>
      </c>
      <c r="AH30" s="3">
        <f t="shared" si="14"/>
        <v>30171328</v>
      </c>
      <c r="AI30" s="3">
        <f t="shared" si="14"/>
        <v>30523328</v>
      </c>
      <c r="AJ30" s="3">
        <f t="shared" si="14"/>
        <v>30875328</v>
      </c>
      <c r="AK30" s="3">
        <f t="shared" si="14"/>
        <v>31227328</v>
      </c>
      <c r="AL30" s="3">
        <f t="shared" si="14"/>
        <v>31579328</v>
      </c>
      <c r="AM30" s="3">
        <f t="shared" si="14"/>
        <v>31931328</v>
      </c>
      <c r="AN30" s="3">
        <f t="shared" si="14"/>
        <v>32283328</v>
      </c>
      <c r="AO30" s="3">
        <f t="shared" si="14"/>
        <v>32635328</v>
      </c>
      <c r="AP30" s="3">
        <f t="shared" si="14"/>
        <v>32987328</v>
      </c>
      <c r="AQ30" s="3">
        <f t="shared" si="14"/>
        <v>33339328</v>
      </c>
      <c r="AR30" s="3">
        <f t="shared" si="14"/>
        <v>33691328</v>
      </c>
      <c r="AS30" s="3">
        <f t="shared" si="14"/>
        <v>34043328</v>
      </c>
      <c r="AT30" s="3">
        <f t="shared" si="14"/>
        <v>34395328</v>
      </c>
      <c r="AU30" s="3">
        <f t="shared" si="14"/>
        <v>34747328</v>
      </c>
      <c r="AV30" s="3">
        <f t="shared" si="14"/>
        <v>35099328</v>
      </c>
      <c r="AW30" s="3">
        <f t="shared" si="14"/>
        <v>35451328</v>
      </c>
      <c r="AX30" s="3">
        <f t="shared" si="14"/>
        <v>35803328</v>
      </c>
      <c r="AY30" s="3">
        <f t="shared" si="14"/>
        <v>36155328</v>
      </c>
      <c r="AZ30" s="3">
        <f t="shared" si="14"/>
        <v>36507328</v>
      </c>
      <c r="BA30" s="3">
        <f t="shared" si="14"/>
        <v>36859328</v>
      </c>
      <c r="BB30" s="3">
        <f t="shared" si="14"/>
        <v>37211328</v>
      </c>
      <c r="BC30" s="3">
        <f t="shared" si="14"/>
        <v>37563328</v>
      </c>
      <c r="BD30" s="3">
        <f t="shared" si="14"/>
        <v>37915328</v>
      </c>
      <c r="BE30" s="3">
        <f t="shared" si="14"/>
        <v>38267328</v>
      </c>
      <c r="BF30" s="3">
        <f t="shared" si="14"/>
        <v>38619328</v>
      </c>
      <c r="BG30" s="3">
        <f t="shared" si="14"/>
        <v>38971328</v>
      </c>
      <c r="BH30" s="3">
        <f t="shared" si="14"/>
        <v>39323328</v>
      </c>
      <c r="BI30" s="3">
        <f t="shared" si="14"/>
        <v>39675328</v>
      </c>
      <c r="BJ30" s="3">
        <f t="shared" si="14"/>
        <v>40027328</v>
      </c>
      <c r="BK30" s="3">
        <f t="shared" si="14"/>
        <v>40379328</v>
      </c>
    </row>
    <row r="31" spans="2:63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C32" s="75"/>
    </row>
    <row r="33" spans="2:63" x14ac:dyDescent="0.25">
      <c r="B33" s="12" t="s">
        <v>45</v>
      </c>
      <c r="C33" s="75"/>
      <c r="D33" s="75">
        <f t="shared" ref="D33:BK33" si="15">+D17*$C$2*$C$4</f>
        <v>163659.875</v>
      </c>
      <c r="E33" s="75">
        <f t="shared" si="15"/>
        <v>166597.375</v>
      </c>
      <c r="F33" s="75">
        <f t="shared" si="15"/>
        <v>169534.875</v>
      </c>
      <c r="G33" s="75">
        <f t="shared" si="15"/>
        <v>172472.375</v>
      </c>
      <c r="H33" s="75">
        <f t="shared" si="15"/>
        <v>175409.875</v>
      </c>
      <c r="I33" s="75">
        <f t="shared" si="15"/>
        <v>178347.375</v>
      </c>
      <c r="J33" s="75">
        <f t="shared" si="15"/>
        <v>181284.875</v>
      </c>
      <c r="K33" s="75">
        <f t="shared" si="15"/>
        <v>184222.375</v>
      </c>
      <c r="L33" s="75">
        <f t="shared" si="15"/>
        <v>187159.875</v>
      </c>
      <c r="M33" s="75">
        <f t="shared" si="15"/>
        <v>190097.375</v>
      </c>
      <c r="N33" s="75">
        <f t="shared" si="15"/>
        <v>193034.875</v>
      </c>
      <c r="O33" s="75">
        <f t="shared" si="15"/>
        <v>195972.375</v>
      </c>
      <c r="P33" s="75">
        <f t="shared" si="15"/>
        <v>198909.875</v>
      </c>
      <c r="Q33" s="75">
        <f t="shared" si="15"/>
        <v>201847.375</v>
      </c>
      <c r="R33" s="75">
        <f t="shared" si="15"/>
        <v>204784.875</v>
      </c>
      <c r="S33" s="75">
        <f t="shared" si="15"/>
        <v>207722.375</v>
      </c>
      <c r="T33" s="75">
        <f t="shared" si="15"/>
        <v>210659.875</v>
      </c>
      <c r="U33" s="75">
        <f t="shared" si="15"/>
        <v>213597.375</v>
      </c>
      <c r="V33" s="75">
        <f t="shared" si="15"/>
        <v>216534.875</v>
      </c>
      <c r="W33" s="75">
        <f t="shared" si="15"/>
        <v>219472.375</v>
      </c>
      <c r="X33" s="75">
        <f t="shared" si="15"/>
        <v>222409.875</v>
      </c>
      <c r="Y33" s="75">
        <f t="shared" si="15"/>
        <v>225347.375</v>
      </c>
      <c r="Z33" s="75">
        <f t="shared" si="15"/>
        <v>228284.875</v>
      </c>
      <c r="AA33" s="75">
        <f t="shared" si="15"/>
        <v>231222.375</v>
      </c>
      <c r="AB33" s="75">
        <f t="shared" si="15"/>
        <v>234159.875</v>
      </c>
      <c r="AC33" s="75">
        <f t="shared" si="15"/>
        <v>237097.375</v>
      </c>
      <c r="AD33" s="75">
        <f t="shared" si="15"/>
        <v>240034.875</v>
      </c>
      <c r="AE33" s="75">
        <f t="shared" si="15"/>
        <v>242972.375</v>
      </c>
      <c r="AF33" s="75">
        <f t="shared" si="15"/>
        <v>245909.875</v>
      </c>
      <c r="AG33" s="75">
        <f t="shared" si="15"/>
        <v>248847.375</v>
      </c>
      <c r="AH33" s="75">
        <f t="shared" si="15"/>
        <v>251784.875</v>
      </c>
      <c r="AI33" s="75">
        <f t="shared" si="15"/>
        <v>254722.375</v>
      </c>
      <c r="AJ33" s="75">
        <f t="shared" si="15"/>
        <v>257659.87499999997</v>
      </c>
      <c r="AK33" s="75">
        <f t="shared" si="15"/>
        <v>260597.37499999997</v>
      </c>
      <c r="AL33" s="75">
        <f t="shared" si="15"/>
        <v>263534.875</v>
      </c>
      <c r="AM33" s="75">
        <f t="shared" si="15"/>
        <v>266472.375</v>
      </c>
      <c r="AN33" s="75">
        <f t="shared" si="15"/>
        <v>269409.875</v>
      </c>
      <c r="AO33" s="75">
        <f t="shared" si="15"/>
        <v>272347.375</v>
      </c>
      <c r="AP33" s="75">
        <f t="shared" si="15"/>
        <v>275284.875</v>
      </c>
      <c r="AQ33" s="75">
        <f t="shared" si="15"/>
        <v>278222.375</v>
      </c>
      <c r="AR33" s="75">
        <f t="shared" si="15"/>
        <v>281159.875</v>
      </c>
      <c r="AS33" s="75">
        <f t="shared" si="15"/>
        <v>284097.375</v>
      </c>
      <c r="AT33" s="75">
        <f t="shared" si="15"/>
        <v>287034.875</v>
      </c>
      <c r="AU33" s="75">
        <f t="shared" si="15"/>
        <v>289972.375</v>
      </c>
      <c r="AV33" s="75">
        <f t="shared" si="15"/>
        <v>292909.875</v>
      </c>
      <c r="AW33" s="75">
        <f t="shared" si="15"/>
        <v>295847.375</v>
      </c>
      <c r="AX33" s="75">
        <f t="shared" si="15"/>
        <v>298784.875</v>
      </c>
      <c r="AY33" s="75">
        <f t="shared" si="15"/>
        <v>301722.375</v>
      </c>
      <c r="AZ33" s="75">
        <f t="shared" si="15"/>
        <v>304659.875</v>
      </c>
      <c r="BA33" s="75">
        <f t="shared" si="15"/>
        <v>307597.375</v>
      </c>
      <c r="BB33" s="75">
        <f t="shared" si="15"/>
        <v>310534.875</v>
      </c>
      <c r="BC33" s="75">
        <f t="shared" si="15"/>
        <v>313472.375</v>
      </c>
      <c r="BD33" s="75">
        <f t="shared" si="15"/>
        <v>316409.875</v>
      </c>
      <c r="BE33" s="75">
        <f t="shared" si="15"/>
        <v>319347.375</v>
      </c>
      <c r="BF33" s="75">
        <f t="shared" si="15"/>
        <v>322284.875</v>
      </c>
      <c r="BG33" s="75">
        <f t="shared" si="15"/>
        <v>325222.375</v>
      </c>
      <c r="BH33" s="75">
        <f t="shared" si="15"/>
        <v>328159.875</v>
      </c>
      <c r="BI33" s="75">
        <f t="shared" si="15"/>
        <v>331097.375</v>
      </c>
      <c r="BJ33" s="75">
        <f t="shared" si="15"/>
        <v>334034.875</v>
      </c>
      <c r="BK33" s="75">
        <f t="shared" si="15"/>
        <v>336972.375</v>
      </c>
    </row>
    <row r="34" spans="2:63" x14ac:dyDescent="0.25">
      <c r="C34" s="75"/>
    </row>
    <row r="35" spans="2:63" x14ac:dyDescent="0.25">
      <c r="C35" s="75"/>
    </row>
    <row r="36" spans="2:63" x14ac:dyDescent="0.25">
      <c r="B36" s="12" t="s">
        <v>231</v>
      </c>
      <c r="C36" s="75"/>
    </row>
    <row r="37" spans="2:63" s="102" customFormat="1" x14ac:dyDescent="0.25">
      <c r="B37" s="102" t="s">
        <v>232</v>
      </c>
      <c r="C37" s="103"/>
      <c r="D37" s="103">
        <f t="shared" ref="D37:BK37" si="16">+D25*$C$8</f>
        <v>196113.28</v>
      </c>
      <c r="E37" s="103">
        <f t="shared" si="16"/>
        <v>199633.28</v>
      </c>
      <c r="F37" s="103">
        <f t="shared" si="16"/>
        <v>203153.28</v>
      </c>
      <c r="G37" s="103">
        <f t="shared" si="16"/>
        <v>206673.28</v>
      </c>
      <c r="H37" s="103">
        <f t="shared" si="16"/>
        <v>210193.28</v>
      </c>
      <c r="I37" s="103">
        <f t="shared" si="16"/>
        <v>213713.28</v>
      </c>
      <c r="J37" s="103">
        <f t="shared" si="16"/>
        <v>217233.28</v>
      </c>
      <c r="K37" s="103">
        <f t="shared" si="16"/>
        <v>220753.28</v>
      </c>
      <c r="L37" s="103">
        <f t="shared" si="16"/>
        <v>224273.28</v>
      </c>
      <c r="M37" s="103">
        <f t="shared" si="16"/>
        <v>227793.28</v>
      </c>
      <c r="N37" s="103">
        <f t="shared" si="16"/>
        <v>231313.28</v>
      </c>
      <c r="O37" s="103">
        <f t="shared" si="16"/>
        <v>234833.28</v>
      </c>
      <c r="P37" s="103">
        <f t="shared" si="16"/>
        <v>238353.28</v>
      </c>
      <c r="Q37" s="103">
        <f t="shared" si="16"/>
        <v>241873.28</v>
      </c>
      <c r="R37" s="103">
        <f t="shared" si="16"/>
        <v>245393.28</v>
      </c>
      <c r="S37" s="103">
        <f t="shared" si="16"/>
        <v>248913.28</v>
      </c>
      <c r="T37" s="103">
        <f t="shared" si="16"/>
        <v>252433.28</v>
      </c>
      <c r="U37" s="103">
        <f t="shared" si="16"/>
        <v>255953.28</v>
      </c>
      <c r="V37" s="103">
        <f t="shared" si="16"/>
        <v>259473.28</v>
      </c>
      <c r="W37" s="103">
        <f t="shared" si="16"/>
        <v>262993.28000000003</v>
      </c>
      <c r="X37" s="103">
        <f t="shared" si="16"/>
        <v>266513.28000000003</v>
      </c>
      <c r="Y37" s="103">
        <f t="shared" si="16"/>
        <v>270033.28000000003</v>
      </c>
      <c r="Z37" s="103">
        <f t="shared" si="16"/>
        <v>273553.28000000003</v>
      </c>
      <c r="AA37" s="103">
        <f t="shared" si="16"/>
        <v>277073.28000000003</v>
      </c>
      <c r="AB37" s="103">
        <f t="shared" si="16"/>
        <v>280593.28000000003</v>
      </c>
      <c r="AC37" s="103">
        <f t="shared" si="16"/>
        <v>284113.28000000003</v>
      </c>
      <c r="AD37" s="103">
        <f t="shared" si="16"/>
        <v>287633.28000000003</v>
      </c>
      <c r="AE37" s="103">
        <f t="shared" si="16"/>
        <v>291153.28000000003</v>
      </c>
      <c r="AF37" s="103">
        <f t="shared" si="16"/>
        <v>294673.28000000003</v>
      </c>
      <c r="AG37" s="103">
        <f t="shared" si="16"/>
        <v>298193.28000000003</v>
      </c>
      <c r="AH37" s="103">
        <f t="shared" si="16"/>
        <v>301713.28000000003</v>
      </c>
      <c r="AI37" s="103">
        <f t="shared" si="16"/>
        <v>305233.28000000003</v>
      </c>
      <c r="AJ37" s="103">
        <f t="shared" si="16"/>
        <v>308753.28000000003</v>
      </c>
      <c r="AK37" s="103">
        <f t="shared" si="16"/>
        <v>312273.28000000003</v>
      </c>
      <c r="AL37" s="103">
        <f t="shared" si="16"/>
        <v>315793.28000000003</v>
      </c>
      <c r="AM37" s="103">
        <f t="shared" si="16"/>
        <v>319313.28000000003</v>
      </c>
      <c r="AN37" s="103">
        <f t="shared" si="16"/>
        <v>322833.28000000003</v>
      </c>
      <c r="AO37" s="103">
        <f t="shared" si="16"/>
        <v>326353.28000000003</v>
      </c>
      <c r="AP37" s="103">
        <f t="shared" si="16"/>
        <v>329873.28000000003</v>
      </c>
      <c r="AQ37" s="103">
        <f t="shared" si="16"/>
        <v>333393.28000000003</v>
      </c>
      <c r="AR37" s="103">
        <f t="shared" si="16"/>
        <v>336913.28</v>
      </c>
      <c r="AS37" s="103">
        <f t="shared" si="16"/>
        <v>340433.28</v>
      </c>
      <c r="AT37" s="103">
        <f t="shared" si="16"/>
        <v>343953.28</v>
      </c>
      <c r="AU37" s="103">
        <f t="shared" si="16"/>
        <v>347473.28</v>
      </c>
      <c r="AV37" s="103">
        <f t="shared" si="16"/>
        <v>350993.28</v>
      </c>
      <c r="AW37" s="103">
        <f t="shared" si="16"/>
        <v>354513.28</v>
      </c>
      <c r="AX37" s="103">
        <f t="shared" si="16"/>
        <v>358033.28</v>
      </c>
      <c r="AY37" s="103">
        <f t="shared" si="16"/>
        <v>361553.28</v>
      </c>
      <c r="AZ37" s="103">
        <f t="shared" si="16"/>
        <v>365073.28</v>
      </c>
      <c r="BA37" s="103">
        <f t="shared" si="16"/>
        <v>368593.28</v>
      </c>
      <c r="BB37" s="103">
        <f t="shared" si="16"/>
        <v>372113.28</v>
      </c>
      <c r="BC37" s="103">
        <f t="shared" si="16"/>
        <v>375633.28</v>
      </c>
      <c r="BD37" s="103">
        <f t="shared" si="16"/>
        <v>379153.28</v>
      </c>
      <c r="BE37" s="103">
        <f t="shared" si="16"/>
        <v>382673.28</v>
      </c>
      <c r="BF37" s="103">
        <f t="shared" si="16"/>
        <v>386193.28</v>
      </c>
      <c r="BG37" s="103">
        <f t="shared" si="16"/>
        <v>389713.28</v>
      </c>
      <c r="BH37" s="103">
        <f t="shared" si="16"/>
        <v>393233.28</v>
      </c>
      <c r="BI37" s="103">
        <f t="shared" si="16"/>
        <v>396753.28</v>
      </c>
      <c r="BJ37" s="103">
        <f t="shared" si="16"/>
        <v>400273.28</v>
      </c>
      <c r="BK37" s="103">
        <f t="shared" si="16"/>
        <v>403793.28</v>
      </c>
    </row>
    <row r="38" spans="2:63" x14ac:dyDescent="0.25">
      <c r="B38" t="s">
        <v>238</v>
      </c>
      <c r="C38" s="75"/>
      <c r="D38" s="75">
        <f t="shared" ref="D38:BK38" si="17">+(D25-D28)*$C$8</f>
        <v>188963.30000000002</v>
      </c>
      <c r="E38" s="75">
        <f t="shared" si="17"/>
        <v>185076.68</v>
      </c>
      <c r="F38" s="75">
        <f t="shared" si="17"/>
        <v>180933.38</v>
      </c>
      <c r="G38" s="75">
        <f t="shared" si="17"/>
        <v>176533.42</v>
      </c>
      <c r="H38" s="75">
        <f t="shared" si="17"/>
        <v>171876.78</v>
      </c>
      <c r="I38" s="75">
        <f t="shared" si="17"/>
        <v>166963.5</v>
      </c>
      <c r="J38" s="75">
        <f t="shared" si="17"/>
        <v>161793.51999999999</v>
      </c>
      <c r="K38" s="75">
        <f t="shared" si="17"/>
        <v>156366.9</v>
      </c>
      <c r="L38" s="75">
        <f t="shared" si="17"/>
        <v>150683.6</v>
      </c>
      <c r="M38" s="75">
        <f t="shared" si="17"/>
        <v>144743.64000000001</v>
      </c>
      <c r="N38" s="75">
        <f t="shared" si="17"/>
        <v>138547</v>
      </c>
      <c r="O38" s="75">
        <f t="shared" si="17"/>
        <v>132093.72</v>
      </c>
      <c r="P38" s="75">
        <f t="shared" si="17"/>
        <v>134073.72</v>
      </c>
      <c r="Q38" s="75">
        <f t="shared" si="17"/>
        <v>136053.72</v>
      </c>
      <c r="R38" s="75">
        <f t="shared" si="17"/>
        <v>138033.72</v>
      </c>
      <c r="S38" s="75">
        <f t="shared" si="17"/>
        <v>140013.72</v>
      </c>
      <c r="T38" s="75">
        <f t="shared" si="17"/>
        <v>141993.72</v>
      </c>
      <c r="U38" s="75">
        <f t="shared" si="17"/>
        <v>143973.72</v>
      </c>
      <c r="V38" s="75">
        <f t="shared" si="17"/>
        <v>145953.72</v>
      </c>
      <c r="W38" s="75">
        <f t="shared" si="17"/>
        <v>147933.72</v>
      </c>
      <c r="X38" s="75">
        <f t="shared" si="17"/>
        <v>149913.72</v>
      </c>
      <c r="Y38" s="75">
        <f t="shared" si="17"/>
        <v>151893.72</v>
      </c>
      <c r="Z38" s="75">
        <f t="shared" si="17"/>
        <v>153873.72</v>
      </c>
      <c r="AA38" s="75">
        <f t="shared" si="17"/>
        <v>155853.72</v>
      </c>
      <c r="AB38" s="75">
        <f t="shared" si="17"/>
        <v>157833.72</v>
      </c>
      <c r="AC38" s="75">
        <f t="shared" si="17"/>
        <v>159813.72</v>
      </c>
      <c r="AD38" s="75">
        <f t="shared" si="17"/>
        <v>161793.72</v>
      </c>
      <c r="AE38" s="75">
        <f t="shared" si="17"/>
        <v>163773.72</v>
      </c>
      <c r="AF38" s="75">
        <f t="shared" si="17"/>
        <v>165753.72</v>
      </c>
      <c r="AG38" s="75">
        <f t="shared" si="17"/>
        <v>167733.72</v>
      </c>
      <c r="AH38" s="75">
        <f t="shared" si="17"/>
        <v>169713.72</v>
      </c>
      <c r="AI38" s="75">
        <f t="shared" si="17"/>
        <v>171693.72</v>
      </c>
      <c r="AJ38" s="75">
        <f t="shared" si="17"/>
        <v>173673.72</v>
      </c>
      <c r="AK38" s="75">
        <f t="shared" si="17"/>
        <v>175653.72</v>
      </c>
      <c r="AL38" s="75">
        <f t="shared" si="17"/>
        <v>177633.72</v>
      </c>
      <c r="AM38" s="75">
        <f t="shared" si="17"/>
        <v>179613.72</v>
      </c>
      <c r="AN38" s="75">
        <f t="shared" si="17"/>
        <v>181593.72</v>
      </c>
      <c r="AO38" s="75">
        <f t="shared" si="17"/>
        <v>183573.72</v>
      </c>
      <c r="AP38" s="75">
        <f t="shared" si="17"/>
        <v>185553.72</v>
      </c>
      <c r="AQ38" s="75">
        <f t="shared" si="17"/>
        <v>187533.72</v>
      </c>
      <c r="AR38" s="75">
        <f t="shared" si="17"/>
        <v>189513.72</v>
      </c>
      <c r="AS38" s="75">
        <f t="shared" si="17"/>
        <v>191493.72</v>
      </c>
      <c r="AT38" s="75">
        <f t="shared" si="17"/>
        <v>193473.72</v>
      </c>
      <c r="AU38" s="75">
        <f t="shared" si="17"/>
        <v>195453.72</v>
      </c>
      <c r="AV38" s="75">
        <f t="shared" si="17"/>
        <v>197433.72</v>
      </c>
      <c r="AW38" s="75">
        <f t="shared" si="17"/>
        <v>199413.72</v>
      </c>
      <c r="AX38" s="75">
        <f t="shared" si="17"/>
        <v>201393.72</v>
      </c>
      <c r="AY38" s="75">
        <f t="shared" si="17"/>
        <v>203373.72</v>
      </c>
      <c r="AZ38" s="75">
        <f t="shared" si="17"/>
        <v>205353.72</v>
      </c>
      <c r="BA38" s="75">
        <f t="shared" si="17"/>
        <v>207333.72</v>
      </c>
      <c r="BB38" s="75">
        <f t="shared" si="17"/>
        <v>209313.72</v>
      </c>
      <c r="BC38" s="75">
        <f t="shared" si="17"/>
        <v>211293.72</v>
      </c>
      <c r="BD38" s="75">
        <f t="shared" si="17"/>
        <v>213273.72</v>
      </c>
      <c r="BE38" s="75">
        <f t="shared" si="17"/>
        <v>215253.72</v>
      </c>
      <c r="BF38" s="75">
        <f t="shared" si="17"/>
        <v>217233.72</v>
      </c>
      <c r="BG38" s="75">
        <f t="shared" si="17"/>
        <v>219213.72</v>
      </c>
      <c r="BH38" s="75">
        <f t="shared" si="17"/>
        <v>221193.72</v>
      </c>
      <c r="BI38" s="75">
        <f t="shared" si="17"/>
        <v>223173.72</v>
      </c>
      <c r="BJ38" s="75">
        <f t="shared" si="17"/>
        <v>225153.72</v>
      </c>
      <c r="BK38" s="75">
        <f t="shared" si="17"/>
        <v>227133.72</v>
      </c>
    </row>
    <row r="39" spans="2:63" x14ac:dyDescent="0.25">
      <c r="B39" t="s">
        <v>108</v>
      </c>
      <c r="C39" s="75">
        <f>+'Recursos Adicionales'!E11</f>
        <v>90271.2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</row>
    <row r="40" spans="2:63" x14ac:dyDescent="0.25">
      <c r="B40" t="s">
        <v>298</v>
      </c>
      <c r="C40" s="75">
        <f>+'Consolidado Latinia'!C17</f>
        <v>130786.4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>
        <f>+'Consolidado Latinia'!D17</f>
        <v>66766.399999999994</v>
      </c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>
        <f>+'Consolidado Latinia'!E17</f>
        <v>66766.399999999994</v>
      </c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>
        <f>+'Consolidado Latinia'!F17</f>
        <v>66766.399999999994</v>
      </c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>
        <f>+'Consolidado Latinia'!G17</f>
        <v>66766.399999999994</v>
      </c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</row>
    <row r="41" spans="2:63" x14ac:dyDescent="0.25">
      <c r="B41" t="s">
        <v>309</v>
      </c>
      <c r="C41" s="75">
        <f>+'Propuesta Latinia (2)'!F17</f>
        <v>498273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>
        <f>+'Propuesta Latinia (2)'!D16+'Propuesta Latinia (2)'!D26</f>
        <v>191306</v>
      </c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>
        <f>+'Propuesta Latinia (2)'!D16+'Propuesta Latinia (2)'!E26</f>
        <v>172188</v>
      </c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>
        <f>+'Propuesta Latinia (2)'!D16+'Propuesta Latinia (2)'!F26</f>
        <v>166876</v>
      </c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>
        <f>+'Caso de Negocio'!F23+'Caso de Negocio'!F25</f>
        <v>132574</v>
      </c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</row>
    <row r="42" spans="2:63" x14ac:dyDescent="0.25">
      <c r="B42" t="s">
        <v>306</v>
      </c>
      <c r="C42" s="75"/>
      <c r="D42" s="75">
        <v>0</v>
      </c>
      <c r="E42" s="75">
        <f>+D42</f>
        <v>0</v>
      </c>
      <c r="F42" s="75">
        <f t="shared" ref="F42:AY42" si="18">+E42</f>
        <v>0</v>
      </c>
      <c r="G42" s="75">
        <f t="shared" si="18"/>
        <v>0</v>
      </c>
      <c r="H42" s="75">
        <f t="shared" si="18"/>
        <v>0</v>
      </c>
      <c r="I42" s="75">
        <f t="shared" si="18"/>
        <v>0</v>
      </c>
      <c r="J42" s="75">
        <f t="shared" si="18"/>
        <v>0</v>
      </c>
      <c r="K42" s="75">
        <f t="shared" si="18"/>
        <v>0</v>
      </c>
      <c r="L42" s="75">
        <f t="shared" si="18"/>
        <v>0</v>
      </c>
      <c r="M42" s="75">
        <f t="shared" si="18"/>
        <v>0</v>
      </c>
      <c r="N42" s="75">
        <f t="shared" si="18"/>
        <v>0</v>
      </c>
      <c r="O42" s="75">
        <f t="shared" si="18"/>
        <v>0</v>
      </c>
      <c r="P42" s="75">
        <f t="shared" si="18"/>
        <v>0</v>
      </c>
      <c r="Q42" s="75">
        <f t="shared" si="18"/>
        <v>0</v>
      </c>
      <c r="R42" s="75">
        <f t="shared" si="18"/>
        <v>0</v>
      </c>
      <c r="S42" s="75">
        <f t="shared" si="18"/>
        <v>0</v>
      </c>
      <c r="T42" s="75">
        <f t="shared" si="18"/>
        <v>0</v>
      </c>
      <c r="U42" s="75">
        <f t="shared" si="18"/>
        <v>0</v>
      </c>
      <c r="V42" s="75">
        <f t="shared" si="18"/>
        <v>0</v>
      </c>
      <c r="W42" s="75">
        <f t="shared" si="18"/>
        <v>0</v>
      </c>
      <c r="X42" s="75">
        <f t="shared" si="18"/>
        <v>0</v>
      </c>
      <c r="Y42" s="75">
        <f t="shared" si="18"/>
        <v>0</v>
      </c>
      <c r="Z42" s="75">
        <f t="shared" si="18"/>
        <v>0</v>
      </c>
      <c r="AA42" s="75">
        <f t="shared" si="18"/>
        <v>0</v>
      </c>
      <c r="AB42" s="75">
        <f t="shared" si="18"/>
        <v>0</v>
      </c>
      <c r="AC42" s="75">
        <f t="shared" si="18"/>
        <v>0</v>
      </c>
      <c r="AD42" s="75">
        <f t="shared" si="18"/>
        <v>0</v>
      </c>
      <c r="AE42" s="75">
        <f t="shared" si="18"/>
        <v>0</v>
      </c>
      <c r="AF42" s="75">
        <f t="shared" si="18"/>
        <v>0</v>
      </c>
      <c r="AG42" s="75">
        <f t="shared" si="18"/>
        <v>0</v>
      </c>
      <c r="AH42" s="75">
        <f t="shared" si="18"/>
        <v>0</v>
      </c>
      <c r="AI42" s="75">
        <f t="shared" si="18"/>
        <v>0</v>
      </c>
      <c r="AJ42" s="75">
        <f t="shared" si="18"/>
        <v>0</v>
      </c>
      <c r="AK42" s="75">
        <f t="shared" si="18"/>
        <v>0</v>
      </c>
      <c r="AL42" s="75">
        <f t="shared" si="18"/>
        <v>0</v>
      </c>
      <c r="AM42" s="75">
        <f t="shared" si="18"/>
        <v>0</v>
      </c>
      <c r="AN42" s="75">
        <f t="shared" si="18"/>
        <v>0</v>
      </c>
      <c r="AO42" s="75">
        <f t="shared" si="18"/>
        <v>0</v>
      </c>
      <c r="AP42" s="75">
        <f t="shared" si="18"/>
        <v>0</v>
      </c>
      <c r="AQ42" s="75">
        <f t="shared" si="18"/>
        <v>0</v>
      </c>
      <c r="AR42" s="75">
        <f t="shared" si="18"/>
        <v>0</v>
      </c>
      <c r="AS42" s="75">
        <f t="shared" si="18"/>
        <v>0</v>
      </c>
      <c r="AT42" s="75">
        <f t="shared" si="18"/>
        <v>0</v>
      </c>
      <c r="AU42" s="75">
        <f t="shared" si="18"/>
        <v>0</v>
      </c>
      <c r="AV42" s="75">
        <f>+AU42</f>
        <v>0</v>
      </c>
      <c r="AW42" s="75">
        <f t="shared" si="18"/>
        <v>0</v>
      </c>
      <c r="AX42" s="75">
        <f t="shared" si="18"/>
        <v>0</v>
      </c>
      <c r="AY42" s="75">
        <f t="shared" si="18"/>
        <v>0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</row>
    <row r="43" spans="2:63" x14ac:dyDescent="0.25"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</row>
    <row r="44" spans="2:63" s="12" customFormat="1" x14ac:dyDescent="0.25">
      <c r="B44" s="12" t="s">
        <v>308</v>
      </c>
      <c r="C44" s="104">
        <f>+SUM(C38:C43)</f>
        <v>719330.6</v>
      </c>
      <c r="D44" s="104">
        <f>+SUM(D38:D43)</f>
        <v>188963.30000000002</v>
      </c>
      <c r="E44" s="104">
        <f t="shared" ref="E44:BK44" si="19">+SUM(E38:E43)</f>
        <v>185076.68</v>
      </c>
      <c r="F44" s="104">
        <f t="shared" si="19"/>
        <v>180933.38</v>
      </c>
      <c r="G44" s="104">
        <f t="shared" si="19"/>
        <v>176533.42</v>
      </c>
      <c r="H44" s="104">
        <f t="shared" si="19"/>
        <v>171876.78</v>
      </c>
      <c r="I44" s="104">
        <f t="shared" si="19"/>
        <v>166963.5</v>
      </c>
      <c r="J44" s="104">
        <f t="shared" si="19"/>
        <v>161793.51999999999</v>
      </c>
      <c r="K44" s="104">
        <f t="shared" si="19"/>
        <v>156366.9</v>
      </c>
      <c r="L44" s="104">
        <f t="shared" si="19"/>
        <v>150683.6</v>
      </c>
      <c r="M44" s="104">
        <f t="shared" si="19"/>
        <v>144743.64000000001</v>
      </c>
      <c r="N44" s="104">
        <f t="shared" si="19"/>
        <v>138547</v>
      </c>
      <c r="O44" s="104">
        <f t="shared" si="19"/>
        <v>390166.12</v>
      </c>
      <c r="P44" s="104">
        <f t="shared" si="19"/>
        <v>134073.72</v>
      </c>
      <c r="Q44" s="104">
        <f t="shared" si="19"/>
        <v>136053.72</v>
      </c>
      <c r="R44" s="104">
        <f t="shared" si="19"/>
        <v>138033.72</v>
      </c>
      <c r="S44" s="104">
        <f t="shared" si="19"/>
        <v>140013.72</v>
      </c>
      <c r="T44" s="104">
        <f t="shared" si="19"/>
        <v>141993.72</v>
      </c>
      <c r="U44" s="104">
        <f t="shared" si="19"/>
        <v>143973.72</v>
      </c>
      <c r="V44" s="104">
        <f t="shared" si="19"/>
        <v>145953.72</v>
      </c>
      <c r="W44" s="104">
        <f t="shared" si="19"/>
        <v>147933.72</v>
      </c>
      <c r="X44" s="104">
        <f t="shared" si="19"/>
        <v>149913.72</v>
      </c>
      <c r="Y44" s="104">
        <f t="shared" si="19"/>
        <v>151893.72</v>
      </c>
      <c r="Z44" s="104">
        <f t="shared" si="19"/>
        <v>153873.72</v>
      </c>
      <c r="AA44" s="104">
        <f t="shared" si="19"/>
        <v>394808.12</v>
      </c>
      <c r="AB44" s="104">
        <f t="shared" si="19"/>
        <v>157833.72</v>
      </c>
      <c r="AC44" s="104">
        <f t="shared" si="19"/>
        <v>159813.72</v>
      </c>
      <c r="AD44" s="104">
        <f t="shared" si="19"/>
        <v>161793.72</v>
      </c>
      <c r="AE44" s="104">
        <f t="shared" si="19"/>
        <v>163773.72</v>
      </c>
      <c r="AF44" s="104">
        <f t="shared" si="19"/>
        <v>165753.72</v>
      </c>
      <c r="AG44" s="104">
        <f t="shared" si="19"/>
        <v>167733.72</v>
      </c>
      <c r="AH44" s="104">
        <f t="shared" si="19"/>
        <v>169713.72</v>
      </c>
      <c r="AI44" s="104">
        <f t="shared" si="19"/>
        <v>171693.72</v>
      </c>
      <c r="AJ44" s="104">
        <f t="shared" si="19"/>
        <v>173673.72</v>
      </c>
      <c r="AK44" s="104">
        <f t="shared" si="19"/>
        <v>175653.72</v>
      </c>
      <c r="AL44" s="104">
        <f t="shared" si="19"/>
        <v>177633.72</v>
      </c>
      <c r="AM44" s="104">
        <f t="shared" si="19"/>
        <v>413256.12</v>
      </c>
      <c r="AN44" s="104">
        <f t="shared" si="19"/>
        <v>181593.72</v>
      </c>
      <c r="AO44" s="104">
        <f t="shared" si="19"/>
        <v>183573.72</v>
      </c>
      <c r="AP44" s="104">
        <f t="shared" si="19"/>
        <v>185553.72</v>
      </c>
      <c r="AQ44" s="104">
        <f t="shared" si="19"/>
        <v>187533.72</v>
      </c>
      <c r="AR44" s="104">
        <f t="shared" si="19"/>
        <v>189513.72</v>
      </c>
      <c r="AS44" s="104">
        <f t="shared" si="19"/>
        <v>191493.72</v>
      </c>
      <c r="AT44" s="104">
        <f t="shared" si="19"/>
        <v>193473.72</v>
      </c>
      <c r="AU44" s="104">
        <f t="shared" si="19"/>
        <v>195453.72</v>
      </c>
      <c r="AV44" s="104">
        <f t="shared" si="19"/>
        <v>197433.72</v>
      </c>
      <c r="AW44" s="104">
        <f t="shared" si="19"/>
        <v>199413.72</v>
      </c>
      <c r="AX44" s="104">
        <f t="shared" si="19"/>
        <v>201393.72</v>
      </c>
      <c r="AY44" s="104">
        <f t="shared" si="19"/>
        <v>402714.12</v>
      </c>
      <c r="AZ44" s="104">
        <f t="shared" si="19"/>
        <v>205353.72</v>
      </c>
      <c r="BA44" s="104">
        <f t="shared" si="19"/>
        <v>207333.72</v>
      </c>
      <c r="BB44" s="104">
        <f t="shared" si="19"/>
        <v>209313.72</v>
      </c>
      <c r="BC44" s="104">
        <f t="shared" si="19"/>
        <v>211293.72</v>
      </c>
      <c r="BD44" s="104">
        <f t="shared" si="19"/>
        <v>213273.72</v>
      </c>
      <c r="BE44" s="104">
        <f t="shared" si="19"/>
        <v>215253.72</v>
      </c>
      <c r="BF44" s="104">
        <f t="shared" si="19"/>
        <v>217233.72</v>
      </c>
      <c r="BG44" s="104">
        <f t="shared" si="19"/>
        <v>219213.72</v>
      </c>
      <c r="BH44" s="104">
        <f t="shared" si="19"/>
        <v>221193.72</v>
      </c>
      <c r="BI44" s="104">
        <f t="shared" si="19"/>
        <v>223173.72</v>
      </c>
      <c r="BJ44" s="104">
        <f t="shared" si="19"/>
        <v>225153.72</v>
      </c>
      <c r="BK44" s="104">
        <f t="shared" si="19"/>
        <v>227133.72</v>
      </c>
    </row>
    <row r="45" spans="2:63" x14ac:dyDescent="0.25"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</row>
    <row r="46" spans="2:63" x14ac:dyDescent="0.25">
      <c r="B46" t="s">
        <v>310</v>
      </c>
      <c r="C46" s="75"/>
      <c r="D46" s="75">
        <f>+D33-D44</f>
        <v>-25303.425000000017</v>
      </c>
      <c r="E46" s="75">
        <f t="shared" ref="E46:BK46" si="20">+E33-E44</f>
        <v>-18479.304999999993</v>
      </c>
      <c r="F46" s="75">
        <f t="shared" si="20"/>
        <v>-11398.505000000005</v>
      </c>
      <c r="G46" s="75">
        <f t="shared" si="20"/>
        <v>-4061.0450000000128</v>
      </c>
      <c r="H46" s="75">
        <f t="shared" si="20"/>
        <v>3533.0950000000012</v>
      </c>
      <c r="I46" s="75">
        <f t="shared" si="20"/>
        <v>11383.875</v>
      </c>
      <c r="J46" s="75">
        <f t="shared" si="20"/>
        <v>19491.35500000001</v>
      </c>
      <c r="K46" s="75">
        <f t="shared" si="20"/>
        <v>27855.475000000006</v>
      </c>
      <c r="L46" s="75">
        <f t="shared" si="20"/>
        <v>36476.274999999994</v>
      </c>
      <c r="M46" s="75">
        <f t="shared" si="20"/>
        <v>45353.734999999986</v>
      </c>
      <c r="N46" s="75">
        <f t="shared" si="20"/>
        <v>54487.875</v>
      </c>
      <c r="O46" s="75">
        <f t="shared" si="20"/>
        <v>-194193.745</v>
      </c>
      <c r="P46" s="75">
        <f t="shared" si="20"/>
        <v>64836.154999999999</v>
      </c>
      <c r="Q46" s="75">
        <f t="shared" si="20"/>
        <v>65793.654999999999</v>
      </c>
      <c r="R46" s="75">
        <f t="shared" si="20"/>
        <v>66751.154999999999</v>
      </c>
      <c r="S46" s="75">
        <f t="shared" si="20"/>
        <v>67708.654999999999</v>
      </c>
      <c r="T46" s="75">
        <f t="shared" si="20"/>
        <v>68666.154999999999</v>
      </c>
      <c r="U46" s="75">
        <f t="shared" si="20"/>
        <v>69623.654999999999</v>
      </c>
      <c r="V46" s="75">
        <f t="shared" si="20"/>
        <v>70581.154999999999</v>
      </c>
      <c r="W46" s="75">
        <f t="shared" si="20"/>
        <v>71538.654999999999</v>
      </c>
      <c r="X46" s="75">
        <f t="shared" si="20"/>
        <v>72496.154999999999</v>
      </c>
      <c r="Y46" s="75">
        <f t="shared" si="20"/>
        <v>73453.654999999999</v>
      </c>
      <c r="Z46" s="75">
        <f t="shared" si="20"/>
        <v>74411.154999999999</v>
      </c>
      <c r="AA46" s="75">
        <f t="shared" si="20"/>
        <v>-163585.745</v>
      </c>
      <c r="AB46" s="75">
        <f t="shared" si="20"/>
        <v>76326.154999999999</v>
      </c>
      <c r="AC46" s="75">
        <f t="shared" si="20"/>
        <v>77283.654999999999</v>
      </c>
      <c r="AD46" s="75">
        <f t="shared" si="20"/>
        <v>78241.154999999999</v>
      </c>
      <c r="AE46" s="75">
        <f t="shared" si="20"/>
        <v>79198.654999999999</v>
      </c>
      <c r="AF46" s="75">
        <f t="shared" si="20"/>
        <v>80156.154999999999</v>
      </c>
      <c r="AG46" s="75">
        <f t="shared" si="20"/>
        <v>81113.654999999999</v>
      </c>
      <c r="AH46" s="75">
        <f t="shared" si="20"/>
        <v>82071.154999999999</v>
      </c>
      <c r="AI46" s="75">
        <f t="shared" si="20"/>
        <v>83028.654999999999</v>
      </c>
      <c r="AJ46" s="75">
        <f t="shared" si="20"/>
        <v>83986.15499999997</v>
      </c>
      <c r="AK46" s="75">
        <f t="shared" si="20"/>
        <v>84943.65499999997</v>
      </c>
      <c r="AL46" s="75">
        <f t="shared" si="20"/>
        <v>85901.154999999999</v>
      </c>
      <c r="AM46" s="75">
        <f t="shared" si="20"/>
        <v>-146783.745</v>
      </c>
      <c r="AN46" s="75">
        <f t="shared" si="20"/>
        <v>87816.154999999999</v>
      </c>
      <c r="AO46" s="75">
        <f t="shared" si="20"/>
        <v>88773.654999999999</v>
      </c>
      <c r="AP46" s="75">
        <f t="shared" si="20"/>
        <v>89731.154999999999</v>
      </c>
      <c r="AQ46" s="75">
        <f t="shared" si="20"/>
        <v>90688.654999999999</v>
      </c>
      <c r="AR46" s="75">
        <f t="shared" si="20"/>
        <v>91646.154999999999</v>
      </c>
      <c r="AS46" s="75">
        <f t="shared" si="20"/>
        <v>92603.654999999999</v>
      </c>
      <c r="AT46" s="75">
        <f t="shared" si="20"/>
        <v>93561.154999999999</v>
      </c>
      <c r="AU46" s="75">
        <f t="shared" si="20"/>
        <v>94518.654999999999</v>
      </c>
      <c r="AV46" s="75">
        <f t="shared" si="20"/>
        <v>95476.154999999999</v>
      </c>
      <c r="AW46" s="75">
        <f t="shared" si="20"/>
        <v>96433.654999999999</v>
      </c>
      <c r="AX46" s="75">
        <f t="shared" si="20"/>
        <v>97391.154999999999</v>
      </c>
      <c r="AY46" s="75">
        <f t="shared" si="20"/>
        <v>-100991.745</v>
      </c>
      <c r="AZ46" s="75">
        <f t="shared" si="20"/>
        <v>99306.154999999999</v>
      </c>
      <c r="BA46" s="75">
        <f t="shared" si="20"/>
        <v>100263.655</v>
      </c>
      <c r="BB46" s="75">
        <f t="shared" si="20"/>
        <v>101221.155</v>
      </c>
      <c r="BC46" s="75">
        <f t="shared" si="20"/>
        <v>102178.655</v>
      </c>
      <c r="BD46" s="75">
        <f t="shared" si="20"/>
        <v>103136.155</v>
      </c>
      <c r="BE46" s="75">
        <f t="shared" si="20"/>
        <v>104093.655</v>
      </c>
      <c r="BF46" s="75">
        <f t="shared" si="20"/>
        <v>105051.155</v>
      </c>
      <c r="BG46" s="75">
        <f t="shared" si="20"/>
        <v>106008.655</v>
      </c>
      <c r="BH46" s="75">
        <f t="shared" si="20"/>
        <v>106966.155</v>
      </c>
      <c r="BI46" s="75">
        <f t="shared" si="20"/>
        <v>107923.655</v>
      </c>
      <c r="BJ46" s="75">
        <f t="shared" si="20"/>
        <v>108881.155</v>
      </c>
      <c r="BK46" s="75">
        <f t="shared" si="20"/>
        <v>109838.655</v>
      </c>
    </row>
    <row r="47" spans="2:63" x14ac:dyDescent="0.25">
      <c r="B47" t="s">
        <v>57</v>
      </c>
      <c r="C47" s="75">
        <f>-C44</f>
        <v>-719330.6</v>
      </c>
      <c r="D47" s="75">
        <f>+D46+D42</f>
        <v>-25303.425000000017</v>
      </c>
      <c r="E47" s="75">
        <f t="shared" ref="E47:BK47" si="21">+E46+E42</f>
        <v>-18479.304999999993</v>
      </c>
      <c r="F47" s="75">
        <f t="shared" si="21"/>
        <v>-11398.505000000005</v>
      </c>
      <c r="G47" s="75">
        <f t="shared" si="21"/>
        <v>-4061.0450000000128</v>
      </c>
      <c r="H47" s="75">
        <f t="shared" si="21"/>
        <v>3533.0950000000012</v>
      </c>
      <c r="I47" s="75">
        <f t="shared" si="21"/>
        <v>11383.875</v>
      </c>
      <c r="J47" s="75">
        <f t="shared" si="21"/>
        <v>19491.35500000001</v>
      </c>
      <c r="K47" s="75">
        <f t="shared" si="21"/>
        <v>27855.475000000006</v>
      </c>
      <c r="L47" s="75">
        <f t="shared" si="21"/>
        <v>36476.274999999994</v>
      </c>
      <c r="M47" s="75">
        <f t="shared" si="21"/>
        <v>45353.734999999986</v>
      </c>
      <c r="N47" s="75">
        <f t="shared" si="21"/>
        <v>54487.875</v>
      </c>
      <c r="O47" s="75">
        <f t="shared" si="21"/>
        <v>-194193.745</v>
      </c>
      <c r="P47" s="75">
        <f t="shared" si="21"/>
        <v>64836.154999999999</v>
      </c>
      <c r="Q47" s="75">
        <f t="shared" si="21"/>
        <v>65793.654999999999</v>
      </c>
      <c r="R47" s="75">
        <f t="shared" si="21"/>
        <v>66751.154999999999</v>
      </c>
      <c r="S47" s="75">
        <f t="shared" si="21"/>
        <v>67708.654999999999</v>
      </c>
      <c r="T47" s="75">
        <f t="shared" si="21"/>
        <v>68666.154999999999</v>
      </c>
      <c r="U47" s="75">
        <f t="shared" si="21"/>
        <v>69623.654999999999</v>
      </c>
      <c r="V47" s="75">
        <f t="shared" si="21"/>
        <v>70581.154999999999</v>
      </c>
      <c r="W47" s="75">
        <f t="shared" si="21"/>
        <v>71538.654999999999</v>
      </c>
      <c r="X47" s="75">
        <f t="shared" si="21"/>
        <v>72496.154999999999</v>
      </c>
      <c r="Y47" s="75">
        <f t="shared" si="21"/>
        <v>73453.654999999999</v>
      </c>
      <c r="Z47" s="75">
        <f t="shared" si="21"/>
        <v>74411.154999999999</v>
      </c>
      <c r="AA47" s="75">
        <f t="shared" si="21"/>
        <v>-163585.745</v>
      </c>
      <c r="AB47" s="75">
        <f t="shared" si="21"/>
        <v>76326.154999999999</v>
      </c>
      <c r="AC47" s="75">
        <f t="shared" si="21"/>
        <v>77283.654999999999</v>
      </c>
      <c r="AD47" s="75">
        <f t="shared" si="21"/>
        <v>78241.154999999999</v>
      </c>
      <c r="AE47" s="75">
        <f t="shared" si="21"/>
        <v>79198.654999999999</v>
      </c>
      <c r="AF47" s="75">
        <f t="shared" si="21"/>
        <v>80156.154999999999</v>
      </c>
      <c r="AG47" s="75">
        <f t="shared" si="21"/>
        <v>81113.654999999999</v>
      </c>
      <c r="AH47" s="75">
        <f t="shared" si="21"/>
        <v>82071.154999999999</v>
      </c>
      <c r="AI47" s="75">
        <f t="shared" si="21"/>
        <v>83028.654999999999</v>
      </c>
      <c r="AJ47" s="75">
        <f t="shared" si="21"/>
        <v>83986.15499999997</v>
      </c>
      <c r="AK47" s="75">
        <f t="shared" si="21"/>
        <v>84943.65499999997</v>
      </c>
      <c r="AL47" s="75">
        <f t="shared" si="21"/>
        <v>85901.154999999999</v>
      </c>
      <c r="AM47" s="75">
        <f t="shared" si="21"/>
        <v>-146783.745</v>
      </c>
      <c r="AN47" s="75">
        <f t="shared" si="21"/>
        <v>87816.154999999999</v>
      </c>
      <c r="AO47" s="75">
        <f t="shared" si="21"/>
        <v>88773.654999999999</v>
      </c>
      <c r="AP47" s="75">
        <f t="shared" si="21"/>
        <v>89731.154999999999</v>
      </c>
      <c r="AQ47" s="75">
        <f t="shared" si="21"/>
        <v>90688.654999999999</v>
      </c>
      <c r="AR47" s="75">
        <f t="shared" si="21"/>
        <v>91646.154999999999</v>
      </c>
      <c r="AS47" s="75">
        <f t="shared" si="21"/>
        <v>92603.654999999999</v>
      </c>
      <c r="AT47" s="75">
        <f t="shared" si="21"/>
        <v>93561.154999999999</v>
      </c>
      <c r="AU47" s="75">
        <f t="shared" si="21"/>
        <v>94518.654999999999</v>
      </c>
      <c r="AV47" s="75">
        <f t="shared" si="21"/>
        <v>95476.154999999999</v>
      </c>
      <c r="AW47" s="75">
        <f t="shared" si="21"/>
        <v>96433.654999999999</v>
      </c>
      <c r="AX47" s="75">
        <f t="shared" si="21"/>
        <v>97391.154999999999</v>
      </c>
      <c r="AY47" s="75">
        <f t="shared" si="21"/>
        <v>-100991.745</v>
      </c>
      <c r="AZ47" s="75">
        <f t="shared" si="21"/>
        <v>99306.154999999999</v>
      </c>
      <c r="BA47" s="75">
        <f t="shared" si="21"/>
        <v>100263.655</v>
      </c>
      <c r="BB47" s="75">
        <f t="shared" si="21"/>
        <v>101221.155</v>
      </c>
      <c r="BC47" s="75">
        <f t="shared" si="21"/>
        <v>102178.655</v>
      </c>
      <c r="BD47" s="75">
        <f t="shared" si="21"/>
        <v>103136.155</v>
      </c>
      <c r="BE47" s="75">
        <f t="shared" si="21"/>
        <v>104093.655</v>
      </c>
      <c r="BF47" s="75">
        <f t="shared" si="21"/>
        <v>105051.155</v>
      </c>
      <c r="BG47" s="75">
        <f t="shared" si="21"/>
        <v>106008.655</v>
      </c>
      <c r="BH47" s="75">
        <f t="shared" si="21"/>
        <v>106966.155</v>
      </c>
      <c r="BI47" s="75">
        <f t="shared" si="21"/>
        <v>107923.655</v>
      </c>
      <c r="BJ47" s="75">
        <f t="shared" si="21"/>
        <v>108881.155</v>
      </c>
      <c r="BK47" s="75">
        <f t="shared" si="21"/>
        <v>109838.655</v>
      </c>
    </row>
    <row r="48" spans="2:63" x14ac:dyDescent="0.25">
      <c r="B48" t="s">
        <v>311</v>
      </c>
      <c r="C48" s="75">
        <f>+C47</f>
        <v>-719330.6</v>
      </c>
      <c r="D48" s="75">
        <f>+C48+D47</f>
        <v>-744634.02500000002</v>
      </c>
      <c r="E48" s="75">
        <f t="shared" ref="E48:BK48" si="22">+D48+E47</f>
        <v>-763113.33000000007</v>
      </c>
      <c r="F48" s="75">
        <f t="shared" si="22"/>
        <v>-774511.83500000008</v>
      </c>
      <c r="G48" s="75">
        <f t="shared" si="22"/>
        <v>-778572.88000000012</v>
      </c>
      <c r="H48" s="75">
        <f t="shared" si="22"/>
        <v>-775039.78500000015</v>
      </c>
      <c r="I48" s="75">
        <f t="shared" si="22"/>
        <v>-763655.91000000015</v>
      </c>
      <c r="J48" s="75">
        <f t="shared" si="22"/>
        <v>-744164.55500000017</v>
      </c>
      <c r="K48" s="75">
        <f t="shared" si="22"/>
        <v>-716309.08000000019</v>
      </c>
      <c r="L48" s="75">
        <f t="shared" si="22"/>
        <v>-679832.80500000017</v>
      </c>
      <c r="M48" s="75">
        <f t="shared" si="22"/>
        <v>-634479.07000000018</v>
      </c>
      <c r="N48" s="75">
        <f t="shared" si="22"/>
        <v>-579991.19500000018</v>
      </c>
      <c r="O48" s="75">
        <f t="shared" si="22"/>
        <v>-774184.94000000018</v>
      </c>
      <c r="P48" s="75">
        <f t="shared" si="22"/>
        <v>-709348.78500000015</v>
      </c>
      <c r="Q48" s="75">
        <f t="shared" si="22"/>
        <v>-643555.13000000012</v>
      </c>
      <c r="R48" s="75">
        <f t="shared" si="22"/>
        <v>-576803.97500000009</v>
      </c>
      <c r="S48" s="75">
        <f t="shared" si="22"/>
        <v>-509095.32000000007</v>
      </c>
      <c r="T48" s="75">
        <f t="shared" si="22"/>
        <v>-440429.16500000004</v>
      </c>
      <c r="U48" s="75">
        <f t="shared" si="22"/>
        <v>-370805.51</v>
      </c>
      <c r="V48" s="75">
        <f t="shared" si="22"/>
        <v>-300224.35499999998</v>
      </c>
      <c r="W48" s="75">
        <f t="shared" si="22"/>
        <v>-228685.69999999998</v>
      </c>
      <c r="X48" s="75">
        <f t="shared" si="22"/>
        <v>-156189.54499999998</v>
      </c>
      <c r="Y48" s="75">
        <f t="shared" si="22"/>
        <v>-82735.889999999985</v>
      </c>
      <c r="Z48" s="75">
        <f t="shared" si="22"/>
        <v>-8324.734999999986</v>
      </c>
      <c r="AA48" s="75">
        <f t="shared" si="22"/>
        <v>-171910.47999999998</v>
      </c>
      <c r="AB48" s="75">
        <f t="shared" si="22"/>
        <v>-95584.324999999983</v>
      </c>
      <c r="AC48" s="75">
        <f t="shared" si="22"/>
        <v>-18300.669999999984</v>
      </c>
      <c r="AD48" s="75">
        <f t="shared" si="22"/>
        <v>59940.485000000015</v>
      </c>
      <c r="AE48" s="75">
        <f t="shared" si="22"/>
        <v>139139.14000000001</v>
      </c>
      <c r="AF48" s="75">
        <f t="shared" si="22"/>
        <v>219295.29500000001</v>
      </c>
      <c r="AG48" s="75">
        <f t="shared" si="22"/>
        <v>300408.95</v>
      </c>
      <c r="AH48" s="75">
        <f t="shared" si="22"/>
        <v>382480.10499999998</v>
      </c>
      <c r="AI48" s="75">
        <f t="shared" si="22"/>
        <v>465508.76</v>
      </c>
      <c r="AJ48" s="75">
        <f t="shared" si="22"/>
        <v>549494.91500000004</v>
      </c>
      <c r="AK48" s="75">
        <f t="shared" si="22"/>
        <v>634438.57000000007</v>
      </c>
      <c r="AL48" s="75">
        <f t="shared" si="22"/>
        <v>720339.72500000009</v>
      </c>
      <c r="AM48" s="75">
        <f t="shared" si="22"/>
        <v>573555.9800000001</v>
      </c>
      <c r="AN48" s="75">
        <f t="shared" si="22"/>
        <v>661372.13500000013</v>
      </c>
      <c r="AO48" s="75">
        <f t="shared" si="22"/>
        <v>750145.79000000015</v>
      </c>
      <c r="AP48" s="75">
        <f t="shared" si="22"/>
        <v>839876.94500000018</v>
      </c>
      <c r="AQ48" s="75">
        <f t="shared" si="22"/>
        <v>930565.60000000021</v>
      </c>
      <c r="AR48" s="75">
        <f t="shared" si="22"/>
        <v>1022211.7550000002</v>
      </c>
      <c r="AS48" s="75">
        <f t="shared" si="22"/>
        <v>1114815.4100000001</v>
      </c>
      <c r="AT48" s="75">
        <f t="shared" si="22"/>
        <v>1208376.5650000002</v>
      </c>
      <c r="AU48" s="75">
        <f t="shared" si="22"/>
        <v>1302895.2200000002</v>
      </c>
      <c r="AV48" s="75">
        <f t="shared" si="22"/>
        <v>1398371.3750000002</v>
      </c>
      <c r="AW48" s="75">
        <f t="shared" si="22"/>
        <v>1494805.0300000003</v>
      </c>
      <c r="AX48" s="75">
        <f t="shared" si="22"/>
        <v>1592196.1850000003</v>
      </c>
      <c r="AY48" s="75">
        <f t="shared" si="22"/>
        <v>1491204.4400000004</v>
      </c>
      <c r="AZ48" s="75">
        <f t="shared" si="22"/>
        <v>1590510.5950000004</v>
      </c>
      <c r="BA48" s="75">
        <f t="shared" si="22"/>
        <v>1690774.2500000005</v>
      </c>
      <c r="BB48" s="75">
        <f t="shared" si="22"/>
        <v>1791995.4050000005</v>
      </c>
      <c r="BC48" s="75">
        <f t="shared" si="22"/>
        <v>1894174.0600000005</v>
      </c>
      <c r="BD48" s="75">
        <f t="shared" si="22"/>
        <v>1997310.2150000005</v>
      </c>
      <c r="BE48" s="75">
        <f t="shared" si="22"/>
        <v>2101403.8700000006</v>
      </c>
      <c r="BF48" s="75">
        <f t="shared" si="22"/>
        <v>2206455.0250000004</v>
      </c>
      <c r="BG48" s="75">
        <f t="shared" si="22"/>
        <v>2312463.6800000002</v>
      </c>
      <c r="BH48" s="75">
        <f t="shared" si="22"/>
        <v>2419429.835</v>
      </c>
      <c r="BI48" s="75">
        <f t="shared" si="22"/>
        <v>2527353.4899999998</v>
      </c>
      <c r="BJ48" s="75">
        <f t="shared" si="22"/>
        <v>2636234.6449999996</v>
      </c>
      <c r="BK48" s="75">
        <f t="shared" si="22"/>
        <v>2746073.2999999993</v>
      </c>
    </row>
    <row r="49" spans="2:63" x14ac:dyDescent="0.25"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</row>
    <row r="50" spans="2:63" x14ac:dyDescent="0.25">
      <c r="B50" t="s">
        <v>63</v>
      </c>
      <c r="C50" s="19">
        <f>+IRR(C47:BK47)*12</f>
        <v>0.5447077805530931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</row>
    <row r="51" spans="2:63" x14ac:dyDescent="0.25">
      <c r="B51" t="s">
        <v>312</v>
      </c>
      <c r="C51" s="75">
        <f>+NPV(C52/12,D47:BK47)+C47</f>
        <v>1130353.8256338779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</row>
    <row r="52" spans="2:63" x14ac:dyDescent="0.25">
      <c r="B52" t="s">
        <v>313</v>
      </c>
      <c r="C52" s="19">
        <v>0.19950000000000001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</row>
    <row r="53" spans="2:63" x14ac:dyDescent="0.25">
      <c r="B53" t="s">
        <v>314</v>
      </c>
      <c r="C53" s="105">
        <f>+BK57</f>
        <v>7373642.7999999933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</row>
    <row r="54" spans="2:63" x14ac:dyDescent="0.25"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</row>
    <row r="55" spans="2:63" x14ac:dyDescent="0.25"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</row>
    <row r="56" spans="2:63" x14ac:dyDescent="0.25">
      <c r="B56" t="s">
        <v>239</v>
      </c>
      <c r="C56" s="75"/>
      <c r="D56" s="75">
        <f>+D37-D38</f>
        <v>7149.9799999999814</v>
      </c>
      <c r="E56" s="75">
        <f t="shared" ref="E56:BK56" si="23">+E37-E38</f>
        <v>14556.600000000006</v>
      </c>
      <c r="F56" s="75">
        <f t="shared" si="23"/>
        <v>22219.899999999994</v>
      </c>
      <c r="G56" s="75">
        <f t="shared" si="23"/>
        <v>30139.859999999986</v>
      </c>
      <c r="H56" s="75">
        <f t="shared" si="23"/>
        <v>38316.5</v>
      </c>
      <c r="I56" s="75">
        <f t="shared" si="23"/>
        <v>46749.78</v>
      </c>
      <c r="J56" s="75">
        <f t="shared" si="23"/>
        <v>55439.760000000009</v>
      </c>
      <c r="K56" s="75">
        <f t="shared" si="23"/>
        <v>64386.380000000005</v>
      </c>
      <c r="L56" s="75">
        <f t="shared" si="23"/>
        <v>73589.679999999993</v>
      </c>
      <c r="M56" s="75">
        <f t="shared" si="23"/>
        <v>83049.639999999985</v>
      </c>
      <c r="N56" s="75">
        <f t="shared" si="23"/>
        <v>92766.28</v>
      </c>
      <c r="O56" s="75">
        <f t="shared" si="23"/>
        <v>102739.56</v>
      </c>
      <c r="P56" s="75">
        <f t="shared" si="23"/>
        <v>104279.56</v>
      </c>
      <c r="Q56" s="75">
        <f t="shared" si="23"/>
        <v>105819.56</v>
      </c>
      <c r="R56" s="75">
        <f t="shared" si="23"/>
        <v>107359.56</v>
      </c>
      <c r="S56" s="75">
        <f t="shared" si="23"/>
        <v>108899.56</v>
      </c>
      <c r="T56" s="75">
        <f t="shared" si="23"/>
        <v>110439.56</v>
      </c>
      <c r="U56" s="75">
        <f t="shared" si="23"/>
        <v>111979.56</v>
      </c>
      <c r="V56" s="75">
        <f t="shared" si="23"/>
        <v>113519.56</v>
      </c>
      <c r="W56" s="75">
        <f t="shared" si="23"/>
        <v>115059.56000000003</v>
      </c>
      <c r="X56" s="75">
        <f t="shared" si="23"/>
        <v>116599.56000000003</v>
      </c>
      <c r="Y56" s="75">
        <f t="shared" si="23"/>
        <v>118139.56000000003</v>
      </c>
      <c r="Z56" s="75">
        <f t="shared" si="23"/>
        <v>119679.56000000003</v>
      </c>
      <c r="AA56" s="75">
        <f t="shared" si="23"/>
        <v>121219.56000000003</v>
      </c>
      <c r="AB56" s="75">
        <f t="shared" si="23"/>
        <v>122759.56000000003</v>
      </c>
      <c r="AC56" s="75">
        <f t="shared" si="23"/>
        <v>124299.56000000003</v>
      </c>
      <c r="AD56" s="75">
        <f t="shared" si="23"/>
        <v>125839.56000000003</v>
      </c>
      <c r="AE56" s="75">
        <f t="shared" si="23"/>
        <v>127379.56000000003</v>
      </c>
      <c r="AF56" s="75">
        <f t="shared" si="23"/>
        <v>128919.56000000003</v>
      </c>
      <c r="AG56" s="75">
        <f t="shared" si="23"/>
        <v>130459.56000000003</v>
      </c>
      <c r="AH56" s="75">
        <f t="shared" si="23"/>
        <v>131999.56000000003</v>
      </c>
      <c r="AI56" s="75">
        <f t="shared" si="23"/>
        <v>133539.56000000003</v>
      </c>
      <c r="AJ56" s="75">
        <f t="shared" si="23"/>
        <v>135079.56000000003</v>
      </c>
      <c r="AK56" s="75">
        <f t="shared" si="23"/>
        <v>136619.56000000003</v>
      </c>
      <c r="AL56" s="75">
        <f t="shared" si="23"/>
        <v>138159.56000000003</v>
      </c>
      <c r="AM56" s="75">
        <f t="shared" si="23"/>
        <v>139699.56000000003</v>
      </c>
      <c r="AN56" s="75">
        <f t="shared" si="23"/>
        <v>141239.56000000003</v>
      </c>
      <c r="AO56" s="75">
        <f t="shared" si="23"/>
        <v>142779.56000000003</v>
      </c>
      <c r="AP56" s="75">
        <f t="shared" si="23"/>
        <v>144319.56000000003</v>
      </c>
      <c r="AQ56" s="75">
        <f t="shared" si="23"/>
        <v>145859.56000000003</v>
      </c>
      <c r="AR56" s="75">
        <f t="shared" si="23"/>
        <v>147399.56000000003</v>
      </c>
      <c r="AS56" s="75">
        <f t="shared" si="23"/>
        <v>148939.56000000003</v>
      </c>
      <c r="AT56" s="75">
        <f t="shared" si="23"/>
        <v>150479.56000000003</v>
      </c>
      <c r="AU56" s="75">
        <f t="shared" si="23"/>
        <v>152019.56000000003</v>
      </c>
      <c r="AV56" s="75">
        <f t="shared" si="23"/>
        <v>153559.56000000003</v>
      </c>
      <c r="AW56" s="75">
        <f t="shared" si="23"/>
        <v>155099.56000000003</v>
      </c>
      <c r="AX56" s="75">
        <f t="shared" si="23"/>
        <v>156639.56000000003</v>
      </c>
      <c r="AY56" s="75">
        <f t="shared" si="23"/>
        <v>158179.56000000003</v>
      </c>
      <c r="AZ56" s="75">
        <f t="shared" si="23"/>
        <v>159719.56000000003</v>
      </c>
      <c r="BA56" s="75">
        <f t="shared" si="23"/>
        <v>161259.56000000003</v>
      </c>
      <c r="BB56" s="75">
        <f t="shared" si="23"/>
        <v>162799.56000000003</v>
      </c>
      <c r="BC56" s="75">
        <f t="shared" si="23"/>
        <v>164339.56000000003</v>
      </c>
      <c r="BD56" s="75">
        <f t="shared" si="23"/>
        <v>165879.56000000003</v>
      </c>
      <c r="BE56" s="75">
        <f t="shared" si="23"/>
        <v>167419.56000000003</v>
      </c>
      <c r="BF56" s="75">
        <f t="shared" si="23"/>
        <v>168959.56000000003</v>
      </c>
      <c r="BG56" s="75">
        <f t="shared" si="23"/>
        <v>170499.56000000003</v>
      </c>
      <c r="BH56" s="75">
        <f t="shared" si="23"/>
        <v>172039.56000000003</v>
      </c>
      <c r="BI56" s="75">
        <f t="shared" si="23"/>
        <v>173579.56000000003</v>
      </c>
      <c r="BJ56" s="75">
        <f t="shared" si="23"/>
        <v>175119.56000000003</v>
      </c>
      <c r="BK56" s="75">
        <f t="shared" si="23"/>
        <v>176659.56000000003</v>
      </c>
    </row>
    <row r="57" spans="2:63" x14ac:dyDescent="0.25">
      <c r="B57" t="s">
        <v>240</v>
      </c>
      <c r="C57" s="75"/>
      <c r="D57" s="75">
        <f>+D56</f>
        <v>7149.9799999999814</v>
      </c>
      <c r="E57" s="75">
        <f>+D57+E56</f>
        <v>21706.579999999987</v>
      </c>
      <c r="F57" s="75">
        <f t="shared" ref="F57:BK57" si="24">+E57+F56</f>
        <v>43926.479999999981</v>
      </c>
      <c r="G57" s="75">
        <f t="shared" si="24"/>
        <v>74066.339999999967</v>
      </c>
      <c r="H57" s="75">
        <f t="shared" si="24"/>
        <v>112382.83999999997</v>
      </c>
      <c r="I57" s="75">
        <f t="shared" si="24"/>
        <v>159132.61999999997</v>
      </c>
      <c r="J57" s="75">
        <f t="shared" si="24"/>
        <v>214572.37999999998</v>
      </c>
      <c r="K57" s="75">
        <f t="shared" si="24"/>
        <v>278958.76</v>
      </c>
      <c r="L57" s="75">
        <f t="shared" si="24"/>
        <v>352548.44</v>
      </c>
      <c r="M57" s="75">
        <f t="shared" si="24"/>
        <v>435598.07999999996</v>
      </c>
      <c r="N57" s="75">
        <f t="shared" si="24"/>
        <v>528364.36</v>
      </c>
      <c r="O57" s="75">
        <f t="shared" si="24"/>
        <v>631103.91999999993</v>
      </c>
      <c r="P57" s="75">
        <f t="shared" si="24"/>
        <v>735383.48</v>
      </c>
      <c r="Q57" s="75">
        <f t="shared" si="24"/>
        <v>841203.04</v>
      </c>
      <c r="R57" s="75">
        <f t="shared" si="24"/>
        <v>948562.60000000009</v>
      </c>
      <c r="S57" s="75">
        <f t="shared" si="24"/>
        <v>1057462.1600000001</v>
      </c>
      <c r="T57" s="75">
        <f t="shared" si="24"/>
        <v>1167901.7200000002</v>
      </c>
      <c r="U57" s="75">
        <f t="shared" si="24"/>
        <v>1279881.2800000003</v>
      </c>
      <c r="V57" s="75">
        <f t="shared" si="24"/>
        <v>1393400.8400000003</v>
      </c>
      <c r="W57" s="75">
        <f t="shared" si="24"/>
        <v>1508460.4000000004</v>
      </c>
      <c r="X57" s="75">
        <f t="shared" si="24"/>
        <v>1625059.9600000004</v>
      </c>
      <c r="Y57" s="75">
        <f t="shared" si="24"/>
        <v>1743199.5200000005</v>
      </c>
      <c r="Z57" s="75">
        <f t="shared" si="24"/>
        <v>1862879.0800000005</v>
      </c>
      <c r="AA57" s="75">
        <f t="shared" si="24"/>
        <v>1984098.6400000006</v>
      </c>
      <c r="AB57" s="75">
        <f t="shared" si="24"/>
        <v>2106858.2000000007</v>
      </c>
      <c r="AC57" s="75">
        <f t="shared" si="24"/>
        <v>2231157.7600000007</v>
      </c>
      <c r="AD57" s="75">
        <f t="shared" si="24"/>
        <v>2356997.3200000008</v>
      </c>
      <c r="AE57" s="75">
        <f t="shared" si="24"/>
        <v>2484376.8800000008</v>
      </c>
      <c r="AF57" s="75">
        <f t="shared" si="24"/>
        <v>2613296.4400000009</v>
      </c>
      <c r="AG57" s="75">
        <f t="shared" si="24"/>
        <v>2743756.0000000009</v>
      </c>
      <c r="AH57" s="75">
        <f t="shared" si="24"/>
        <v>2875755.560000001</v>
      </c>
      <c r="AI57" s="75">
        <f t="shared" si="24"/>
        <v>3009295.120000001</v>
      </c>
      <c r="AJ57" s="75">
        <f t="shared" si="24"/>
        <v>3144374.6800000011</v>
      </c>
      <c r="AK57" s="75">
        <f t="shared" si="24"/>
        <v>3280994.2400000012</v>
      </c>
      <c r="AL57" s="75">
        <f t="shared" si="24"/>
        <v>3419153.8000000012</v>
      </c>
      <c r="AM57" s="75">
        <f t="shared" si="24"/>
        <v>3558853.3600000013</v>
      </c>
      <c r="AN57" s="75">
        <f t="shared" si="24"/>
        <v>3700092.9200000013</v>
      </c>
      <c r="AO57" s="75">
        <f t="shared" si="24"/>
        <v>3842872.4800000014</v>
      </c>
      <c r="AP57" s="75">
        <f t="shared" si="24"/>
        <v>3987192.0400000014</v>
      </c>
      <c r="AQ57" s="75">
        <f t="shared" si="24"/>
        <v>4133051.6000000015</v>
      </c>
      <c r="AR57" s="75">
        <f t="shared" si="24"/>
        <v>4280451.1600000011</v>
      </c>
      <c r="AS57" s="75">
        <f t="shared" si="24"/>
        <v>4429390.7200000007</v>
      </c>
      <c r="AT57" s="75">
        <f t="shared" si="24"/>
        <v>4579870.28</v>
      </c>
      <c r="AU57" s="75">
        <f t="shared" si="24"/>
        <v>4731889.84</v>
      </c>
      <c r="AV57" s="75">
        <f t="shared" si="24"/>
        <v>4885449.3999999994</v>
      </c>
      <c r="AW57" s="75">
        <f t="shared" si="24"/>
        <v>5040548.959999999</v>
      </c>
      <c r="AX57" s="75">
        <f t="shared" si="24"/>
        <v>5197188.5199999986</v>
      </c>
      <c r="AY57" s="75">
        <f t="shared" si="24"/>
        <v>5355368.0799999982</v>
      </c>
      <c r="AZ57" s="75">
        <f t="shared" si="24"/>
        <v>5515087.6399999978</v>
      </c>
      <c r="BA57" s="75">
        <f t="shared" si="24"/>
        <v>5676347.1999999974</v>
      </c>
      <c r="BB57" s="75">
        <f t="shared" si="24"/>
        <v>5839146.759999997</v>
      </c>
      <c r="BC57" s="75">
        <f t="shared" si="24"/>
        <v>6003486.3199999966</v>
      </c>
      <c r="BD57" s="75">
        <f t="shared" si="24"/>
        <v>6169365.8799999962</v>
      </c>
      <c r="BE57" s="75">
        <f t="shared" si="24"/>
        <v>6336785.4399999958</v>
      </c>
      <c r="BF57" s="75">
        <f t="shared" si="24"/>
        <v>6505744.9999999953</v>
      </c>
      <c r="BG57" s="75">
        <f t="shared" si="24"/>
        <v>6676244.5599999949</v>
      </c>
      <c r="BH57" s="75">
        <f t="shared" si="24"/>
        <v>6848284.1199999945</v>
      </c>
      <c r="BI57" s="75">
        <f t="shared" si="24"/>
        <v>7021863.6799999941</v>
      </c>
      <c r="BJ57" s="75">
        <f t="shared" si="24"/>
        <v>7196983.2399999937</v>
      </c>
      <c r="BK57" s="75">
        <f t="shared" si="24"/>
        <v>7373642.7999999933</v>
      </c>
    </row>
    <row r="58" spans="2:63" x14ac:dyDescent="0.25">
      <c r="C58" s="75"/>
    </row>
    <row r="59" spans="2:63" x14ac:dyDescent="0.25">
      <c r="C59" s="75"/>
    </row>
    <row r="60" spans="2:63" x14ac:dyDescent="0.25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</row>
    <row r="61" spans="2:63" x14ac:dyDescent="0.25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</row>
    <row r="62" spans="2:63" x14ac:dyDescent="0.25">
      <c r="C62" s="75"/>
    </row>
    <row r="63" spans="2:63" x14ac:dyDescent="0.25">
      <c r="C63" s="75"/>
    </row>
    <row r="64" spans="2:63" x14ac:dyDescent="0.25">
      <c r="C64" s="75"/>
    </row>
    <row r="65" spans="3:3" x14ac:dyDescent="0.25">
      <c r="C65" s="75"/>
    </row>
    <row r="66" spans="3:3" x14ac:dyDescent="0.25">
      <c r="C66" s="7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workbookViewId="0">
      <selection activeCell="C4" sqref="C4:C7"/>
    </sheetView>
  </sheetViews>
  <sheetFormatPr baseColWidth="10" defaultRowHeight="15" x14ac:dyDescent="0.25"/>
  <cols>
    <col min="3" max="3" width="12.5703125" bestFit="1" customWidth="1"/>
  </cols>
  <sheetData>
    <row r="4" spans="2:3" x14ac:dyDescent="0.25">
      <c r="B4" t="s">
        <v>399</v>
      </c>
      <c r="C4" s="5">
        <v>14784</v>
      </c>
    </row>
    <row r="5" spans="2:3" x14ac:dyDescent="0.25">
      <c r="B5" t="s">
        <v>400</v>
      </c>
      <c r="C5" s="5">
        <v>119246</v>
      </c>
    </row>
    <row r="6" spans="2:3" x14ac:dyDescent="0.25">
      <c r="B6" t="s">
        <v>401</v>
      </c>
      <c r="C6" s="5">
        <v>19000</v>
      </c>
    </row>
    <row r="7" spans="2:3" x14ac:dyDescent="0.25">
      <c r="B7" t="s">
        <v>402</v>
      </c>
      <c r="C7" s="5">
        <v>22000</v>
      </c>
    </row>
    <row r="8" spans="2:3" x14ac:dyDescent="0.25">
      <c r="C8" s="5">
        <f>SUM(C4:C7)</f>
        <v>175030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66"/>
  <sheetViews>
    <sheetView topLeftCell="Q25" zoomScale="70" zoomScaleNormal="70" workbookViewId="0">
      <selection activeCell="AE48" sqref="AE48"/>
    </sheetView>
  </sheetViews>
  <sheetFormatPr baseColWidth="10" defaultRowHeight="15" x14ac:dyDescent="0.25"/>
  <cols>
    <col min="1" max="1" width="5.42578125" customWidth="1"/>
    <col min="2" max="2" width="34.42578125" bestFit="1" customWidth="1"/>
    <col min="3" max="3" width="15.42578125" customWidth="1"/>
    <col min="4" max="4" width="15.5703125" customWidth="1"/>
    <col min="5" max="5" width="15.85546875" customWidth="1"/>
    <col min="6" max="15" width="13.85546875" customWidth="1"/>
    <col min="16" max="16" width="15.28515625" customWidth="1"/>
    <col min="17" max="27" width="13.85546875" customWidth="1"/>
    <col min="28" max="28" width="14.85546875" customWidth="1"/>
    <col min="29" max="37" width="13.85546875" customWidth="1"/>
    <col min="38" max="38" width="15.140625" customWidth="1"/>
    <col min="39" max="39" width="13.85546875" customWidth="1"/>
    <col min="40" max="40" width="16.140625" customWidth="1"/>
    <col min="41" max="51" width="13.85546875" customWidth="1"/>
    <col min="52" max="52" width="15.28515625" customWidth="1"/>
    <col min="53" max="62" width="13.85546875" customWidth="1"/>
    <col min="63" max="63" width="16.28515625" customWidth="1"/>
  </cols>
  <sheetData>
    <row r="2" spans="2:63" x14ac:dyDescent="0.25">
      <c r="B2" t="s">
        <v>112</v>
      </c>
      <c r="C2" s="4">
        <f>1.75*(100/112)</f>
        <v>1.5625</v>
      </c>
    </row>
    <row r="3" spans="2:63" x14ac:dyDescent="0.25">
      <c r="B3" t="s">
        <v>113</v>
      </c>
      <c r="C3" s="2">
        <v>111428</v>
      </c>
    </row>
    <row r="4" spans="2:63" x14ac:dyDescent="0.25">
      <c r="B4" t="s">
        <v>158</v>
      </c>
      <c r="C4" s="1">
        <v>0.96</v>
      </c>
    </row>
    <row r="5" spans="2:63" x14ac:dyDescent="0.25">
      <c r="B5" t="s">
        <v>221</v>
      </c>
      <c r="C5">
        <v>50</v>
      </c>
    </row>
    <row r="6" spans="2:63" x14ac:dyDescent="0.25">
      <c r="B6" t="s">
        <v>222</v>
      </c>
      <c r="C6" s="73">
        <v>0.02</v>
      </c>
    </row>
    <row r="7" spans="2:63" x14ac:dyDescent="0.25">
      <c r="B7" t="s">
        <v>227</v>
      </c>
      <c r="C7" s="9">
        <v>0.55000000000000004</v>
      </c>
    </row>
    <row r="8" spans="2:63" x14ac:dyDescent="0.25">
      <c r="B8" t="s">
        <v>230</v>
      </c>
      <c r="C8" s="4">
        <v>0.02</v>
      </c>
    </row>
    <row r="9" spans="2:63" x14ac:dyDescent="0.25">
      <c r="B9" t="s">
        <v>236</v>
      </c>
      <c r="C9" s="19">
        <v>0.4</v>
      </c>
      <c r="D9" s="19">
        <f>+C9/12</f>
        <v>3.3333333333333333E-2</v>
      </c>
      <c r="E9" s="1">
        <f>+D9+D9</f>
        <v>6.6666666666666666E-2</v>
      </c>
      <c r="F9" s="1">
        <f>+$D$9+E9</f>
        <v>0.1</v>
      </c>
      <c r="G9" s="1">
        <f t="shared" ref="G9:O9" si="0">+$D$9+F9</f>
        <v>0.13333333333333333</v>
      </c>
      <c r="H9" s="1">
        <f t="shared" si="0"/>
        <v>0.16666666666666666</v>
      </c>
      <c r="I9" s="1">
        <f t="shared" si="0"/>
        <v>0.19999999999999998</v>
      </c>
      <c r="J9" s="1">
        <f t="shared" si="0"/>
        <v>0.23333333333333331</v>
      </c>
      <c r="K9" s="1">
        <f t="shared" si="0"/>
        <v>0.26666666666666666</v>
      </c>
      <c r="L9" s="1">
        <f t="shared" si="0"/>
        <v>0.3</v>
      </c>
      <c r="M9" s="1">
        <f t="shared" si="0"/>
        <v>0.33333333333333331</v>
      </c>
      <c r="N9" s="1">
        <f t="shared" si="0"/>
        <v>0.36666666666666664</v>
      </c>
      <c r="O9" s="1">
        <f t="shared" si="0"/>
        <v>0.39999999999999997</v>
      </c>
    </row>
    <row r="10" spans="2:63" x14ac:dyDescent="0.25">
      <c r="B10" t="s">
        <v>235</v>
      </c>
      <c r="C10" s="1">
        <v>0.5</v>
      </c>
      <c r="D10" s="19">
        <f>C10/12</f>
        <v>4.1666666666666664E-2</v>
      </c>
      <c r="E10" s="1">
        <f>+D10+D10</f>
        <v>8.3333333333333329E-2</v>
      </c>
      <c r="F10" s="1">
        <f>+E10+$D$10</f>
        <v>0.125</v>
      </c>
      <c r="G10" s="1">
        <f>+F10+$D$10</f>
        <v>0.16666666666666666</v>
      </c>
      <c r="H10" s="1">
        <f t="shared" ref="H10:O10" si="1">+G10+$D$10</f>
        <v>0.20833333333333331</v>
      </c>
      <c r="I10" s="1">
        <f t="shared" si="1"/>
        <v>0.24999999999999997</v>
      </c>
      <c r="J10" s="1">
        <f t="shared" si="1"/>
        <v>0.29166666666666663</v>
      </c>
      <c r="K10" s="1">
        <f t="shared" si="1"/>
        <v>0.33333333333333331</v>
      </c>
      <c r="L10" s="1">
        <f t="shared" si="1"/>
        <v>0.375</v>
      </c>
      <c r="M10" s="1">
        <f t="shared" si="1"/>
        <v>0.41666666666666669</v>
      </c>
      <c r="N10" s="1">
        <f t="shared" si="1"/>
        <v>0.45833333333333337</v>
      </c>
      <c r="O10" s="1">
        <f t="shared" si="1"/>
        <v>0.5</v>
      </c>
    </row>
    <row r="15" spans="2:63" x14ac:dyDescent="0.25">
      <c r="C15" s="76" t="s">
        <v>159</v>
      </c>
      <c r="D15" s="76" t="s">
        <v>160</v>
      </c>
      <c r="E15" s="76" t="s">
        <v>161</v>
      </c>
      <c r="F15" s="76" t="s">
        <v>162</v>
      </c>
      <c r="G15" s="76" t="s">
        <v>163</v>
      </c>
      <c r="H15" s="76" t="s">
        <v>164</v>
      </c>
      <c r="I15" s="76" t="s">
        <v>165</v>
      </c>
      <c r="J15" s="76" t="s">
        <v>166</v>
      </c>
      <c r="K15" s="76" t="s">
        <v>167</v>
      </c>
      <c r="L15" s="76" t="s">
        <v>168</v>
      </c>
      <c r="M15" s="76" t="s">
        <v>169</v>
      </c>
      <c r="N15" s="76" t="s">
        <v>170</v>
      </c>
      <c r="O15" s="76" t="s">
        <v>171</v>
      </c>
      <c r="P15" s="76" t="s">
        <v>172</v>
      </c>
      <c r="Q15" s="76" t="s">
        <v>173</v>
      </c>
      <c r="R15" s="76" t="s">
        <v>174</v>
      </c>
      <c r="S15" s="76" t="s">
        <v>175</v>
      </c>
      <c r="T15" s="76" t="s">
        <v>176</v>
      </c>
      <c r="U15" s="76" t="s">
        <v>177</v>
      </c>
      <c r="V15" s="76" t="s">
        <v>178</v>
      </c>
      <c r="W15" s="76" t="s">
        <v>179</v>
      </c>
      <c r="X15" s="76" t="s">
        <v>180</v>
      </c>
      <c r="Y15" s="76" t="s">
        <v>181</v>
      </c>
      <c r="Z15" s="76" t="s">
        <v>182</v>
      </c>
      <c r="AA15" s="76" t="s">
        <v>183</v>
      </c>
      <c r="AB15" s="76" t="s">
        <v>184</v>
      </c>
      <c r="AC15" s="76" t="s">
        <v>185</v>
      </c>
      <c r="AD15" s="76" t="s">
        <v>186</v>
      </c>
      <c r="AE15" s="76" t="s">
        <v>187</v>
      </c>
      <c r="AF15" s="76" t="s">
        <v>188</v>
      </c>
      <c r="AG15" s="76" t="s">
        <v>189</v>
      </c>
      <c r="AH15" s="76" t="s">
        <v>190</v>
      </c>
      <c r="AI15" s="76" t="s">
        <v>191</v>
      </c>
      <c r="AJ15" s="76" t="s">
        <v>192</v>
      </c>
      <c r="AK15" s="76" t="s">
        <v>193</v>
      </c>
      <c r="AL15" s="76" t="s">
        <v>194</v>
      </c>
      <c r="AM15" s="76" t="s">
        <v>195</v>
      </c>
      <c r="AN15" s="76" t="s">
        <v>196</v>
      </c>
      <c r="AO15" s="76" t="s">
        <v>197</v>
      </c>
      <c r="AP15" s="76" t="s">
        <v>198</v>
      </c>
      <c r="AQ15" s="76" t="s">
        <v>199</v>
      </c>
      <c r="AR15" s="76" t="s">
        <v>200</v>
      </c>
      <c r="AS15" s="76" t="s">
        <v>201</v>
      </c>
      <c r="AT15" s="76" t="s">
        <v>202</v>
      </c>
      <c r="AU15" s="76" t="s">
        <v>203</v>
      </c>
      <c r="AV15" s="76" t="s">
        <v>204</v>
      </c>
      <c r="AW15" s="76" t="s">
        <v>205</v>
      </c>
      <c r="AX15" s="76" t="s">
        <v>206</v>
      </c>
      <c r="AY15" s="76" t="s">
        <v>207</v>
      </c>
      <c r="AZ15" s="76" t="s">
        <v>208</v>
      </c>
      <c r="BA15" s="76" t="s">
        <v>209</v>
      </c>
      <c r="BB15" s="76" t="s">
        <v>210</v>
      </c>
      <c r="BC15" s="76" t="s">
        <v>211</v>
      </c>
      <c r="BD15" s="76" t="s">
        <v>212</v>
      </c>
      <c r="BE15" s="76" t="s">
        <v>213</v>
      </c>
      <c r="BF15" s="76" t="s">
        <v>214</v>
      </c>
      <c r="BG15" s="76" t="s">
        <v>215</v>
      </c>
      <c r="BH15" s="76" t="s">
        <v>216</v>
      </c>
      <c r="BI15" s="76" t="s">
        <v>217</v>
      </c>
      <c r="BJ15" s="76" t="s">
        <v>218</v>
      </c>
      <c r="BK15" s="76" t="s">
        <v>219</v>
      </c>
    </row>
    <row r="17" spans="2:63" x14ac:dyDescent="0.25">
      <c r="B17" t="s">
        <v>113</v>
      </c>
      <c r="D17" s="3">
        <f>+C3</f>
        <v>111428</v>
      </c>
      <c r="E17" s="74">
        <f>+D17+D18+D19</f>
        <v>113428</v>
      </c>
      <c r="F17" s="74">
        <f t="shared" ref="F17:BK17" si="2">+E17+E18+E19</f>
        <v>115428</v>
      </c>
      <c r="G17" s="74">
        <f t="shared" si="2"/>
        <v>117428</v>
      </c>
      <c r="H17" s="74">
        <f t="shared" si="2"/>
        <v>119428</v>
      </c>
      <c r="I17" s="74">
        <f t="shared" si="2"/>
        <v>121428</v>
      </c>
      <c r="J17" s="74">
        <f t="shared" si="2"/>
        <v>123428</v>
      </c>
      <c r="K17" s="74">
        <f t="shared" si="2"/>
        <v>125428</v>
      </c>
      <c r="L17" s="74">
        <f t="shared" si="2"/>
        <v>127428</v>
      </c>
      <c r="M17" s="74">
        <f t="shared" si="2"/>
        <v>129428</v>
      </c>
      <c r="N17" s="74">
        <f t="shared" si="2"/>
        <v>131428</v>
      </c>
      <c r="O17" s="74">
        <f t="shared" si="2"/>
        <v>133428</v>
      </c>
      <c r="P17" s="74">
        <f t="shared" si="2"/>
        <v>135428</v>
      </c>
      <c r="Q17" s="74">
        <f t="shared" si="2"/>
        <v>137428</v>
      </c>
      <c r="R17" s="74">
        <f t="shared" si="2"/>
        <v>139428</v>
      </c>
      <c r="S17" s="74">
        <f t="shared" si="2"/>
        <v>141428</v>
      </c>
      <c r="T17" s="74">
        <f t="shared" si="2"/>
        <v>143428</v>
      </c>
      <c r="U17" s="74">
        <f t="shared" si="2"/>
        <v>145428</v>
      </c>
      <c r="V17" s="74">
        <f t="shared" si="2"/>
        <v>147428</v>
      </c>
      <c r="W17" s="74">
        <f t="shared" si="2"/>
        <v>149428</v>
      </c>
      <c r="X17" s="74">
        <f t="shared" si="2"/>
        <v>151428</v>
      </c>
      <c r="Y17" s="74">
        <f t="shared" si="2"/>
        <v>153428</v>
      </c>
      <c r="Z17" s="74">
        <f t="shared" si="2"/>
        <v>155428</v>
      </c>
      <c r="AA17" s="74">
        <f t="shared" si="2"/>
        <v>157428</v>
      </c>
      <c r="AB17" s="74">
        <f t="shared" si="2"/>
        <v>159428</v>
      </c>
      <c r="AC17" s="74">
        <f t="shared" si="2"/>
        <v>161428</v>
      </c>
      <c r="AD17" s="74">
        <f t="shared" si="2"/>
        <v>163428</v>
      </c>
      <c r="AE17" s="74">
        <f t="shared" si="2"/>
        <v>165428</v>
      </c>
      <c r="AF17" s="74">
        <f t="shared" si="2"/>
        <v>167428</v>
      </c>
      <c r="AG17" s="74">
        <f t="shared" si="2"/>
        <v>169428</v>
      </c>
      <c r="AH17" s="74">
        <f t="shared" si="2"/>
        <v>171428</v>
      </c>
      <c r="AI17" s="74">
        <f t="shared" si="2"/>
        <v>173428</v>
      </c>
      <c r="AJ17" s="74">
        <f t="shared" si="2"/>
        <v>175428</v>
      </c>
      <c r="AK17" s="74">
        <f t="shared" si="2"/>
        <v>177428</v>
      </c>
      <c r="AL17" s="74">
        <f t="shared" si="2"/>
        <v>179428</v>
      </c>
      <c r="AM17" s="74">
        <f t="shared" si="2"/>
        <v>181428</v>
      </c>
      <c r="AN17" s="74">
        <f t="shared" si="2"/>
        <v>183428</v>
      </c>
      <c r="AO17" s="74">
        <f t="shared" si="2"/>
        <v>185428</v>
      </c>
      <c r="AP17" s="74">
        <f t="shared" si="2"/>
        <v>187428</v>
      </c>
      <c r="AQ17" s="74">
        <f t="shared" si="2"/>
        <v>189428</v>
      </c>
      <c r="AR17" s="74">
        <f t="shared" si="2"/>
        <v>191428</v>
      </c>
      <c r="AS17" s="74">
        <f t="shared" si="2"/>
        <v>193428</v>
      </c>
      <c r="AT17" s="74">
        <f t="shared" si="2"/>
        <v>195428</v>
      </c>
      <c r="AU17" s="74">
        <f t="shared" si="2"/>
        <v>197428</v>
      </c>
      <c r="AV17" s="74">
        <f t="shared" si="2"/>
        <v>199428</v>
      </c>
      <c r="AW17" s="74">
        <f t="shared" si="2"/>
        <v>201428</v>
      </c>
      <c r="AX17" s="74">
        <f t="shared" si="2"/>
        <v>203428</v>
      </c>
      <c r="AY17" s="74">
        <f t="shared" si="2"/>
        <v>205428</v>
      </c>
      <c r="AZ17" s="74">
        <f t="shared" si="2"/>
        <v>207428</v>
      </c>
      <c r="BA17" s="74">
        <f t="shared" si="2"/>
        <v>209428</v>
      </c>
      <c r="BB17" s="74">
        <f t="shared" si="2"/>
        <v>211428</v>
      </c>
      <c r="BC17" s="74">
        <f t="shared" si="2"/>
        <v>213428</v>
      </c>
      <c r="BD17" s="74">
        <f t="shared" si="2"/>
        <v>215428</v>
      </c>
      <c r="BE17" s="74">
        <f t="shared" si="2"/>
        <v>217428</v>
      </c>
      <c r="BF17" s="74">
        <f t="shared" si="2"/>
        <v>219428</v>
      </c>
      <c r="BG17" s="74">
        <f t="shared" si="2"/>
        <v>221428</v>
      </c>
      <c r="BH17" s="74">
        <f t="shared" si="2"/>
        <v>223428</v>
      </c>
      <c r="BI17" s="74">
        <f t="shared" si="2"/>
        <v>225428</v>
      </c>
      <c r="BJ17" s="74">
        <f t="shared" si="2"/>
        <v>227428</v>
      </c>
      <c r="BK17" s="74">
        <f t="shared" si="2"/>
        <v>229428</v>
      </c>
    </row>
    <row r="18" spans="2:63" x14ac:dyDescent="0.25">
      <c r="B18" t="s">
        <v>223</v>
      </c>
      <c r="D18" s="74">
        <v>2000</v>
      </c>
      <c r="E18" s="74">
        <f>+D18</f>
        <v>2000</v>
      </c>
      <c r="F18" s="74">
        <f t="shared" ref="F18:BK18" si="3">+E18</f>
        <v>2000</v>
      </c>
      <c r="G18" s="74">
        <f t="shared" si="3"/>
        <v>2000</v>
      </c>
      <c r="H18" s="74">
        <f t="shared" si="3"/>
        <v>2000</v>
      </c>
      <c r="I18" s="74">
        <f t="shared" si="3"/>
        <v>2000</v>
      </c>
      <c r="J18" s="74">
        <f t="shared" si="3"/>
        <v>2000</v>
      </c>
      <c r="K18" s="74">
        <f t="shared" si="3"/>
        <v>2000</v>
      </c>
      <c r="L18" s="74">
        <f t="shared" si="3"/>
        <v>2000</v>
      </c>
      <c r="M18" s="74">
        <f t="shared" si="3"/>
        <v>2000</v>
      </c>
      <c r="N18" s="74">
        <f t="shared" si="3"/>
        <v>2000</v>
      </c>
      <c r="O18" s="74">
        <f t="shared" si="3"/>
        <v>2000</v>
      </c>
      <c r="P18" s="74">
        <f t="shared" si="3"/>
        <v>2000</v>
      </c>
      <c r="Q18" s="74">
        <f t="shared" si="3"/>
        <v>2000</v>
      </c>
      <c r="R18" s="74">
        <f t="shared" si="3"/>
        <v>2000</v>
      </c>
      <c r="S18" s="74">
        <f t="shared" si="3"/>
        <v>2000</v>
      </c>
      <c r="T18" s="74">
        <f t="shared" si="3"/>
        <v>2000</v>
      </c>
      <c r="U18" s="74">
        <f t="shared" si="3"/>
        <v>2000</v>
      </c>
      <c r="V18" s="74">
        <f t="shared" si="3"/>
        <v>2000</v>
      </c>
      <c r="W18" s="74">
        <f t="shared" si="3"/>
        <v>2000</v>
      </c>
      <c r="X18" s="74">
        <f t="shared" si="3"/>
        <v>2000</v>
      </c>
      <c r="Y18" s="74">
        <f t="shared" si="3"/>
        <v>2000</v>
      </c>
      <c r="Z18" s="74">
        <f t="shared" si="3"/>
        <v>2000</v>
      </c>
      <c r="AA18" s="74">
        <f t="shared" si="3"/>
        <v>2000</v>
      </c>
      <c r="AB18" s="74">
        <f t="shared" si="3"/>
        <v>2000</v>
      </c>
      <c r="AC18" s="74">
        <f t="shared" si="3"/>
        <v>2000</v>
      </c>
      <c r="AD18" s="74">
        <f t="shared" si="3"/>
        <v>2000</v>
      </c>
      <c r="AE18" s="74">
        <f t="shared" si="3"/>
        <v>2000</v>
      </c>
      <c r="AF18" s="74">
        <f t="shared" si="3"/>
        <v>2000</v>
      </c>
      <c r="AG18" s="74">
        <f t="shared" si="3"/>
        <v>2000</v>
      </c>
      <c r="AH18" s="74">
        <f t="shared" si="3"/>
        <v>2000</v>
      </c>
      <c r="AI18" s="74">
        <f t="shared" si="3"/>
        <v>2000</v>
      </c>
      <c r="AJ18" s="74">
        <f t="shared" si="3"/>
        <v>2000</v>
      </c>
      <c r="AK18" s="74">
        <f t="shared" si="3"/>
        <v>2000</v>
      </c>
      <c r="AL18" s="74">
        <f t="shared" si="3"/>
        <v>2000</v>
      </c>
      <c r="AM18" s="74">
        <f t="shared" si="3"/>
        <v>2000</v>
      </c>
      <c r="AN18" s="74">
        <f t="shared" si="3"/>
        <v>2000</v>
      </c>
      <c r="AO18" s="74">
        <f t="shared" si="3"/>
        <v>2000</v>
      </c>
      <c r="AP18" s="74">
        <f t="shared" si="3"/>
        <v>2000</v>
      </c>
      <c r="AQ18" s="74">
        <f t="shared" si="3"/>
        <v>2000</v>
      </c>
      <c r="AR18" s="74">
        <f t="shared" si="3"/>
        <v>2000</v>
      </c>
      <c r="AS18" s="74">
        <f t="shared" si="3"/>
        <v>2000</v>
      </c>
      <c r="AT18" s="74">
        <f t="shared" si="3"/>
        <v>2000</v>
      </c>
      <c r="AU18" s="74">
        <f t="shared" si="3"/>
        <v>2000</v>
      </c>
      <c r="AV18" s="74">
        <f t="shared" si="3"/>
        <v>2000</v>
      </c>
      <c r="AW18" s="74">
        <f t="shared" si="3"/>
        <v>2000</v>
      </c>
      <c r="AX18" s="74">
        <f t="shared" si="3"/>
        <v>2000</v>
      </c>
      <c r="AY18" s="74">
        <f t="shared" si="3"/>
        <v>2000</v>
      </c>
      <c r="AZ18" s="74">
        <f t="shared" si="3"/>
        <v>2000</v>
      </c>
      <c r="BA18" s="74">
        <f t="shared" si="3"/>
        <v>2000</v>
      </c>
      <c r="BB18" s="74">
        <f t="shared" si="3"/>
        <v>2000</v>
      </c>
      <c r="BC18" s="74">
        <f t="shared" si="3"/>
        <v>2000</v>
      </c>
      <c r="BD18" s="74">
        <f t="shared" si="3"/>
        <v>2000</v>
      </c>
      <c r="BE18" s="74">
        <f t="shared" si="3"/>
        <v>2000</v>
      </c>
      <c r="BF18" s="74">
        <f t="shared" si="3"/>
        <v>2000</v>
      </c>
      <c r="BG18" s="74">
        <f t="shared" si="3"/>
        <v>2000</v>
      </c>
      <c r="BH18" s="74">
        <f t="shared" si="3"/>
        <v>2000</v>
      </c>
      <c r="BI18" s="74">
        <f t="shared" si="3"/>
        <v>2000</v>
      </c>
      <c r="BJ18" s="74">
        <f t="shared" si="3"/>
        <v>2000</v>
      </c>
      <c r="BK18" s="74">
        <f t="shared" si="3"/>
        <v>2000</v>
      </c>
    </row>
    <row r="19" spans="2:63" x14ac:dyDescent="0.25">
      <c r="B19" t="s">
        <v>224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2" spans="2:63" x14ac:dyDescent="0.25">
      <c r="B22" s="12" t="s">
        <v>229</v>
      </c>
      <c r="D22" s="3">
        <f>+D25</f>
        <v>8635670</v>
      </c>
      <c r="E22" s="3">
        <f t="shared" ref="E22:BK22" si="4">+E25</f>
        <v>8790670</v>
      </c>
      <c r="F22" s="3">
        <f t="shared" si="4"/>
        <v>8945670</v>
      </c>
      <c r="G22" s="3">
        <f t="shared" si="4"/>
        <v>9100670</v>
      </c>
      <c r="H22" s="3">
        <f t="shared" si="4"/>
        <v>9255670</v>
      </c>
      <c r="I22" s="3">
        <f t="shared" si="4"/>
        <v>9410670</v>
      </c>
      <c r="J22" s="3">
        <f t="shared" si="4"/>
        <v>9565670</v>
      </c>
      <c r="K22" s="3">
        <f t="shared" si="4"/>
        <v>9720670</v>
      </c>
      <c r="L22" s="3">
        <f t="shared" si="4"/>
        <v>9875670</v>
      </c>
      <c r="M22" s="3">
        <f t="shared" si="4"/>
        <v>10030670</v>
      </c>
      <c r="N22" s="3">
        <f t="shared" si="4"/>
        <v>10185670</v>
      </c>
      <c r="O22" s="3">
        <f t="shared" si="4"/>
        <v>10340670</v>
      </c>
      <c r="P22" s="3">
        <f t="shared" si="4"/>
        <v>10495670</v>
      </c>
      <c r="Q22" s="3">
        <f t="shared" si="4"/>
        <v>10650670</v>
      </c>
      <c r="R22" s="3">
        <f t="shared" si="4"/>
        <v>10805670</v>
      </c>
      <c r="S22" s="3">
        <f t="shared" si="4"/>
        <v>10960670</v>
      </c>
      <c r="T22" s="3">
        <f t="shared" si="4"/>
        <v>11115670</v>
      </c>
      <c r="U22" s="3">
        <f t="shared" si="4"/>
        <v>11270670</v>
      </c>
      <c r="V22" s="3">
        <f t="shared" si="4"/>
        <v>11425670</v>
      </c>
      <c r="W22" s="3">
        <f t="shared" si="4"/>
        <v>11580670</v>
      </c>
      <c r="X22" s="3">
        <f t="shared" si="4"/>
        <v>11735670</v>
      </c>
      <c r="Y22" s="3">
        <f t="shared" si="4"/>
        <v>11890670</v>
      </c>
      <c r="Z22" s="3">
        <f t="shared" si="4"/>
        <v>12045670</v>
      </c>
      <c r="AA22" s="3">
        <f t="shared" si="4"/>
        <v>12200670</v>
      </c>
      <c r="AB22" s="3">
        <f t="shared" si="4"/>
        <v>12355670</v>
      </c>
      <c r="AC22" s="3">
        <f t="shared" si="4"/>
        <v>12510670</v>
      </c>
      <c r="AD22" s="3">
        <f t="shared" si="4"/>
        <v>12665670</v>
      </c>
      <c r="AE22" s="3">
        <f t="shared" si="4"/>
        <v>12820670</v>
      </c>
      <c r="AF22" s="3">
        <f t="shared" si="4"/>
        <v>12975670</v>
      </c>
      <c r="AG22" s="3">
        <f t="shared" si="4"/>
        <v>13130670</v>
      </c>
      <c r="AH22" s="3">
        <f t="shared" si="4"/>
        <v>13285670</v>
      </c>
      <c r="AI22" s="3">
        <f t="shared" si="4"/>
        <v>13440670</v>
      </c>
      <c r="AJ22" s="3">
        <f t="shared" si="4"/>
        <v>13595670</v>
      </c>
      <c r="AK22" s="3">
        <f t="shared" si="4"/>
        <v>13750670</v>
      </c>
      <c r="AL22" s="3">
        <f t="shared" si="4"/>
        <v>13905670</v>
      </c>
      <c r="AM22" s="3">
        <f t="shared" si="4"/>
        <v>14060670</v>
      </c>
      <c r="AN22" s="3">
        <f t="shared" si="4"/>
        <v>14215670</v>
      </c>
      <c r="AO22" s="3">
        <f t="shared" si="4"/>
        <v>14370670</v>
      </c>
      <c r="AP22" s="3">
        <f t="shared" si="4"/>
        <v>14525670</v>
      </c>
      <c r="AQ22" s="3">
        <f t="shared" si="4"/>
        <v>14680670</v>
      </c>
      <c r="AR22" s="3">
        <f t="shared" si="4"/>
        <v>14835670</v>
      </c>
      <c r="AS22" s="3">
        <f t="shared" si="4"/>
        <v>14990670</v>
      </c>
      <c r="AT22" s="3">
        <f t="shared" si="4"/>
        <v>15145670</v>
      </c>
      <c r="AU22" s="3">
        <f t="shared" si="4"/>
        <v>15300670</v>
      </c>
      <c r="AV22" s="3">
        <f t="shared" si="4"/>
        <v>15455670</v>
      </c>
      <c r="AW22" s="3">
        <f t="shared" si="4"/>
        <v>15610670</v>
      </c>
      <c r="AX22" s="3">
        <f t="shared" si="4"/>
        <v>15765670</v>
      </c>
      <c r="AY22" s="3">
        <f t="shared" si="4"/>
        <v>15920670</v>
      </c>
      <c r="AZ22" s="3">
        <f t="shared" si="4"/>
        <v>16075670</v>
      </c>
      <c r="BA22" s="3">
        <f t="shared" si="4"/>
        <v>16230670</v>
      </c>
      <c r="BB22" s="3">
        <f t="shared" si="4"/>
        <v>16385670</v>
      </c>
      <c r="BC22" s="3">
        <f t="shared" si="4"/>
        <v>16540670</v>
      </c>
      <c r="BD22" s="3">
        <f t="shared" si="4"/>
        <v>16695670</v>
      </c>
      <c r="BE22" s="3">
        <f t="shared" si="4"/>
        <v>16850670</v>
      </c>
      <c r="BF22" s="3">
        <f t="shared" si="4"/>
        <v>17005670</v>
      </c>
      <c r="BG22" s="3">
        <f t="shared" si="4"/>
        <v>17160670</v>
      </c>
      <c r="BH22" s="3">
        <f t="shared" si="4"/>
        <v>17315670</v>
      </c>
      <c r="BI22" s="3">
        <f t="shared" si="4"/>
        <v>17470670</v>
      </c>
      <c r="BJ22" s="3">
        <f t="shared" si="4"/>
        <v>17625670</v>
      </c>
      <c r="BK22" s="3">
        <f t="shared" si="4"/>
        <v>17780670</v>
      </c>
    </row>
    <row r="23" spans="2:63" x14ac:dyDescent="0.25">
      <c r="B23" t="s">
        <v>225</v>
      </c>
      <c r="D23" s="2">
        <f>+D17*$C$5</f>
        <v>5571400</v>
      </c>
      <c r="E23" s="2">
        <f t="shared" ref="E23:BK23" si="5">+E17*$C$5</f>
        <v>5671400</v>
      </c>
      <c r="F23" s="2">
        <f t="shared" si="5"/>
        <v>5771400</v>
      </c>
      <c r="G23" s="2">
        <f t="shared" si="5"/>
        <v>5871400</v>
      </c>
      <c r="H23" s="2">
        <f t="shared" si="5"/>
        <v>5971400</v>
      </c>
      <c r="I23" s="2">
        <f t="shared" si="5"/>
        <v>6071400</v>
      </c>
      <c r="J23" s="2">
        <f t="shared" si="5"/>
        <v>6171400</v>
      </c>
      <c r="K23" s="2">
        <f t="shared" si="5"/>
        <v>6271400</v>
      </c>
      <c r="L23" s="2">
        <f t="shared" si="5"/>
        <v>6371400</v>
      </c>
      <c r="M23" s="2">
        <f t="shared" si="5"/>
        <v>6471400</v>
      </c>
      <c r="N23" s="2">
        <f t="shared" si="5"/>
        <v>6571400</v>
      </c>
      <c r="O23" s="2">
        <f t="shared" si="5"/>
        <v>6671400</v>
      </c>
      <c r="P23" s="2">
        <f t="shared" si="5"/>
        <v>6771400</v>
      </c>
      <c r="Q23" s="2">
        <f t="shared" si="5"/>
        <v>6871400</v>
      </c>
      <c r="R23" s="2">
        <f t="shared" si="5"/>
        <v>6971400</v>
      </c>
      <c r="S23" s="2">
        <f t="shared" si="5"/>
        <v>7071400</v>
      </c>
      <c r="T23" s="2">
        <f t="shared" si="5"/>
        <v>7171400</v>
      </c>
      <c r="U23" s="2">
        <f t="shared" si="5"/>
        <v>7271400</v>
      </c>
      <c r="V23" s="2">
        <f t="shared" si="5"/>
        <v>7371400</v>
      </c>
      <c r="W23" s="2">
        <f t="shared" si="5"/>
        <v>7471400</v>
      </c>
      <c r="X23" s="2">
        <f t="shared" si="5"/>
        <v>7571400</v>
      </c>
      <c r="Y23" s="2">
        <f t="shared" si="5"/>
        <v>7671400</v>
      </c>
      <c r="Z23" s="2">
        <f t="shared" si="5"/>
        <v>7771400</v>
      </c>
      <c r="AA23" s="2">
        <f t="shared" si="5"/>
        <v>7871400</v>
      </c>
      <c r="AB23" s="2">
        <f t="shared" si="5"/>
        <v>7971400</v>
      </c>
      <c r="AC23" s="2">
        <f t="shared" si="5"/>
        <v>8071400</v>
      </c>
      <c r="AD23" s="2">
        <f t="shared" si="5"/>
        <v>8171400</v>
      </c>
      <c r="AE23" s="2">
        <f t="shared" si="5"/>
        <v>8271400</v>
      </c>
      <c r="AF23" s="2">
        <f t="shared" si="5"/>
        <v>8371400</v>
      </c>
      <c r="AG23" s="2">
        <f t="shared" si="5"/>
        <v>8471400</v>
      </c>
      <c r="AH23" s="2">
        <f t="shared" si="5"/>
        <v>8571400</v>
      </c>
      <c r="AI23" s="2">
        <f t="shared" si="5"/>
        <v>8671400</v>
      </c>
      <c r="AJ23" s="2">
        <f t="shared" si="5"/>
        <v>8771400</v>
      </c>
      <c r="AK23" s="2">
        <f t="shared" si="5"/>
        <v>8871400</v>
      </c>
      <c r="AL23" s="2">
        <f t="shared" si="5"/>
        <v>8971400</v>
      </c>
      <c r="AM23" s="2">
        <f t="shared" si="5"/>
        <v>9071400</v>
      </c>
      <c r="AN23" s="2">
        <f t="shared" si="5"/>
        <v>9171400</v>
      </c>
      <c r="AO23" s="2">
        <f t="shared" si="5"/>
        <v>9271400</v>
      </c>
      <c r="AP23" s="2">
        <f t="shared" si="5"/>
        <v>9371400</v>
      </c>
      <c r="AQ23" s="2">
        <f t="shared" si="5"/>
        <v>9471400</v>
      </c>
      <c r="AR23" s="2">
        <f t="shared" si="5"/>
        <v>9571400</v>
      </c>
      <c r="AS23" s="2">
        <f t="shared" si="5"/>
        <v>9671400</v>
      </c>
      <c r="AT23" s="2">
        <f t="shared" si="5"/>
        <v>9771400</v>
      </c>
      <c r="AU23" s="2">
        <f t="shared" si="5"/>
        <v>9871400</v>
      </c>
      <c r="AV23" s="2">
        <f t="shared" si="5"/>
        <v>9971400</v>
      </c>
      <c r="AW23" s="2">
        <f t="shared" si="5"/>
        <v>10071400</v>
      </c>
      <c r="AX23" s="2">
        <f t="shared" si="5"/>
        <v>10171400</v>
      </c>
      <c r="AY23" s="2">
        <f t="shared" si="5"/>
        <v>10271400</v>
      </c>
      <c r="AZ23" s="2">
        <f t="shared" si="5"/>
        <v>10371400</v>
      </c>
      <c r="BA23" s="2">
        <f t="shared" si="5"/>
        <v>10471400</v>
      </c>
      <c r="BB23" s="2">
        <f t="shared" si="5"/>
        <v>10571400</v>
      </c>
      <c r="BC23" s="2">
        <f t="shared" si="5"/>
        <v>10671400</v>
      </c>
      <c r="BD23" s="2">
        <f t="shared" si="5"/>
        <v>10771400</v>
      </c>
      <c r="BE23" s="2">
        <f t="shared" si="5"/>
        <v>10871400</v>
      </c>
      <c r="BF23" s="2">
        <f t="shared" si="5"/>
        <v>10971400</v>
      </c>
      <c r="BG23" s="2">
        <f t="shared" si="5"/>
        <v>11071400</v>
      </c>
      <c r="BH23" s="2">
        <f t="shared" si="5"/>
        <v>11171400</v>
      </c>
      <c r="BI23" s="2">
        <f t="shared" si="5"/>
        <v>11271400</v>
      </c>
      <c r="BJ23" s="2">
        <f t="shared" si="5"/>
        <v>11371400</v>
      </c>
      <c r="BK23" s="2">
        <f t="shared" si="5"/>
        <v>11471400</v>
      </c>
    </row>
    <row r="24" spans="2:63" x14ac:dyDescent="0.25">
      <c r="B24" t="s">
        <v>226</v>
      </c>
      <c r="D24" s="2">
        <f>ROUND(D23*$C$7,0)</f>
        <v>3064270</v>
      </c>
      <c r="E24" s="2">
        <f t="shared" ref="E24:BK24" si="6">ROUND(E23*$C$7,0)</f>
        <v>3119270</v>
      </c>
      <c r="F24" s="2">
        <f t="shared" si="6"/>
        <v>3174270</v>
      </c>
      <c r="G24" s="2">
        <f t="shared" si="6"/>
        <v>3229270</v>
      </c>
      <c r="H24" s="2">
        <f t="shared" si="6"/>
        <v>3284270</v>
      </c>
      <c r="I24" s="2">
        <f t="shared" si="6"/>
        <v>3339270</v>
      </c>
      <c r="J24" s="2">
        <f t="shared" si="6"/>
        <v>3394270</v>
      </c>
      <c r="K24" s="2">
        <f t="shared" si="6"/>
        <v>3449270</v>
      </c>
      <c r="L24" s="2">
        <f t="shared" si="6"/>
        <v>3504270</v>
      </c>
      <c r="M24" s="2">
        <f t="shared" si="6"/>
        <v>3559270</v>
      </c>
      <c r="N24" s="2">
        <f t="shared" si="6"/>
        <v>3614270</v>
      </c>
      <c r="O24" s="2">
        <f t="shared" si="6"/>
        <v>3669270</v>
      </c>
      <c r="P24" s="2">
        <f t="shared" si="6"/>
        <v>3724270</v>
      </c>
      <c r="Q24" s="2">
        <f t="shared" si="6"/>
        <v>3779270</v>
      </c>
      <c r="R24" s="2">
        <f t="shared" si="6"/>
        <v>3834270</v>
      </c>
      <c r="S24" s="2">
        <f t="shared" si="6"/>
        <v>3889270</v>
      </c>
      <c r="T24" s="2">
        <f t="shared" si="6"/>
        <v>3944270</v>
      </c>
      <c r="U24" s="2">
        <f t="shared" si="6"/>
        <v>3999270</v>
      </c>
      <c r="V24" s="2">
        <f t="shared" si="6"/>
        <v>4054270</v>
      </c>
      <c r="W24" s="2">
        <f t="shared" si="6"/>
        <v>4109270</v>
      </c>
      <c r="X24" s="2">
        <f t="shared" si="6"/>
        <v>4164270</v>
      </c>
      <c r="Y24" s="2">
        <f t="shared" si="6"/>
        <v>4219270</v>
      </c>
      <c r="Z24" s="2">
        <f t="shared" si="6"/>
        <v>4274270</v>
      </c>
      <c r="AA24" s="2">
        <f t="shared" si="6"/>
        <v>4329270</v>
      </c>
      <c r="AB24" s="2">
        <f t="shared" si="6"/>
        <v>4384270</v>
      </c>
      <c r="AC24" s="2">
        <f t="shared" si="6"/>
        <v>4439270</v>
      </c>
      <c r="AD24" s="2">
        <f t="shared" si="6"/>
        <v>4494270</v>
      </c>
      <c r="AE24" s="2">
        <f t="shared" si="6"/>
        <v>4549270</v>
      </c>
      <c r="AF24" s="2">
        <f t="shared" si="6"/>
        <v>4604270</v>
      </c>
      <c r="AG24" s="2">
        <f t="shared" si="6"/>
        <v>4659270</v>
      </c>
      <c r="AH24" s="2">
        <f t="shared" si="6"/>
        <v>4714270</v>
      </c>
      <c r="AI24" s="2">
        <f t="shared" si="6"/>
        <v>4769270</v>
      </c>
      <c r="AJ24" s="2">
        <f t="shared" si="6"/>
        <v>4824270</v>
      </c>
      <c r="AK24" s="2">
        <f t="shared" si="6"/>
        <v>4879270</v>
      </c>
      <c r="AL24" s="2">
        <f t="shared" si="6"/>
        <v>4934270</v>
      </c>
      <c r="AM24" s="2">
        <f t="shared" si="6"/>
        <v>4989270</v>
      </c>
      <c r="AN24" s="2">
        <f t="shared" si="6"/>
        <v>5044270</v>
      </c>
      <c r="AO24" s="2">
        <f t="shared" si="6"/>
        <v>5099270</v>
      </c>
      <c r="AP24" s="2">
        <f t="shared" si="6"/>
        <v>5154270</v>
      </c>
      <c r="AQ24" s="2">
        <f t="shared" si="6"/>
        <v>5209270</v>
      </c>
      <c r="AR24" s="2">
        <f t="shared" si="6"/>
        <v>5264270</v>
      </c>
      <c r="AS24" s="2">
        <f t="shared" si="6"/>
        <v>5319270</v>
      </c>
      <c r="AT24" s="2">
        <f t="shared" si="6"/>
        <v>5374270</v>
      </c>
      <c r="AU24" s="2">
        <f t="shared" si="6"/>
        <v>5429270</v>
      </c>
      <c r="AV24" s="2">
        <f t="shared" si="6"/>
        <v>5484270</v>
      </c>
      <c r="AW24" s="2">
        <f t="shared" si="6"/>
        <v>5539270</v>
      </c>
      <c r="AX24" s="2">
        <f t="shared" si="6"/>
        <v>5594270</v>
      </c>
      <c r="AY24" s="2">
        <f t="shared" si="6"/>
        <v>5649270</v>
      </c>
      <c r="AZ24" s="2">
        <f t="shared" si="6"/>
        <v>5704270</v>
      </c>
      <c r="BA24" s="2">
        <f t="shared" si="6"/>
        <v>5759270</v>
      </c>
      <c r="BB24" s="2">
        <f t="shared" si="6"/>
        <v>5814270</v>
      </c>
      <c r="BC24" s="2">
        <f t="shared" si="6"/>
        <v>5869270</v>
      </c>
      <c r="BD24" s="2">
        <f t="shared" si="6"/>
        <v>5924270</v>
      </c>
      <c r="BE24" s="2">
        <f t="shared" si="6"/>
        <v>5979270</v>
      </c>
      <c r="BF24" s="2">
        <f t="shared" si="6"/>
        <v>6034270</v>
      </c>
      <c r="BG24" s="2">
        <f t="shared" si="6"/>
        <v>6089270</v>
      </c>
      <c r="BH24" s="2">
        <f t="shared" si="6"/>
        <v>6144270</v>
      </c>
      <c r="BI24" s="2">
        <f t="shared" si="6"/>
        <v>6199270</v>
      </c>
      <c r="BJ24" s="2">
        <f t="shared" si="6"/>
        <v>6254270</v>
      </c>
      <c r="BK24" s="2">
        <f t="shared" si="6"/>
        <v>6309270</v>
      </c>
    </row>
    <row r="25" spans="2:63" x14ac:dyDescent="0.25">
      <c r="B25" t="s">
        <v>228</v>
      </c>
      <c r="D25" s="3">
        <f>+D23+D24</f>
        <v>8635670</v>
      </c>
      <c r="E25" s="3">
        <f t="shared" ref="E25:BK25" si="7">+E23+E24</f>
        <v>8790670</v>
      </c>
      <c r="F25" s="3">
        <f t="shared" si="7"/>
        <v>8945670</v>
      </c>
      <c r="G25" s="3">
        <f t="shared" si="7"/>
        <v>9100670</v>
      </c>
      <c r="H25" s="3">
        <f t="shared" si="7"/>
        <v>9255670</v>
      </c>
      <c r="I25" s="3">
        <f t="shared" si="7"/>
        <v>9410670</v>
      </c>
      <c r="J25" s="3">
        <f t="shared" si="7"/>
        <v>9565670</v>
      </c>
      <c r="K25" s="3">
        <f t="shared" si="7"/>
        <v>9720670</v>
      </c>
      <c r="L25" s="3">
        <f t="shared" si="7"/>
        <v>9875670</v>
      </c>
      <c r="M25" s="3">
        <f t="shared" si="7"/>
        <v>10030670</v>
      </c>
      <c r="N25" s="3">
        <f t="shared" si="7"/>
        <v>10185670</v>
      </c>
      <c r="O25" s="3">
        <f t="shared" si="7"/>
        <v>10340670</v>
      </c>
      <c r="P25" s="3">
        <f t="shared" si="7"/>
        <v>10495670</v>
      </c>
      <c r="Q25" s="3">
        <f t="shared" si="7"/>
        <v>10650670</v>
      </c>
      <c r="R25" s="3">
        <f t="shared" si="7"/>
        <v>10805670</v>
      </c>
      <c r="S25" s="3">
        <f t="shared" si="7"/>
        <v>10960670</v>
      </c>
      <c r="T25" s="3">
        <f t="shared" si="7"/>
        <v>11115670</v>
      </c>
      <c r="U25" s="3">
        <f t="shared" si="7"/>
        <v>11270670</v>
      </c>
      <c r="V25" s="3">
        <f t="shared" si="7"/>
        <v>11425670</v>
      </c>
      <c r="W25" s="3">
        <f t="shared" si="7"/>
        <v>11580670</v>
      </c>
      <c r="X25" s="3">
        <f t="shared" si="7"/>
        <v>11735670</v>
      </c>
      <c r="Y25" s="3">
        <f t="shared" si="7"/>
        <v>11890670</v>
      </c>
      <c r="Z25" s="3">
        <f t="shared" si="7"/>
        <v>12045670</v>
      </c>
      <c r="AA25" s="3">
        <f t="shared" si="7"/>
        <v>12200670</v>
      </c>
      <c r="AB25" s="3">
        <f t="shared" si="7"/>
        <v>12355670</v>
      </c>
      <c r="AC25" s="3">
        <f t="shared" si="7"/>
        <v>12510670</v>
      </c>
      <c r="AD25" s="3">
        <f t="shared" si="7"/>
        <v>12665670</v>
      </c>
      <c r="AE25" s="3">
        <f t="shared" si="7"/>
        <v>12820670</v>
      </c>
      <c r="AF25" s="3">
        <f t="shared" si="7"/>
        <v>12975670</v>
      </c>
      <c r="AG25" s="3">
        <f t="shared" si="7"/>
        <v>13130670</v>
      </c>
      <c r="AH25" s="3">
        <f t="shared" si="7"/>
        <v>13285670</v>
      </c>
      <c r="AI25" s="3">
        <f t="shared" si="7"/>
        <v>13440670</v>
      </c>
      <c r="AJ25" s="3">
        <f t="shared" si="7"/>
        <v>13595670</v>
      </c>
      <c r="AK25" s="3">
        <f t="shared" si="7"/>
        <v>13750670</v>
      </c>
      <c r="AL25" s="3">
        <f t="shared" si="7"/>
        <v>13905670</v>
      </c>
      <c r="AM25" s="3">
        <f t="shared" si="7"/>
        <v>14060670</v>
      </c>
      <c r="AN25" s="3">
        <f t="shared" si="7"/>
        <v>14215670</v>
      </c>
      <c r="AO25" s="3">
        <f t="shared" si="7"/>
        <v>14370670</v>
      </c>
      <c r="AP25" s="3">
        <f t="shared" si="7"/>
        <v>14525670</v>
      </c>
      <c r="AQ25" s="3">
        <f t="shared" si="7"/>
        <v>14680670</v>
      </c>
      <c r="AR25" s="3">
        <f t="shared" si="7"/>
        <v>14835670</v>
      </c>
      <c r="AS25" s="3">
        <f t="shared" si="7"/>
        <v>14990670</v>
      </c>
      <c r="AT25" s="3">
        <f t="shared" si="7"/>
        <v>15145670</v>
      </c>
      <c r="AU25" s="3">
        <f t="shared" si="7"/>
        <v>15300670</v>
      </c>
      <c r="AV25" s="3">
        <f t="shared" si="7"/>
        <v>15455670</v>
      </c>
      <c r="AW25" s="3">
        <f t="shared" si="7"/>
        <v>15610670</v>
      </c>
      <c r="AX25" s="3">
        <f t="shared" si="7"/>
        <v>15765670</v>
      </c>
      <c r="AY25" s="3">
        <f t="shared" si="7"/>
        <v>15920670</v>
      </c>
      <c r="AZ25" s="3">
        <f t="shared" si="7"/>
        <v>16075670</v>
      </c>
      <c r="BA25" s="3">
        <f t="shared" si="7"/>
        <v>16230670</v>
      </c>
      <c r="BB25" s="3">
        <f t="shared" si="7"/>
        <v>16385670</v>
      </c>
      <c r="BC25" s="3">
        <f t="shared" si="7"/>
        <v>16540670</v>
      </c>
      <c r="BD25" s="3">
        <f t="shared" si="7"/>
        <v>16695670</v>
      </c>
      <c r="BE25" s="3">
        <f t="shared" si="7"/>
        <v>16850670</v>
      </c>
      <c r="BF25" s="3">
        <f t="shared" si="7"/>
        <v>17005670</v>
      </c>
      <c r="BG25" s="3">
        <f t="shared" si="7"/>
        <v>17160670</v>
      </c>
      <c r="BH25" s="3">
        <f t="shared" si="7"/>
        <v>17315670</v>
      </c>
      <c r="BI25" s="3">
        <f t="shared" si="7"/>
        <v>17470670</v>
      </c>
      <c r="BJ25" s="3">
        <f t="shared" si="7"/>
        <v>17625670</v>
      </c>
      <c r="BK25" s="3">
        <f t="shared" si="7"/>
        <v>17780670</v>
      </c>
    </row>
    <row r="26" spans="2:63" x14ac:dyDescent="0.25">
      <c r="B26" t="s">
        <v>233</v>
      </c>
      <c r="D26" s="3">
        <f>ROUND(D23*D9,0)</f>
        <v>185713</v>
      </c>
      <c r="E26" s="3">
        <f>ROUND(E23*E9,0)</f>
        <v>378093</v>
      </c>
      <c r="F26" s="3">
        <f t="shared" ref="F26:O26" si="8">ROUND(F23*F9,0)</f>
        <v>577140</v>
      </c>
      <c r="G26" s="3">
        <f t="shared" si="8"/>
        <v>782853</v>
      </c>
      <c r="H26" s="3">
        <f t="shared" si="8"/>
        <v>995233</v>
      </c>
      <c r="I26" s="3">
        <f t="shared" si="8"/>
        <v>1214280</v>
      </c>
      <c r="J26" s="3">
        <f t="shared" si="8"/>
        <v>1439993</v>
      </c>
      <c r="K26" s="3">
        <f t="shared" si="8"/>
        <v>1672373</v>
      </c>
      <c r="L26" s="3">
        <f t="shared" si="8"/>
        <v>1911420</v>
      </c>
      <c r="M26" s="3">
        <f t="shared" si="8"/>
        <v>2157133</v>
      </c>
      <c r="N26" s="3">
        <f t="shared" si="8"/>
        <v>2409513</v>
      </c>
      <c r="O26" s="3">
        <f t="shared" si="8"/>
        <v>2668560</v>
      </c>
      <c r="P26" s="3">
        <f>ROUND(P23*$O$9,0)</f>
        <v>2708560</v>
      </c>
      <c r="Q26" s="3">
        <f t="shared" ref="Q26:BK26" si="9">ROUND(Q23*$O$9,0)</f>
        <v>2748560</v>
      </c>
      <c r="R26" s="3">
        <f t="shared" si="9"/>
        <v>2788560</v>
      </c>
      <c r="S26" s="3">
        <f t="shared" si="9"/>
        <v>2828560</v>
      </c>
      <c r="T26" s="3">
        <f t="shared" si="9"/>
        <v>2868560</v>
      </c>
      <c r="U26" s="3">
        <f t="shared" si="9"/>
        <v>2908560</v>
      </c>
      <c r="V26" s="3">
        <f t="shared" si="9"/>
        <v>2948560</v>
      </c>
      <c r="W26" s="3">
        <f t="shared" si="9"/>
        <v>2988560</v>
      </c>
      <c r="X26" s="3">
        <f t="shared" si="9"/>
        <v>3028560</v>
      </c>
      <c r="Y26" s="3">
        <f t="shared" si="9"/>
        <v>3068560</v>
      </c>
      <c r="Z26" s="3">
        <f t="shared" si="9"/>
        <v>3108560</v>
      </c>
      <c r="AA26" s="3">
        <f t="shared" si="9"/>
        <v>3148560</v>
      </c>
      <c r="AB26" s="3">
        <f t="shared" si="9"/>
        <v>3188560</v>
      </c>
      <c r="AC26" s="3">
        <f t="shared" si="9"/>
        <v>3228560</v>
      </c>
      <c r="AD26" s="3">
        <f t="shared" si="9"/>
        <v>3268560</v>
      </c>
      <c r="AE26" s="3">
        <f t="shared" si="9"/>
        <v>3308560</v>
      </c>
      <c r="AF26" s="3">
        <f t="shared" si="9"/>
        <v>3348560</v>
      </c>
      <c r="AG26" s="3">
        <f t="shared" si="9"/>
        <v>3388560</v>
      </c>
      <c r="AH26" s="3">
        <f t="shared" si="9"/>
        <v>3428560</v>
      </c>
      <c r="AI26" s="3">
        <f t="shared" si="9"/>
        <v>3468560</v>
      </c>
      <c r="AJ26" s="3">
        <f t="shared" si="9"/>
        <v>3508560</v>
      </c>
      <c r="AK26" s="3">
        <f t="shared" si="9"/>
        <v>3548560</v>
      </c>
      <c r="AL26" s="3">
        <f t="shared" si="9"/>
        <v>3588560</v>
      </c>
      <c r="AM26" s="3">
        <f t="shared" si="9"/>
        <v>3628560</v>
      </c>
      <c r="AN26" s="3">
        <f t="shared" si="9"/>
        <v>3668560</v>
      </c>
      <c r="AO26" s="3">
        <f t="shared" si="9"/>
        <v>3708560</v>
      </c>
      <c r="AP26" s="3">
        <f t="shared" si="9"/>
        <v>3748560</v>
      </c>
      <c r="AQ26" s="3">
        <f t="shared" si="9"/>
        <v>3788560</v>
      </c>
      <c r="AR26" s="3">
        <f t="shared" si="9"/>
        <v>3828560</v>
      </c>
      <c r="AS26" s="3">
        <f t="shared" si="9"/>
        <v>3868560</v>
      </c>
      <c r="AT26" s="3">
        <f t="shared" si="9"/>
        <v>3908560</v>
      </c>
      <c r="AU26" s="3">
        <f t="shared" si="9"/>
        <v>3948560</v>
      </c>
      <c r="AV26" s="3">
        <f t="shared" si="9"/>
        <v>3988560</v>
      </c>
      <c r="AW26" s="3">
        <f t="shared" si="9"/>
        <v>4028560</v>
      </c>
      <c r="AX26" s="3">
        <f t="shared" si="9"/>
        <v>4068560</v>
      </c>
      <c r="AY26" s="3">
        <f t="shared" si="9"/>
        <v>4108560</v>
      </c>
      <c r="AZ26" s="3">
        <f t="shared" si="9"/>
        <v>4148560</v>
      </c>
      <c r="BA26" s="3">
        <f t="shared" si="9"/>
        <v>4188560</v>
      </c>
      <c r="BB26" s="3">
        <f t="shared" si="9"/>
        <v>4228560</v>
      </c>
      <c r="BC26" s="3">
        <f t="shared" si="9"/>
        <v>4268560</v>
      </c>
      <c r="BD26" s="3">
        <f t="shared" si="9"/>
        <v>4308560</v>
      </c>
      <c r="BE26" s="3">
        <f t="shared" si="9"/>
        <v>4348560</v>
      </c>
      <c r="BF26" s="3">
        <f t="shared" si="9"/>
        <v>4388560</v>
      </c>
      <c r="BG26" s="3">
        <f t="shared" si="9"/>
        <v>4428560</v>
      </c>
      <c r="BH26" s="3">
        <f t="shared" si="9"/>
        <v>4468560</v>
      </c>
      <c r="BI26" s="3">
        <f t="shared" si="9"/>
        <v>4508560</v>
      </c>
      <c r="BJ26" s="3">
        <f t="shared" si="9"/>
        <v>4548560</v>
      </c>
      <c r="BK26" s="3">
        <f t="shared" si="9"/>
        <v>4588560</v>
      </c>
    </row>
    <row r="27" spans="2:63" x14ac:dyDescent="0.25">
      <c r="B27" t="s">
        <v>234</v>
      </c>
      <c r="D27" s="3">
        <f>ROUND(D24*D10,0)</f>
        <v>127678</v>
      </c>
      <c r="E27" s="3">
        <f t="shared" ref="E27:O27" si="10">ROUND(E24*E10,0)</f>
        <v>259939</v>
      </c>
      <c r="F27" s="3">
        <f t="shared" si="10"/>
        <v>396784</v>
      </c>
      <c r="G27" s="3">
        <f t="shared" si="10"/>
        <v>538212</v>
      </c>
      <c r="H27" s="3">
        <f t="shared" si="10"/>
        <v>684223</v>
      </c>
      <c r="I27" s="3">
        <f t="shared" si="10"/>
        <v>834818</v>
      </c>
      <c r="J27" s="3">
        <f t="shared" si="10"/>
        <v>989995</v>
      </c>
      <c r="K27" s="3">
        <f t="shared" si="10"/>
        <v>1149757</v>
      </c>
      <c r="L27" s="3">
        <f t="shared" si="10"/>
        <v>1314101</v>
      </c>
      <c r="M27" s="3">
        <f t="shared" si="10"/>
        <v>1483029</v>
      </c>
      <c r="N27" s="3">
        <f t="shared" si="10"/>
        <v>1656540</v>
      </c>
      <c r="O27" s="3">
        <f t="shared" si="10"/>
        <v>1834635</v>
      </c>
      <c r="P27" s="3">
        <f>ROUND(P24*$O$10,0)</f>
        <v>1862135</v>
      </c>
      <c r="Q27" s="3">
        <f t="shared" ref="Q27:BK27" si="11">ROUND(Q24*$O$10,0)</f>
        <v>1889635</v>
      </c>
      <c r="R27" s="3">
        <f t="shared" si="11"/>
        <v>1917135</v>
      </c>
      <c r="S27" s="3">
        <f t="shared" si="11"/>
        <v>1944635</v>
      </c>
      <c r="T27" s="3">
        <f t="shared" si="11"/>
        <v>1972135</v>
      </c>
      <c r="U27" s="3">
        <f t="shared" si="11"/>
        <v>1999635</v>
      </c>
      <c r="V27" s="3">
        <f t="shared" si="11"/>
        <v>2027135</v>
      </c>
      <c r="W27" s="3">
        <f t="shared" si="11"/>
        <v>2054635</v>
      </c>
      <c r="X27" s="3">
        <f t="shared" si="11"/>
        <v>2082135</v>
      </c>
      <c r="Y27" s="3">
        <f t="shared" si="11"/>
        <v>2109635</v>
      </c>
      <c r="Z27" s="3">
        <f t="shared" si="11"/>
        <v>2137135</v>
      </c>
      <c r="AA27" s="3">
        <f t="shared" si="11"/>
        <v>2164635</v>
      </c>
      <c r="AB27" s="3">
        <f t="shared" si="11"/>
        <v>2192135</v>
      </c>
      <c r="AC27" s="3">
        <f t="shared" si="11"/>
        <v>2219635</v>
      </c>
      <c r="AD27" s="3">
        <f t="shared" si="11"/>
        <v>2247135</v>
      </c>
      <c r="AE27" s="3">
        <f t="shared" si="11"/>
        <v>2274635</v>
      </c>
      <c r="AF27" s="3">
        <f t="shared" si="11"/>
        <v>2302135</v>
      </c>
      <c r="AG27" s="3">
        <f t="shared" si="11"/>
        <v>2329635</v>
      </c>
      <c r="AH27" s="3">
        <f t="shared" si="11"/>
        <v>2357135</v>
      </c>
      <c r="AI27" s="3">
        <f t="shared" si="11"/>
        <v>2384635</v>
      </c>
      <c r="AJ27" s="3">
        <f t="shared" si="11"/>
        <v>2412135</v>
      </c>
      <c r="AK27" s="3">
        <f t="shared" si="11"/>
        <v>2439635</v>
      </c>
      <c r="AL27" s="3">
        <f t="shared" si="11"/>
        <v>2467135</v>
      </c>
      <c r="AM27" s="3">
        <f t="shared" si="11"/>
        <v>2494635</v>
      </c>
      <c r="AN27" s="3">
        <f t="shared" si="11"/>
        <v>2522135</v>
      </c>
      <c r="AO27" s="3">
        <f t="shared" si="11"/>
        <v>2549635</v>
      </c>
      <c r="AP27" s="3">
        <f t="shared" si="11"/>
        <v>2577135</v>
      </c>
      <c r="AQ27" s="3">
        <f t="shared" si="11"/>
        <v>2604635</v>
      </c>
      <c r="AR27" s="3">
        <f t="shared" si="11"/>
        <v>2632135</v>
      </c>
      <c r="AS27" s="3">
        <f t="shared" si="11"/>
        <v>2659635</v>
      </c>
      <c r="AT27" s="3">
        <f t="shared" si="11"/>
        <v>2687135</v>
      </c>
      <c r="AU27" s="3">
        <f t="shared" si="11"/>
        <v>2714635</v>
      </c>
      <c r="AV27" s="3">
        <f t="shared" si="11"/>
        <v>2742135</v>
      </c>
      <c r="AW27" s="3">
        <f t="shared" si="11"/>
        <v>2769635</v>
      </c>
      <c r="AX27" s="3">
        <f t="shared" si="11"/>
        <v>2797135</v>
      </c>
      <c r="AY27" s="3">
        <f t="shared" si="11"/>
        <v>2824635</v>
      </c>
      <c r="AZ27" s="3">
        <f t="shared" si="11"/>
        <v>2852135</v>
      </c>
      <c r="BA27" s="3">
        <f t="shared" si="11"/>
        <v>2879635</v>
      </c>
      <c r="BB27" s="3">
        <f t="shared" si="11"/>
        <v>2907135</v>
      </c>
      <c r="BC27" s="3">
        <f t="shared" si="11"/>
        <v>2934635</v>
      </c>
      <c r="BD27" s="3">
        <f t="shared" si="11"/>
        <v>2962135</v>
      </c>
      <c r="BE27" s="3">
        <f t="shared" si="11"/>
        <v>2989635</v>
      </c>
      <c r="BF27" s="3">
        <f t="shared" si="11"/>
        <v>3017135</v>
      </c>
      <c r="BG27" s="3">
        <f t="shared" si="11"/>
        <v>3044635</v>
      </c>
      <c r="BH27" s="3">
        <f t="shared" si="11"/>
        <v>3072135</v>
      </c>
      <c r="BI27" s="3">
        <f t="shared" si="11"/>
        <v>3099635</v>
      </c>
      <c r="BJ27" s="3">
        <f t="shared" si="11"/>
        <v>3127135</v>
      </c>
      <c r="BK27" s="3">
        <f t="shared" si="11"/>
        <v>3154635</v>
      </c>
    </row>
    <row r="28" spans="2:63" x14ac:dyDescent="0.25">
      <c r="B28" t="s">
        <v>237</v>
      </c>
      <c r="D28" s="3">
        <f>+D26+D27</f>
        <v>313391</v>
      </c>
      <c r="E28" s="3">
        <f t="shared" ref="E28:BK28" si="12">+E26+E27</f>
        <v>638032</v>
      </c>
      <c r="F28" s="3">
        <f t="shared" si="12"/>
        <v>973924</v>
      </c>
      <c r="G28" s="3">
        <f t="shared" si="12"/>
        <v>1321065</v>
      </c>
      <c r="H28" s="3">
        <f t="shared" si="12"/>
        <v>1679456</v>
      </c>
      <c r="I28" s="3">
        <f t="shared" si="12"/>
        <v>2049098</v>
      </c>
      <c r="J28" s="3">
        <f t="shared" si="12"/>
        <v>2429988</v>
      </c>
      <c r="K28" s="3">
        <f t="shared" si="12"/>
        <v>2822130</v>
      </c>
      <c r="L28" s="3">
        <f t="shared" si="12"/>
        <v>3225521</v>
      </c>
      <c r="M28" s="3">
        <f t="shared" si="12"/>
        <v>3640162</v>
      </c>
      <c r="N28" s="3">
        <f t="shared" si="12"/>
        <v>4066053</v>
      </c>
      <c r="O28" s="3">
        <f t="shared" si="12"/>
        <v>4503195</v>
      </c>
      <c r="P28" s="3">
        <f t="shared" si="12"/>
        <v>4570695</v>
      </c>
      <c r="Q28" s="3">
        <f t="shared" si="12"/>
        <v>4638195</v>
      </c>
      <c r="R28" s="3">
        <f t="shared" si="12"/>
        <v>4705695</v>
      </c>
      <c r="S28" s="3">
        <f t="shared" si="12"/>
        <v>4773195</v>
      </c>
      <c r="T28" s="3">
        <f t="shared" si="12"/>
        <v>4840695</v>
      </c>
      <c r="U28" s="3">
        <f t="shared" si="12"/>
        <v>4908195</v>
      </c>
      <c r="V28" s="3">
        <f t="shared" si="12"/>
        <v>4975695</v>
      </c>
      <c r="W28" s="3">
        <f t="shared" si="12"/>
        <v>5043195</v>
      </c>
      <c r="X28" s="3">
        <f t="shared" si="12"/>
        <v>5110695</v>
      </c>
      <c r="Y28" s="3">
        <f t="shared" si="12"/>
        <v>5178195</v>
      </c>
      <c r="Z28" s="3">
        <f t="shared" si="12"/>
        <v>5245695</v>
      </c>
      <c r="AA28" s="3">
        <f t="shared" si="12"/>
        <v>5313195</v>
      </c>
      <c r="AB28" s="3">
        <f t="shared" si="12"/>
        <v>5380695</v>
      </c>
      <c r="AC28" s="3">
        <f t="shared" si="12"/>
        <v>5448195</v>
      </c>
      <c r="AD28" s="3">
        <f t="shared" si="12"/>
        <v>5515695</v>
      </c>
      <c r="AE28" s="3">
        <f t="shared" si="12"/>
        <v>5583195</v>
      </c>
      <c r="AF28" s="3">
        <f t="shared" si="12"/>
        <v>5650695</v>
      </c>
      <c r="AG28" s="3">
        <f t="shared" si="12"/>
        <v>5718195</v>
      </c>
      <c r="AH28" s="3">
        <f t="shared" si="12"/>
        <v>5785695</v>
      </c>
      <c r="AI28" s="3">
        <f t="shared" si="12"/>
        <v>5853195</v>
      </c>
      <c r="AJ28" s="3">
        <f t="shared" si="12"/>
        <v>5920695</v>
      </c>
      <c r="AK28" s="3">
        <f t="shared" si="12"/>
        <v>5988195</v>
      </c>
      <c r="AL28" s="3">
        <f t="shared" si="12"/>
        <v>6055695</v>
      </c>
      <c r="AM28" s="3">
        <f t="shared" si="12"/>
        <v>6123195</v>
      </c>
      <c r="AN28" s="3">
        <f t="shared" si="12"/>
        <v>6190695</v>
      </c>
      <c r="AO28" s="3">
        <f t="shared" si="12"/>
        <v>6258195</v>
      </c>
      <c r="AP28" s="3">
        <f t="shared" si="12"/>
        <v>6325695</v>
      </c>
      <c r="AQ28" s="3">
        <f t="shared" si="12"/>
        <v>6393195</v>
      </c>
      <c r="AR28" s="3">
        <f t="shared" si="12"/>
        <v>6460695</v>
      </c>
      <c r="AS28" s="3">
        <f t="shared" si="12"/>
        <v>6528195</v>
      </c>
      <c r="AT28" s="3">
        <f t="shared" si="12"/>
        <v>6595695</v>
      </c>
      <c r="AU28" s="3">
        <f t="shared" si="12"/>
        <v>6663195</v>
      </c>
      <c r="AV28" s="3">
        <f t="shared" si="12"/>
        <v>6730695</v>
      </c>
      <c r="AW28" s="3">
        <f t="shared" si="12"/>
        <v>6798195</v>
      </c>
      <c r="AX28" s="3">
        <f t="shared" si="12"/>
        <v>6865695</v>
      </c>
      <c r="AY28" s="3">
        <f t="shared" si="12"/>
        <v>6933195</v>
      </c>
      <c r="AZ28" s="3">
        <f t="shared" si="12"/>
        <v>7000695</v>
      </c>
      <c r="BA28" s="3">
        <f t="shared" si="12"/>
        <v>7068195</v>
      </c>
      <c r="BB28" s="3">
        <f t="shared" si="12"/>
        <v>7135695</v>
      </c>
      <c r="BC28" s="3">
        <f t="shared" si="12"/>
        <v>7203195</v>
      </c>
      <c r="BD28" s="3">
        <f t="shared" si="12"/>
        <v>7270695</v>
      </c>
      <c r="BE28" s="3">
        <f t="shared" si="12"/>
        <v>7338195</v>
      </c>
      <c r="BF28" s="3">
        <f t="shared" si="12"/>
        <v>7405695</v>
      </c>
      <c r="BG28" s="3">
        <f t="shared" si="12"/>
        <v>7473195</v>
      </c>
      <c r="BH28" s="3">
        <f t="shared" si="12"/>
        <v>7540695</v>
      </c>
      <c r="BI28" s="3">
        <f t="shared" si="12"/>
        <v>7608195</v>
      </c>
      <c r="BJ28" s="3">
        <f t="shared" si="12"/>
        <v>7675695</v>
      </c>
      <c r="BK28" s="3">
        <f t="shared" si="12"/>
        <v>7743195</v>
      </c>
    </row>
    <row r="29" spans="2:63" x14ac:dyDescent="0.25">
      <c r="B29" t="s">
        <v>241</v>
      </c>
      <c r="D29" s="3">
        <f>+D22</f>
        <v>8635670</v>
      </c>
      <c r="E29" s="3">
        <f t="shared" ref="E29:BK29" si="13">+E22</f>
        <v>8790670</v>
      </c>
      <c r="F29" s="3">
        <f t="shared" si="13"/>
        <v>8945670</v>
      </c>
      <c r="G29" s="3">
        <f t="shared" si="13"/>
        <v>9100670</v>
      </c>
      <c r="H29" s="3">
        <f t="shared" si="13"/>
        <v>9255670</v>
      </c>
      <c r="I29" s="3">
        <f t="shared" si="13"/>
        <v>9410670</v>
      </c>
      <c r="J29" s="3">
        <f t="shared" si="13"/>
        <v>9565670</v>
      </c>
      <c r="K29" s="3">
        <f t="shared" si="13"/>
        <v>9720670</v>
      </c>
      <c r="L29" s="3">
        <f t="shared" si="13"/>
        <v>9875670</v>
      </c>
      <c r="M29" s="3">
        <f t="shared" si="13"/>
        <v>10030670</v>
      </c>
      <c r="N29" s="3">
        <f t="shared" si="13"/>
        <v>10185670</v>
      </c>
      <c r="O29" s="3">
        <f t="shared" si="13"/>
        <v>10340670</v>
      </c>
      <c r="P29" s="3">
        <f t="shared" si="13"/>
        <v>10495670</v>
      </c>
      <c r="Q29" s="3">
        <f t="shared" si="13"/>
        <v>10650670</v>
      </c>
      <c r="R29" s="3">
        <f t="shared" si="13"/>
        <v>10805670</v>
      </c>
      <c r="S29" s="3">
        <f t="shared" si="13"/>
        <v>10960670</v>
      </c>
      <c r="T29" s="3">
        <f t="shared" si="13"/>
        <v>11115670</v>
      </c>
      <c r="U29" s="3">
        <f t="shared" si="13"/>
        <v>11270670</v>
      </c>
      <c r="V29" s="3">
        <f t="shared" si="13"/>
        <v>11425670</v>
      </c>
      <c r="W29" s="3">
        <f t="shared" si="13"/>
        <v>11580670</v>
      </c>
      <c r="X29" s="3">
        <f t="shared" si="13"/>
        <v>11735670</v>
      </c>
      <c r="Y29" s="3">
        <f t="shared" si="13"/>
        <v>11890670</v>
      </c>
      <c r="Z29" s="3">
        <f t="shared" si="13"/>
        <v>12045670</v>
      </c>
      <c r="AA29" s="3">
        <f t="shared" si="13"/>
        <v>12200670</v>
      </c>
      <c r="AB29" s="3">
        <f t="shared" si="13"/>
        <v>12355670</v>
      </c>
      <c r="AC29" s="3">
        <f t="shared" si="13"/>
        <v>12510670</v>
      </c>
      <c r="AD29" s="3">
        <f t="shared" si="13"/>
        <v>12665670</v>
      </c>
      <c r="AE29" s="3">
        <f t="shared" si="13"/>
        <v>12820670</v>
      </c>
      <c r="AF29" s="3">
        <f t="shared" si="13"/>
        <v>12975670</v>
      </c>
      <c r="AG29" s="3">
        <f t="shared" si="13"/>
        <v>13130670</v>
      </c>
      <c r="AH29" s="3">
        <f t="shared" si="13"/>
        <v>13285670</v>
      </c>
      <c r="AI29" s="3">
        <f t="shared" si="13"/>
        <v>13440670</v>
      </c>
      <c r="AJ29" s="3">
        <f t="shared" si="13"/>
        <v>13595670</v>
      </c>
      <c r="AK29" s="3">
        <f t="shared" si="13"/>
        <v>13750670</v>
      </c>
      <c r="AL29" s="3">
        <f t="shared" si="13"/>
        <v>13905670</v>
      </c>
      <c r="AM29" s="3">
        <f t="shared" si="13"/>
        <v>14060670</v>
      </c>
      <c r="AN29" s="3">
        <f t="shared" si="13"/>
        <v>14215670</v>
      </c>
      <c r="AO29" s="3">
        <f t="shared" si="13"/>
        <v>14370670</v>
      </c>
      <c r="AP29" s="3">
        <f t="shared" si="13"/>
        <v>14525670</v>
      </c>
      <c r="AQ29" s="3">
        <f t="shared" si="13"/>
        <v>14680670</v>
      </c>
      <c r="AR29" s="3">
        <f t="shared" si="13"/>
        <v>14835670</v>
      </c>
      <c r="AS29" s="3">
        <f t="shared" si="13"/>
        <v>14990670</v>
      </c>
      <c r="AT29" s="3">
        <f t="shared" si="13"/>
        <v>15145670</v>
      </c>
      <c r="AU29" s="3">
        <f t="shared" si="13"/>
        <v>15300670</v>
      </c>
      <c r="AV29" s="3">
        <f t="shared" si="13"/>
        <v>15455670</v>
      </c>
      <c r="AW29" s="3">
        <f t="shared" si="13"/>
        <v>15610670</v>
      </c>
      <c r="AX29" s="3">
        <f t="shared" si="13"/>
        <v>15765670</v>
      </c>
      <c r="AY29" s="3">
        <f t="shared" si="13"/>
        <v>15920670</v>
      </c>
      <c r="AZ29" s="3">
        <f t="shared" si="13"/>
        <v>16075670</v>
      </c>
      <c r="BA29" s="3">
        <f t="shared" si="13"/>
        <v>16230670</v>
      </c>
      <c r="BB29" s="3">
        <f t="shared" si="13"/>
        <v>16385670</v>
      </c>
      <c r="BC29" s="3">
        <f t="shared" si="13"/>
        <v>16540670</v>
      </c>
      <c r="BD29" s="3">
        <f t="shared" si="13"/>
        <v>16695670</v>
      </c>
      <c r="BE29" s="3">
        <f t="shared" si="13"/>
        <v>16850670</v>
      </c>
      <c r="BF29" s="3">
        <f t="shared" si="13"/>
        <v>17005670</v>
      </c>
      <c r="BG29" s="3">
        <f t="shared" si="13"/>
        <v>17160670</v>
      </c>
      <c r="BH29" s="3">
        <f t="shared" si="13"/>
        <v>17315670</v>
      </c>
      <c r="BI29" s="3">
        <f t="shared" si="13"/>
        <v>17470670</v>
      </c>
      <c r="BJ29" s="3">
        <f t="shared" si="13"/>
        <v>17625670</v>
      </c>
      <c r="BK29" s="3">
        <f t="shared" si="13"/>
        <v>17780670</v>
      </c>
    </row>
    <row r="30" spans="2:63" x14ac:dyDescent="0.25">
      <c r="B30" t="s">
        <v>242</v>
      </c>
      <c r="D30" s="3">
        <f>+D22+D29</f>
        <v>17271340</v>
      </c>
      <c r="E30" s="3">
        <f t="shared" ref="E30:BK30" si="14">+E22+E29</f>
        <v>17581340</v>
      </c>
      <c r="F30" s="3">
        <f t="shared" si="14"/>
        <v>17891340</v>
      </c>
      <c r="G30" s="3">
        <f t="shared" si="14"/>
        <v>18201340</v>
      </c>
      <c r="H30" s="3">
        <f t="shared" si="14"/>
        <v>18511340</v>
      </c>
      <c r="I30" s="3">
        <f t="shared" si="14"/>
        <v>18821340</v>
      </c>
      <c r="J30" s="3">
        <f t="shared" si="14"/>
        <v>19131340</v>
      </c>
      <c r="K30" s="3">
        <f t="shared" si="14"/>
        <v>19441340</v>
      </c>
      <c r="L30" s="3">
        <f t="shared" si="14"/>
        <v>19751340</v>
      </c>
      <c r="M30" s="3">
        <f t="shared" si="14"/>
        <v>20061340</v>
      </c>
      <c r="N30" s="3">
        <f t="shared" si="14"/>
        <v>20371340</v>
      </c>
      <c r="O30" s="3">
        <f t="shared" si="14"/>
        <v>20681340</v>
      </c>
      <c r="P30" s="3">
        <f t="shared" si="14"/>
        <v>20991340</v>
      </c>
      <c r="Q30" s="3">
        <f t="shared" si="14"/>
        <v>21301340</v>
      </c>
      <c r="R30" s="3">
        <f t="shared" si="14"/>
        <v>21611340</v>
      </c>
      <c r="S30" s="3">
        <f t="shared" si="14"/>
        <v>21921340</v>
      </c>
      <c r="T30" s="3">
        <f t="shared" si="14"/>
        <v>22231340</v>
      </c>
      <c r="U30" s="3">
        <f t="shared" si="14"/>
        <v>22541340</v>
      </c>
      <c r="V30" s="3">
        <f t="shared" si="14"/>
        <v>22851340</v>
      </c>
      <c r="W30" s="3">
        <f t="shared" si="14"/>
        <v>23161340</v>
      </c>
      <c r="X30" s="3">
        <f t="shared" si="14"/>
        <v>23471340</v>
      </c>
      <c r="Y30" s="3">
        <f t="shared" si="14"/>
        <v>23781340</v>
      </c>
      <c r="Z30" s="3">
        <f t="shared" si="14"/>
        <v>24091340</v>
      </c>
      <c r="AA30" s="3">
        <f t="shared" si="14"/>
        <v>24401340</v>
      </c>
      <c r="AB30" s="3">
        <f t="shared" si="14"/>
        <v>24711340</v>
      </c>
      <c r="AC30" s="3">
        <f t="shared" si="14"/>
        <v>25021340</v>
      </c>
      <c r="AD30" s="3">
        <f t="shared" si="14"/>
        <v>25331340</v>
      </c>
      <c r="AE30" s="3">
        <f t="shared" si="14"/>
        <v>25641340</v>
      </c>
      <c r="AF30" s="3">
        <f t="shared" si="14"/>
        <v>25951340</v>
      </c>
      <c r="AG30" s="3">
        <f t="shared" si="14"/>
        <v>26261340</v>
      </c>
      <c r="AH30" s="3">
        <f t="shared" si="14"/>
        <v>26571340</v>
      </c>
      <c r="AI30" s="3">
        <f t="shared" si="14"/>
        <v>26881340</v>
      </c>
      <c r="AJ30" s="3">
        <f t="shared" si="14"/>
        <v>27191340</v>
      </c>
      <c r="AK30" s="3">
        <f t="shared" si="14"/>
        <v>27501340</v>
      </c>
      <c r="AL30" s="3">
        <f t="shared" si="14"/>
        <v>27811340</v>
      </c>
      <c r="AM30" s="3">
        <f t="shared" si="14"/>
        <v>28121340</v>
      </c>
      <c r="AN30" s="3">
        <f t="shared" si="14"/>
        <v>28431340</v>
      </c>
      <c r="AO30" s="3">
        <f t="shared" si="14"/>
        <v>28741340</v>
      </c>
      <c r="AP30" s="3">
        <f t="shared" si="14"/>
        <v>29051340</v>
      </c>
      <c r="AQ30" s="3">
        <f t="shared" si="14"/>
        <v>29361340</v>
      </c>
      <c r="AR30" s="3">
        <f t="shared" si="14"/>
        <v>29671340</v>
      </c>
      <c r="AS30" s="3">
        <f t="shared" si="14"/>
        <v>29981340</v>
      </c>
      <c r="AT30" s="3">
        <f t="shared" si="14"/>
        <v>30291340</v>
      </c>
      <c r="AU30" s="3">
        <f t="shared" si="14"/>
        <v>30601340</v>
      </c>
      <c r="AV30" s="3">
        <f t="shared" si="14"/>
        <v>30911340</v>
      </c>
      <c r="AW30" s="3">
        <f t="shared" si="14"/>
        <v>31221340</v>
      </c>
      <c r="AX30" s="3">
        <f t="shared" si="14"/>
        <v>31531340</v>
      </c>
      <c r="AY30" s="3">
        <f t="shared" si="14"/>
        <v>31841340</v>
      </c>
      <c r="AZ30" s="3">
        <f t="shared" si="14"/>
        <v>32151340</v>
      </c>
      <c r="BA30" s="3">
        <f t="shared" si="14"/>
        <v>32461340</v>
      </c>
      <c r="BB30" s="3">
        <f t="shared" si="14"/>
        <v>32771340</v>
      </c>
      <c r="BC30" s="3">
        <f t="shared" si="14"/>
        <v>33081340</v>
      </c>
      <c r="BD30" s="3">
        <f t="shared" si="14"/>
        <v>33391340</v>
      </c>
      <c r="BE30" s="3">
        <f t="shared" si="14"/>
        <v>33701340</v>
      </c>
      <c r="BF30" s="3">
        <f t="shared" si="14"/>
        <v>34011340</v>
      </c>
      <c r="BG30" s="3">
        <f t="shared" si="14"/>
        <v>34321340</v>
      </c>
      <c r="BH30" s="3">
        <f t="shared" si="14"/>
        <v>34631340</v>
      </c>
      <c r="BI30" s="3">
        <f t="shared" si="14"/>
        <v>34941340</v>
      </c>
      <c r="BJ30" s="3">
        <f t="shared" si="14"/>
        <v>35251340</v>
      </c>
      <c r="BK30" s="3">
        <f t="shared" si="14"/>
        <v>35561340</v>
      </c>
    </row>
    <row r="31" spans="2:63" x14ac:dyDescent="0.25">
      <c r="D31" s="3">
        <f>+SUM(D30:O30)</f>
        <v>227716080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f>+SUM(P30:AA30)</f>
        <v>272356080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>
        <f>+SUM(AB30:AM30)</f>
        <v>316996080</v>
      </c>
      <c r="AC31" s="3"/>
      <c r="AD31" s="3"/>
      <c r="AE31" s="3"/>
      <c r="AF31" s="3"/>
      <c r="AG31" s="3"/>
      <c r="AH31" s="3"/>
      <c r="AI31" s="3"/>
      <c r="AJ31" s="3"/>
      <c r="AK31" s="3"/>
      <c r="AM31" s="3"/>
      <c r="AN31" s="3">
        <f>+SUM(AL30:AW30)</f>
        <v>354196080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>
        <f>+SUM(AX30:BI30)</f>
        <v>398836080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C32" s="75"/>
      <c r="D32" s="3">
        <f>D31/12</f>
        <v>18976340</v>
      </c>
      <c r="P32" s="3">
        <f>P31/12</f>
        <v>22696340</v>
      </c>
      <c r="AB32" s="3">
        <f>AB31/12</f>
        <v>26416340</v>
      </c>
    </row>
    <row r="33" spans="2:63" x14ac:dyDescent="0.25">
      <c r="B33" s="12" t="s">
        <v>45</v>
      </c>
      <c r="C33" s="75"/>
      <c r="D33" s="75">
        <f t="shared" ref="D33:AI33" si="15">+D17*$C$2*$C$4</f>
        <v>167142</v>
      </c>
      <c r="E33" s="75">
        <f t="shared" si="15"/>
        <v>170142</v>
      </c>
      <c r="F33" s="75">
        <f t="shared" si="15"/>
        <v>173142</v>
      </c>
      <c r="G33" s="75">
        <f t="shared" si="15"/>
        <v>176142</v>
      </c>
      <c r="H33" s="75">
        <f t="shared" si="15"/>
        <v>179142</v>
      </c>
      <c r="I33" s="75">
        <f t="shared" si="15"/>
        <v>182142</v>
      </c>
      <c r="J33" s="75">
        <f t="shared" si="15"/>
        <v>185142</v>
      </c>
      <c r="K33" s="75">
        <f t="shared" si="15"/>
        <v>188142</v>
      </c>
      <c r="L33" s="75">
        <f t="shared" si="15"/>
        <v>191142</v>
      </c>
      <c r="M33" s="75">
        <f t="shared" si="15"/>
        <v>194142</v>
      </c>
      <c r="N33" s="75">
        <f t="shared" si="15"/>
        <v>197142</v>
      </c>
      <c r="O33" s="75">
        <f t="shared" si="15"/>
        <v>200142</v>
      </c>
      <c r="P33" s="75">
        <f t="shared" si="15"/>
        <v>203142</v>
      </c>
      <c r="Q33" s="75">
        <f t="shared" si="15"/>
        <v>206142</v>
      </c>
      <c r="R33" s="75">
        <f t="shared" si="15"/>
        <v>209142</v>
      </c>
      <c r="S33" s="75">
        <f t="shared" si="15"/>
        <v>212142</v>
      </c>
      <c r="T33" s="75">
        <f t="shared" si="15"/>
        <v>215142</v>
      </c>
      <c r="U33" s="75">
        <f t="shared" si="15"/>
        <v>218142</v>
      </c>
      <c r="V33" s="75">
        <f t="shared" si="15"/>
        <v>221142</v>
      </c>
      <c r="W33" s="75">
        <f t="shared" si="15"/>
        <v>224142</v>
      </c>
      <c r="X33" s="75">
        <f t="shared" si="15"/>
        <v>227142</v>
      </c>
      <c r="Y33" s="75">
        <f t="shared" si="15"/>
        <v>230142</v>
      </c>
      <c r="Z33" s="75">
        <f t="shared" si="15"/>
        <v>233142</v>
      </c>
      <c r="AA33" s="75">
        <f t="shared" si="15"/>
        <v>236142</v>
      </c>
      <c r="AB33" s="75">
        <f t="shared" si="15"/>
        <v>239142</v>
      </c>
      <c r="AC33" s="75">
        <f t="shared" si="15"/>
        <v>242142</v>
      </c>
      <c r="AD33" s="75">
        <f t="shared" si="15"/>
        <v>245142</v>
      </c>
      <c r="AE33" s="75">
        <f t="shared" si="15"/>
        <v>248142</v>
      </c>
      <c r="AF33" s="75">
        <f t="shared" si="15"/>
        <v>251142</v>
      </c>
      <c r="AG33" s="75">
        <f t="shared" si="15"/>
        <v>254142</v>
      </c>
      <c r="AH33" s="75">
        <f t="shared" si="15"/>
        <v>257142</v>
      </c>
      <c r="AI33" s="75">
        <f t="shared" si="15"/>
        <v>260142</v>
      </c>
      <c r="AJ33" s="75">
        <f t="shared" ref="AJ33:BK33" si="16">+AJ17*$C$2*$C$4</f>
        <v>263142</v>
      </c>
      <c r="AK33" s="75">
        <f t="shared" si="16"/>
        <v>266142</v>
      </c>
      <c r="AL33" s="75">
        <f t="shared" si="16"/>
        <v>269142</v>
      </c>
      <c r="AM33" s="75">
        <f t="shared" si="16"/>
        <v>272142</v>
      </c>
      <c r="AN33" s="75">
        <f t="shared" si="16"/>
        <v>275142</v>
      </c>
      <c r="AO33" s="75">
        <f t="shared" si="16"/>
        <v>278142</v>
      </c>
      <c r="AP33" s="75">
        <f t="shared" si="16"/>
        <v>281142</v>
      </c>
      <c r="AQ33" s="75">
        <f t="shared" si="16"/>
        <v>284142</v>
      </c>
      <c r="AR33" s="75">
        <f t="shared" si="16"/>
        <v>287142</v>
      </c>
      <c r="AS33" s="75">
        <f t="shared" si="16"/>
        <v>290142</v>
      </c>
      <c r="AT33" s="75">
        <f t="shared" si="16"/>
        <v>293142</v>
      </c>
      <c r="AU33" s="75">
        <f t="shared" si="16"/>
        <v>296142</v>
      </c>
      <c r="AV33" s="75">
        <f t="shared" si="16"/>
        <v>299142</v>
      </c>
      <c r="AW33" s="75">
        <f t="shared" si="16"/>
        <v>302142</v>
      </c>
      <c r="AX33" s="75">
        <f t="shared" si="16"/>
        <v>305142</v>
      </c>
      <c r="AY33" s="75">
        <f t="shared" si="16"/>
        <v>308142</v>
      </c>
      <c r="AZ33" s="75">
        <f t="shared" si="16"/>
        <v>311142</v>
      </c>
      <c r="BA33" s="75">
        <f t="shared" si="16"/>
        <v>314142</v>
      </c>
      <c r="BB33" s="75">
        <f t="shared" si="16"/>
        <v>317142</v>
      </c>
      <c r="BC33" s="75">
        <f t="shared" si="16"/>
        <v>320142</v>
      </c>
      <c r="BD33" s="75">
        <f t="shared" si="16"/>
        <v>323142</v>
      </c>
      <c r="BE33" s="75">
        <f t="shared" si="16"/>
        <v>326142</v>
      </c>
      <c r="BF33" s="75">
        <f t="shared" si="16"/>
        <v>329142</v>
      </c>
      <c r="BG33" s="75">
        <f t="shared" si="16"/>
        <v>332142</v>
      </c>
      <c r="BH33" s="75">
        <f t="shared" si="16"/>
        <v>335142</v>
      </c>
      <c r="BI33" s="75">
        <f t="shared" si="16"/>
        <v>338142</v>
      </c>
      <c r="BJ33" s="75">
        <f t="shared" si="16"/>
        <v>341142</v>
      </c>
      <c r="BK33" s="75">
        <f t="shared" si="16"/>
        <v>344142</v>
      </c>
    </row>
    <row r="34" spans="2:63" x14ac:dyDescent="0.25">
      <c r="C34" s="75"/>
    </row>
    <row r="35" spans="2:63" x14ac:dyDescent="0.25">
      <c r="C35" s="75"/>
    </row>
    <row r="36" spans="2:63" x14ac:dyDescent="0.25">
      <c r="B36" s="12" t="s">
        <v>231</v>
      </c>
      <c r="C36" s="75"/>
    </row>
    <row r="37" spans="2:63" s="102" customFormat="1" x14ac:dyDescent="0.25">
      <c r="B37" s="102" t="s">
        <v>232</v>
      </c>
      <c r="C37" s="103"/>
      <c r="D37" s="103">
        <f t="shared" ref="D37:AI37" si="17">+D25*$C$8</f>
        <v>172713.4</v>
      </c>
      <c r="E37" s="103">
        <f t="shared" si="17"/>
        <v>175813.4</v>
      </c>
      <c r="F37" s="103">
        <f t="shared" si="17"/>
        <v>178913.4</v>
      </c>
      <c r="G37" s="103">
        <f t="shared" si="17"/>
        <v>182013.4</v>
      </c>
      <c r="H37" s="103">
        <f t="shared" si="17"/>
        <v>185113.4</v>
      </c>
      <c r="I37" s="103">
        <f t="shared" si="17"/>
        <v>188213.4</v>
      </c>
      <c r="J37" s="103">
        <f t="shared" si="17"/>
        <v>191313.4</v>
      </c>
      <c r="K37" s="103">
        <f t="shared" si="17"/>
        <v>194413.4</v>
      </c>
      <c r="L37" s="103">
        <f t="shared" si="17"/>
        <v>197513.4</v>
      </c>
      <c r="M37" s="103">
        <f t="shared" si="17"/>
        <v>200613.4</v>
      </c>
      <c r="N37" s="103">
        <f t="shared" si="17"/>
        <v>203713.4</v>
      </c>
      <c r="O37" s="103">
        <f t="shared" si="17"/>
        <v>206813.4</v>
      </c>
      <c r="P37" s="103">
        <f t="shared" si="17"/>
        <v>209913.4</v>
      </c>
      <c r="Q37" s="103">
        <f t="shared" si="17"/>
        <v>213013.4</v>
      </c>
      <c r="R37" s="103">
        <f t="shared" si="17"/>
        <v>216113.4</v>
      </c>
      <c r="S37" s="103">
        <f t="shared" si="17"/>
        <v>219213.4</v>
      </c>
      <c r="T37" s="103">
        <f t="shared" si="17"/>
        <v>222313.4</v>
      </c>
      <c r="U37" s="103">
        <f t="shared" si="17"/>
        <v>225413.4</v>
      </c>
      <c r="V37" s="103">
        <f t="shared" si="17"/>
        <v>228513.4</v>
      </c>
      <c r="W37" s="103">
        <f t="shared" si="17"/>
        <v>231613.4</v>
      </c>
      <c r="X37" s="103">
        <f t="shared" si="17"/>
        <v>234713.4</v>
      </c>
      <c r="Y37" s="103">
        <f t="shared" si="17"/>
        <v>237813.4</v>
      </c>
      <c r="Z37" s="103">
        <f t="shared" si="17"/>
        <v>240913.4</v>
      </c>
      <c r="AA37" s="103">
        <f t="shared" si="17"/>
        <v>244013.4</v>
      </c>
      <c r="AB37" s="103">
        <f t="shared" si="17"/>
        <v>247113.4</v>
      </c>
      <c r="AC37" s="103">
        <f t="shared" si="17"/>
        <v>250213.4</v>
      </c>
      <c r="AD37" s="103">
        <f t="shared" si="17"/>
        <v>253313.4</v>
      </c>
      <c r="AE37" s="103">
        <f t="shared" si="17"/>
        <v>256413.4</v>
      </c>
      <c r="AF37" s="103">
        <f t="shared" si="17"/>
        <v>259513.4</v>
      </c>
      <c r="AG37" s="103">
        <f t="shared" si="17"/>
        <v>262613.40000000002</v>
      </c>
      <c r="AH37" s="103">
        <f t="shared" si="17"/>
        <v>265713.40000000002</v>
      </c>
      <c r="AI37" s="103">
        <f t="shared" si="17"/>
        <v>268813.40000000002</v>
      </c>
      <c r="AJ37" s="103">
        <f t="shared" ref="AJ37:BK37" si="18">+AJ25*$C$8</f>
        <v>271913.40000000002</v>
      </c>
      <c r="AK37" s="103">
        <f t="shared" si="18"/>
        <v>275013.40000000002</v>
      </c>
      <c r="AL37" s="103">
        <f t="shared" si="18"/>
        <v>278113.40000000002</v>
      </c>
      <c r="AM37" s="103">
        <f t="shared" si="18"/>
        <v>281213.40000000002</v>
      </c>
      <c r="AN37" s="103">
        <f t="shared" si="18"/>
        <v>284313.40000000002</v>
      </c>
      <c r="AO37" s="103">
        <f t="shared" si="18"/>
        <v>287413.40000000002</v>
      </c>
      <c r="AP37" s="103">
        <f t="shared" si="18"/>
        <v>290513.40000000002</v>
      </c>
      <c r="AQ37" s="103">
        <f t="shared" si="18"/>
        <v>293613.40000000002</v>
      </c>
      <c r="AR37" s="103">
        <f t="shared" si="18"/>
        <v>296713.40000000002</v>
      </c>
      <c r="AS37" s="103">
        <f t="shared" si="18"/>
        <v>299813.40000000002</v>
      </c>
      <c r="AT37" s="103">
        <f t="shared" si="18"/>
        <v>302913.40000000002</v>
      </c>
      <c r="AU37" s="103">
        <f t="shared" si="18"/>
        <v>306013.40000000002</v>
      </c>
      <c r="AV37" s="103">
        <f t="shared" si="18"/>
        <v>309113.40000000002</v>
      </c>
      <c r="AW37" s="103">
        <f t="shared" si="18"/>
        <v>312213.40000000002</v>
      </c>
      <c r="AX37" s="103">
        <f t="shared" si="18"/>
        <v>315313.40000000002</v>
      </c>
      <c r="AY37" s="103">
        <f t="shared" si="18"/>
        <v>318413.40000000002</v>
      </c>
      <c r="AZ37" s="103">
        <f t="shared" si="18"/>
        <v>321513.40000000002</v>
      </c>
      <c r="BA37" s="103">
        <f t="shared" si="18"/>
        <v>324613.40000000002</v>
      </c>
      <c r="BB37" s="103">
        <f t="shared" si="18"/>
        <v>327713.40000000002</v>
      </c>
      <c r="BC37" s="103">
        <f t="shared" si="18"/>
        <v>330813.40000000002</v>
      </c>
      <c r="BD37" s="103">
        <f t="shared" si="18"/>
        <v>333913.40000000002</v>
      </c>
      <c r="BE37" s="103">
        <f t="shared" si="18"/>
        <v>337013.4</v>
      </c>
      <c r="BF37" s="103">
        <f t="shared" si="18"/>
        <v>340113.4</v>
      </c>
      <c r="BG37" s="103">
        <f t="shared" si="18"/>
        <v>343213.4</v>
      </c>
      <c r="BH37" s="103">
        <f t="shared" si="18"/>
        <v>346313.4</v>
      </c>
      <c r="BI37" s="103">
        <f t="shared" si="18"/>
        <v>349413.4</v>
      </c>
      <c r="BJ37" s="103">
        <f t="shared" si="18"/>
        <v>352513.4</v>
      </c>
      <c r="BK37" s="103">
        <f t="shared" si="18"/>
        <v>355613.4</v>
      </c>
    </row>
    <row r="38" spans="2:63" x14ac:dyDescent="0.25">
      <c r="B38" t="s">
        <v>238</v>
      </c>
      <c r="C38" s="75"/>
      <c r="D38" s="75">
        <f t="shared" ref="D38:AI38" si="19">+(D25-D28)*$C$8</f>
        <v>166445.58000000002</v>
      </c>
      <c r="E38" s="75">
        <f t="shared" si="19"/>
        <v>163052.76</v>
      </c>
      <c r="F38" s="75">
        <f t="shared" si="19"/>
        <v>159434.92000000001</v>
      </c>
      <c r="G38" s="75">
        <f t="shared" si="19"/>
        <v>155592.1</v>
      </c>
      <c r="H38" s="75">
        <f t="shared" si="19"/>
        <v>151524.28</v>
      </c>
      <c r="I38" s="75">
        <f t="shared" si="19"/>
        <v>147231.44</v>
      </c>
      <c r="J38" s="75">
        <f t="shared" si="19"/>
        <v>142713.64000000001</v>
      </c>
      <c r="K38" s="75">
        <f t="shared" si="19"/>
        <v>137970.79999999999</v>
      </c>
      <c r="L38" s="75">
        <f t="shared" si="19"/>
        <v>133002.98000000001</v>
      </c>
      <c r="M38" s="75">
        <f t="shared" si="19"/>
        <v>127810.16</v>
      </c>
      <c r="N38" s="75">
        <f t="shared" si="19"/>
        <v>122392.34</v>
      </c>
      <c r="O38" s="75">
        <f t="shared" si="19"/>
        <v>116749.5</v>
      </c>
      <c r="P38" s="75">
        <f t="shared" si="19"/>
        <v>118499.5</v>
      </c>
      <c r="Q38" s="75">
        <f t="shared" si="19"/>
        <v>120249.5</v>
      </c>
      <c r="R38" s="75">
        <f t="shared" si="19"/>
        <v>121999.5</v>
      </c>
      <c r="S38" s="75">
        <f t="shared" si="19"/>
        <v>123749.5</v>
      </c>
      <c r="T38" s="75">
        <f t="shared" si="19"/>
        <v>125499.5</v>
      </c>
      <c r="U38" s="75">
        <f t="shared" si="19"/>
        <v>127249.5</v>
      </c>
      <c r="V38" s="75">
        <f t="shared" si="19"/>
        <v>128999.5</v>
      </c>
      <c r="W38" s="75">
        <f t="shared" si="19"/>
        <v>130749.5</v>
      </c>
      <c r="X38" s="75">
        <f t="shared" si="19"/>
        <v>132499.5</v>
      </c>
      <c r="Y38" s="75">
        <f t="shared" si="19"/>
        <v>134249.5</v>
      </c>
      <c r="Z38" s="75">
        <f t="shared" si="19"/>
        <v>135999.5</v>
      </c>
      <c r="AA38" s="75">
        <f t="shared" si="19"/>
        <v>137749.5</v>
      </c>
      <c r="AB38" s="75">
        <f t="shared" si="19"/>
        <v>139499.5</v>
      </c>
      <c r="AC38" s="75">
        <f t="shared" si="19"/>
        <v>141249.5</v>
      </c>
      <c r="AD38" s="75">
        <f t="shared" si="19"/>
        <v>142999.5</v>
      </c>
      <c r="AE38" s="75">
        <f t="shared" si="19"/>
        <v>144749.5</v>
      </c>
      <c r="AF38" s="75">
        <f t="shared" si="19"/>
        <v>146499.5</v>
      </c>
      <c r="AG38" s="75">
        <f t="shared" si="19"/>
        <v>148249.5</v>
      </c>
      <c r="AH38" s="75">
        <f t="shared" si="19"/>
        <v>149999.5</v>
      </c>
      <c r="AI38" s="75">
        <f t="shared" si="19"/>
        <v>151749.5</v>
      </c>
      <c r="AJ38" s="75">
        <f t="shared" ref="AJ38:BK38" si="20">+(AJ25-AJ28)*$C$8</f>
        <v>153499.5</v>
      </c>
      <c r="AK38" s="75">
        <f t="shared" si="20"/>
        <v>155249.5</v>
      </c>
      <c r="AL38" s="75">
        <f t="shared" si="20"/>
        <v>156999.5</v>
      </c>
      <c r="AM38" s="75">
        <f t="shared" si="20"/>
        <v>158749.5</v>
      </c>
      <c r="AN38" s="75">
        <f t="shared" si="20"/>
        <v>160499.5</v>
      </c>
      <c r="AO38" s="75">
        <f t="shared" si="20"/>
        <v>162249.5</v>
      </c>
      <c r="AP38" s="75">
        <f t="shared" si="20"/>
        <v>163999.5</v>
      </c>
      <c r="AQ38" s="75">
        <f t="shared" si="20"/>
        <v>165749.5</v>
      </c>
      <c r="AR38" s="75">
        <f t="shared" si="20"/>
        <v>167499.5</v>
      </c>
      <c r="AS38" s="75">
        <f t="shared" si="20"/>
        <v>169249.5</v>
      </c>
      <c r="AT38" s="75">
        <f t="shared" si="20"/>
        <v>170999.5</v>
      </c>
      <c r="AU38" s="75">
        <f t="shared" si="20"/>
        <v>172749.5</v>
      </c>
      <c r="AV38" s="75">
        <f t="shared" si="20"/>
        <v>174499.5</v>
      </c>
      <c r="AW38" s="75">
        <f t="shared" si="20"/>
        <v>176249.5</v>
      </c>
      <c r="AX38" s="75">
        <f t="shared" si="20"/>
        <v>177999.5</v>
      </c>
      <c r="AY38" s="75">
        <f t="shared" si="20"/>
        <v>179749.5</v>
      </c>
      <c r="AZ38" s="75">
        <f t="shared" si="20"/>
        <v>181499.5</v>
      </c>
      <c r="BA38" s="75">
        <f t="shared" si="20"/>
        <v>183249.5</v>
      </c>
      <c r="BB38" s="75">
        <f t="shared" si="20"/>
        <v>184999.5</v>
      </c>
      <c r="BC38" s="75">
        <f t="shared" si="20"/>
        <v>186749.5</v>
      </c>
      <c r="BD38" s="75">
        <f t="shared" si="20"/>
        <v>188499.5</v>
      </c>
      <c r="BE38" s="75">
        <f t="shared" si="20"/>
        <v>190249.5</v>
      </c>
      <c r="BF38" s="75">
        <f t="shared" si="20"/>
        <v>191999.5</v>
      </c>
      <c r="BG38" s="75">
        <f t="shared" si="20"/>
        <v>193749.5</v>
      </c>
      <c r="BH38" s="75">
        <f t="shared" si="20"/>
        <v>195499.5</v>
      </c>
      <c r="BI38" s="75">
        <f t="shared" si="20"/>
        <v>197249.5</v>
      </c>
      <c r="BJ38" s="75">
        <f t="shared" si="20"/>
        <v>198999.5</v>
      </c>
      <c r="BK38" s="75">
        <f t="shared" si="20"/>
        <v>200749.5</v>
      </c>
    </row>
    <row r="39" spans="2:63" x14ac:dyDescent="0.25">
      <c r="B39" t="s">
        <v>108</v>
      </c>
      <c r="C39" s="75">
        <f>+'Recursos Adicionales'!E11</f>
        <v>90271.2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</row>
    <row r="40" spans="2:63" x14ac:dyDescent="0.25">
      <c r="B40" t="s">
        <v>298</v>
      </c>
      <c r="C40" s="75">
        <f>+'Consolidado Sybven'!C7</f>
        <v>14722.933333333334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>
        <f>+'Consolidado Sybven'!D7</f>
        <v>4953.8666666666668</v>
      </c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>
        <f>+'Consolidado Sybven'!E7</f>
        <v>4953.8666666666668</v>
      </c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>
        <f>+'Consolidado Sybven'!F7</f>
        <v>4953.8666666666668</v>
      </c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>
        <f>+'Consolidado Sybven'!G7</f>
        <v>4953.8666666666668</v>
      </c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</row>
    <row r="41" spans="2:63" ht="12.75" customHeight="1" x14ac:dyDescent="0.25">
      <c r="B41" t="s">
        <v>306</v>
      </c>
      <c r="C41" s="75"/>
      <c r="D41" s="75">
        <v>0</v>
      </c>
      <c r="E41" s="75">
        <f>+D41</f>
        <v>0</v>
      </c>
      <c r="F41" s="75">
        <f t="shared" ref="F41:AY41" si="21">+E41</f>
        <v>0</v>
      </c>
      <c r="G41" s="75">
        <f t="shared" si="21"/>
        <v>0</v>
      </c>
      <c r="H41" s="75">
        <f t="shared" si="21"/>
        <v>0</v>
      </c>
      <c r="I41" s="75">
        <f t="shared" si="21"/>
        <v>0</v>
      </c>
      <c r="J41" s="75">
        <f t="shared" si="21"/>
        <v>0</v>
      </c>
      <c r="K41" s="75">
        <f t="shared" si="21"/>
        <v>0</v>
      </c>
      <c r="L41" s="75">
        <f t="shared" si="21"/>
        <v>0</v>
      </c>
      <c r="M41" s="75">
        <f t="shared" si="21"/>
        <v>0</v>
      </c>
      <c r="N41" s="75">
        <f t="shared" si="21"/>
        <v>0</v>
      </c>
      <c r="O41" s="75">
        <f t="shared" si="21"/>
        <v>0</v>
      </c>
      <c r="P41" s="75">
        <f t="shared" si="21"/>
        <v>0</v>
      </c>
      <c r="Q41" s="75">
        <f t="shared" si="21"/>
        <v>0</v>
      </c>
      <c r="R41" s="75">
        <f t="shared" si="21"/>
        <v>0</v>
      </c>
      <c r="S41" s="75">
        <f t="shared" si="21"/>
        <v>0</v>
      </c>
      <c r="T41" s="75">
        <f t="shared" si="21"/>
        <v>0</v>
      </c>
      <c r="U41" s="75">
        <f t="shared" si="21"/>
        <v>0</v>
      </c>
      <c r="V41" s="75">
        <f t="shared" si="21"/>
        <v>0</v>
      </c>
      <c r="W41" s="75">
        <f t="shared" si="21"/>
        <v>0</v>
      </c>
      <c r="X41" s="75">
        <f t="shared" si="21"/>
        <v>0</v>
      </c>
      <c r="Y41" s="75">
        <f t="shared" si="21"/>
        <v>0</v>
      </c>
      <c r="Z41" s="75">
        <f t="shared" si="21"/>
        <v>0</v>
      </c>
      <c r="AA41" s="75">
        <f t="shared" si="21"/>
        <v>0</v>
      </c>
      <c r="AB41" s="75">
        <f t="shared" si="21"/>
        <v>0</v>
      </c>
      <c r="AC41" s="75">
        <f t="shared" si="21"/>
        <v>0</v>
      </c>
      <c r="AD41" s="75">
        <f t="shared" si="21"/>
        <v>0</v>
      </c>
      <c r="AE41" s="75">
        <f t="shared" si="21"/>
        <v>0</v>
      </c>
      <c r="AF41" s="75">
        <f t="shared" si="21"/>
        <v>0</v>
      </c>
      <c r="AG41" s="75">
        <f t="shared" si="21"/>
        <v>0</v>
      </c>
      <c r="AH41" s="75">
        <f t="shared" si="21"/>
        <v>0</v>
      </c>
      <c r="AI41" s="75">
        <f t="shared" si="21"/>
        <v>0</v>
      </c>
      <c r="AJ41" s="75">
        <f t="shared" si="21"/>
        <v>0</v>
      </c>
      <c r="AK41" s="75">
        <f t="shared" si="21"/>
        <v>0</v>
      </c>
      <c r="AL41" s="75">
        <f t="shared" si="21"/>
        <v>0</v>
      </c>
      <c r="AM41" s="75">
        <f t="shared" si="21"/>
        <v>0</v>
      </c>
      <c r="AN41" s="75">
        <f t="shared" si="21"/>
        <v>0</v>
      </c>
      <c r="AO41" s="75">
        <f t="shared" si="21"/>
        <v>0</v>
      </c>
      <c r="AP41" s="75">
        <f t="shared" si="21"/>
        <v>0</v>
      </c>
      <c r="AQ41" s="75">
        <f t="shared" si="21"/>
        <v>0</v>
      </c>
      <c r="AR41" s="75">
        <f t="shared" si="21"/>
        <v>0</v>
      </c>
      <c r="AS41" s="75">
        <f t="shared" si="21"/>
        <v>0</v>
      </c>
      <c r="AT41" s="75">
        <f t="shared" si="21"/>
        <v>0</v>
      </c>
      <c r="AU41" s="75">
        <f t="shared" si="21"/>
        <v>0</v>
      </c>
      <c r="AV41" s="75">
        <f>+AU41</f>
        <v>0</v>
      </c>
      <c r="AW41" s="75">
        <f t="shared" si="21"/>
        <v>0</v>
      </c>
      <c r="AX41" s="75">
        <f t="shared" si="21"/>
        <v>0</v>
      </c>
      <c r="AY41" s="75">
        <f t="shared" si="21"/>
        <v>0</v>
      </c>
      <c r="AZ41" s="75">
        <v>0</v>
      </c>
      <c r="BA41" s="75">
        <v>0</v>
      </c>
      <c r="BB41" s="75">
        <v>0</v>
      </c>
      <c r="BC41" s="75">
        <v>0</v>
      </c>
      <c r="BD41" s="75">
        <v>0</v>
      </c>
      <c r="BE41" s="75">
        <v>0</v>
      </c>
      <c r="BF41" s="75">
        <v>0</v>
      </c>
      <c r="BG41" s="75">
        <v>0</v>
      </c>
      <c r="BH41" s="75">
        <v>0</v>
      </c>
      <c r="BI41" s="75">
        <v>0</v>
      </c>
      <c r="BJ41" s="75">
        <v>0</v>
      </c>
      <c r="BK41" s="75">
        <v>0</v>
      </c>
    </row>
    <row r="42" spans="2:63" x14ac:dyDescent="0.25">
      <c r="B42" t="s">
        <v>325</v>
      </c>
      <c r="C42" s="75"/>
      <c r="D42" s="75">
        <f>+'Propuesta Sybven'!H4</f>
        <v>237633.60768000002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>
        <f>+'Propuesta Sybven'!H5</f>
        <v>277631.04768000002</v>
      </c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>
        <f>+'Propuesta Sybven'!H6</f>
        <v>317628.48768000002</v>
      </c>
      <c r="AB42" s="75"/>
      <c r="AC42" s="75"/>
      <c r="AD42" s="75"/>
      <c r="AE42" s="75"/>
      <c r="AF42" s="75"/>
      <c r="AG42" s="75"/>
      <c r="AH42" s="75"/>
      <c r="AI42" s="75"/>
      <c r="AJ42" s="75"/>
      <c r="AL42" s="75"/>
      <c r="AM42" s="75">
        <f>+'Propuesta Sybven'!H7</f>
        <v>350959.68768000003</v>
      </c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>
        <f>+'Propuesta Sybven'!$H$16</f>
        <v>272160</v>
      </c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</row>
    <row r="43" spans="2:63" x14ac:dyDescent="0.25"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</row>
    <row r="44" spans="2:63" s="12" customFormat="1" x14ac:dyDescent="0.25">
      <c r="B44" s="12" t="s">
        <v>308</v>
      </c>
      <c r="C44" s="104">
        <f t="shared" ref="C44:AH44" si="22">+SUM(C38:C43)</f>
        <v>104994.13333333333</v>
      </c>
      <c r="D44" s="104">
        <f t="shared" si="22"/>
        <v>404079.18768000003</v>
      </c>
      <c r="E44" s="104">
        <f t="shared" si="22"/>
        <v>163052.76</v>
      </c>
      <c r="F44" s="104">
        <f t="shared" si="22"/>
        <v>159434.92000000001</v>
      </c>
      <c r="G44" s="104">
        <f t="shared" si="22"/>
        <v>155592.1</v>
      </c>
      <c r="H44" s="104">
        <f t="shared" si="22"/>
        <v>151524.28</v>
      </c>
      <c r="I44" s="104">
        <f t="shared" si="22"/>
        <v>147231.44</v>
      </c>
      <c r="J44" s="104">
        <f t="shared" si="22"/>
        <v>142713.64000000001</v>
      </c>
      <c r="K44" s="104">
        <f t="shared" si="22"/>
        <v>137970.79999999999</v>
      </c>
      <c r="L44" s="104">
        <f t="shared" si="22"/>
        <v>133002.98000000001</v>
      </c>
      <c r="M44" s="104">
        <f t="shared" si="22"/>
        <v>127810.16</v>
      </c>
      <c r="N44" s="104">
        <f t="shared" si="22"/>
        <v>122392.34</v>
      </c>
      <c r="O44" s="104">
        <f t="shared" si="22"/>
        <v>399334.41434666666</v>
      </c>
      <c r="P44" s="104">
        <f t="shared" si="22"/>
        <v>118499.5</v>
      </c>
      <c r="Q44" s="104">
        <f t="shared" si="22"/>
        <v>120249.5</v>
      </c>
      <c r="R44" s="104">
        <f t="shared" si="22"/>
        <v>121999.5</v>
      </c>
      <c r="S44" s="104">
        <f t="shared" si="22"/>
        <v>123749.5</v>
      </c>
      <c r="T44" s="104">
        <f t="shared" si="22"/>
        <v>125499.5</v>
      </c>
      <c r="U44" s="104">
        <f t="shared" si="22"/>
        <v>127249.5</v>
      </c>
      <c r="V44" s="104">
        <f t="shared" si="22"/>
        <v>128999.5</v>
      </c>
      <c r="W44" s="104">
        <f t="shared" si="22"/>
        <v>130749.5</v>
      </c>
      <c r="X44" s="104">
        <f t="shared" si="22"/>
        <v>132499.5</v>
      </c>
      <c r="Y44" s="104">
        <f t="shared" si="22"/>
        <v>134249.5</v>
      </c>
      <c r="Z44" s="104">
        <f t="shared" si="22"/>
        <v>135999.5</v>
      </c>
      <c r="AA44" s="104">
        <f t="shared" si="22"/>
        <v>460331.85434666672</v>
      </c>
      <c r="AB44" s="104">
        <f t="shared" si="22"/>
        <v>139499.5</v>
      </c>
      <c r="AC44" s="104">
        <f t="shared" si="22"/>
        <v>141249.5</v>
      </c>
      <c r="AD44" s="104">
        <f t="shared" si="22"/>
        <v>142999.5</v>
      </c>
      <c r="AE44" s="104">
        <f t="shared" si="22"/>
        <v>144749.5</v>
      </c>
      <c r="AF44" s="104">
        <f t="shared" si="22"/>
        <v>146499.5</v>
      </c>
      <c r="AG44" s="104">
        <f t="shared" si="22"/>
        <v>148249.5</v>
      </c>
      <c r="AH44" s="104">
        <f t="shared" si="22"/>
        <v>149999.5</v>
      </c>
      <c r="AI44" s="104">
        <f t="shared" ref="AI44:BK44" si="23">+SUM(AI38:AI43)</f>
        <v>151749.5</v>
      </c>
      <c r="AJ44" s="104">
        <f t="shared" si="23"/>
        <v>153499.5</v>
      </c>
      <c r="AK44" s="104">
        <f t="shared" si="23"/>
        <v>155249.5</v>
      </c>
      <c r="AL44" s="104">
        <f t="shared" si="23"/>
        <v>156999.5</v>
      </c>
      <c r="AM44" s="104">
        <f t="shared" si="23"/>
        <v>514663.05434666667</v>
      </c>
      <c r="AN44" s="104">
        <f t="shared" si="23"/>
        <v>160499.5</v>
      </c>
      <c r="AO44" s="104">
        <f t="shared" si="23"/>
        <v>162249.5</v>
      </c>
      <c r="AP44" s="104">
        <f t="shared" si="23"/>
        <v>163999.5</v>
      </c>
      <c r="AQ44" s="104">
        <f t="shared" si="23"/>
        <v>165749.5</v>
      </c>
      <c r="AR44" s="104">
        <f t="shared" si="23"/>
        <v>167499.5</v>
      </c>
      <c r="AS44" s="104">
        <f t="shared" si="23"/>
        <v>169249.5</v>
      </c>
      <c r="AT44" s="104">
        <f t="shared" si="23"/>
        <v>170999.5</v>
      </c>
      <c r="AU44" s="104">
        <f t="shared" si="23"/>
        <v>172749.5</v>
      </c>
      <c r="AV44" s="104">
        <f t="shared" si="23"/>
        <v>174499.5</v>
      </c>
      <c r="AW44" s="104">
        <f t="shared" si="23"/>
        <v>176249.5</v>
      </c>
      <c r="AX44" s="104">
        <f t="shared" si="23"/>
        <v>177999.5</v>
      </c>
      <c r="AY44" s="104">
        <f t="shared" si="23"/>
        <v>456863.3666666667</v>
      </c>
      <c r="AZ44" s="104">
        <f t="shared" si="23"/>
        <v>181499.5</v>
      </c>
      <c r="BA44" s="104">
        <f t="shared" si="23"/>
        <v>183249.5</v>
      </c>
      <c r="BB44" s="104">
        <f t="shared" si="23"/>
        <v>184999.5</v>
      </c>
      <c r="BC44" s="104">
        <f t="shared" si="23"/>
        <v>186749.5</v>
      </c>
      <c r="BD44" s="104">
        <f t="shared" si="23"/>
        <v>188499.5</v>
      </c>
      <c r="BE44" s="104">
        <f t="shared" si="23"/>
        <v>190249.5</v>
      </c>
      <c r="BF44" s="104">
        <f t="shared" si="23"/>
        <v>191999.5</v>
      </c>
      <c r="BG44" s="104">
        <f t="shared" si="23"/>
        <v>193749.5</v>
      </c>
      <c r="BH44" s="104">
        <f t="shared" si="23"/>
        <v>195499.5</v>
      </c>
      <c r="BI44" s="104">
        <f t="shared" si="23"/>
        <v>197249.5</v>
      </c>
      <c r="BJ44" s="104">
        <f t="shared" si="23"/>
        <v>198999.5</v>
      </c>
      <c r="BK44" s="104">
        <f t="shared" si="23"/>
        <v>200749.5</v>
      </c>
    </row>
    <row r="45" spans="2:63" x14ac:dyDescent="0.25"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</row>
    <row r="46" spans="2:63" x14ac:dyDescent="0.25">
      <c r="B46" t="s">
        <v>310</v>
      </c>
      <c r="C46" s="75"/>
      <c r="D46" s="75">
        <f t="shared" ref="D46:AI46" si="24">+D33-D44</f>
        <v>-236937.18768000003</v>
      </c>
      <c r="E46" s="75">
        <f t="shared" si="24"/>
        <v>7089.2399999999907</v>
      </c>
      <c r="F46" s="75">
        <f t="shared" si="24"/>
        <v>13707.079999999987</v>
      </c>
      <c r="G46" s="75">
        <f t="shared" si="24"/>
        <v>20549.899999999994</v>
      </c>
      <c r="H46" s="75">
        <f t="shared" si="24"/>
        <v>27617.72</v>
      </c>
      <c r="I46" s="75">
        <f t="shared" si="24"/>
        <v>34910.559999999998</v>
      </c>
      <c r="J46" s="75">
        <f t="shared" si="24"/>
        <v>42428.359999999986</v>
      </c>
      <c r="K46" s="75">
        <f t="shared" si="24"/>
        <v>50171.200000000012</v>
      </c>
      <c r="L46" s="75">
        <f t="shared" si="24"/>
        <v>58139.01999999999</v>
      </c>
      <c r="M46" s="75">
        <f t="shared" si="24"/>
        <v>66331.839999999997</v>
      </c>
      <c r="N46" s="75">
        <f t="shared" si="24"/>
        <v>74749.66</v>
      </c>
      <c r="O46" s="75">
        <f t="shared" si="24"/>
        <v>-199192.41434666666</v>
      </c>
      <c r="P46" s="75">
        <f t="shared" si="24"/>
        <v>84642.5</v>
      </c>
      <c r="Q46" s="75">
        <f t="shared" si="24"/>
        <v>85892.5</v>
      </c>
      <c r="R46" s="75">
        <f t="shared" si="24"/>
        <v>87142.5</v>
      </c>
      <c r="S46" s="75">
        <f t="shared" si="24"/>
        <v>88392.5</v>
      </c>
      <c r="T46" s="75">
        <f t="shared" si="24"/>
        <v>89642.5</v>
      </c>
      <c r="U46" s="75">
        <f t="shared" si="24"/>
        <v>90892.5</v>
      </c>
      <c r="V46" s="75">
        <f t="shared" si="24"/>
        <v>92142.5</v>
      </c>
      <c r="W46" s="75">
        <f t="shared" si="24"/>
        <v>93392.5</v>
      </c>
      <c r="X46" s="75">
        <f t="shared" si="24"/>
        <v>94642.5</v>
      </c>
      <c r="Y46" s="75">
        <f t="shared" si="24"/>
        <v>95892.5</v>
      </c>
      <c r="Z46" s="75">
        <f t="shared" si="24"/>
        <v>97142.5</v>
      </c>
      <c r="AA46" s="75">
        <f t="shared" si="24"/>
        <v>-224189.85434666672</v>
      </c>
      <c r="AB46" s="75">
        <f t="shared" si="24"/>
        <v>99642.5</v>
      </c>
      <c r="AC46" s="75">
        <f t="shared" si="24"/>
        <v>100892.5</v>
      </c>
      <c r="AD46" s="75">
        <f t="shared" si="24"/>
        <v>102142.5</v>
      </c>
      <c r="AE46" s="75">
        <f t="shared" si="24"/>
        <v>103392.5</v>
      </c>
      <c r="AF46" s="75">
        <f t="shared" si="24"/>
        <v>104642.5</v>
      </c>
      <c r="AG46" s="75">
        <f t="shared" si="24"/>
        <v>105892.5</v>
      </c>
      <c r="AH46" s="75">
        <f t="shared" si="24"/>
        <v>107142.5</v>
      </c>
      <c r="AI46" s="75">
        <f t="shared" si="24"/>
        <v>108392.5</v>
      </c>
      <c r="AJ46" s="75">
        <f t="shared" ref="AJ46:BK46" si="25">+AJ33-AJ44</f>
        <v>109642.5</v>
      </c>
      <c r="AK46" s="75">
        <f t="shared" si="25"/>
        <v>110892.5</v>
      </c>
      <c r="AL46" s="75">
        <f t="shared" si="25"/>
        <v>112142.5</v>
      </c>
      <c r="AM46" s="75">
        <f t="shared" si="25"/>
        <v>-242521.05434666667</v>
      </c>
      <c r="AN46" s="75">
        <f t="shared" si="25"/>
        <v>114642.5</v>
      </c>
      <c r="AO46" s="75">
        <f t="shared" si="25"/>
        <v>115892.5</v>
      </c>
      <c r="AP46" s="75">
        <f t="shared" si="25"/>
        <v>117142.5</v>
      </c>
      <c r="AQ46" s="75">
        <f t="shared" si="25"/>
        <v>118392.5</v>
      </c>
      <c r="AR46" s="75">
        <f t="shared" si="25"/>
        <v>119642.5</v>
      </c>
      <c r="AS46" s="75">
        <f t="shared" si="25"/>
        <v>120892.5</v>
      </c>
      <c r="AT46" s="75">
        <f t="shared" si="25"/>
        <v>122142.5</v>
      </c>
      <c r="AU46" s="75">
        <f t="shared" si="25"/>
        <v>123392.5</v>
      </c>
      <c r="AV46" s="75">
        <f t="shared" si="25"/>
        <v>124642.5</v>
      </c>
      <c r="AW46" s="75">
        <f t="shared" si="25"/>
        <v>125892.5</v>
      </c>
      <c r="AX46" s="75">
        <f t="shared" si="25"/>
        <v>127142.5</v>
      </c>
      <c r="AY46" s="75">
        <f t="shared" si="25"/>
        <v>-148721.3666666667</v>
      </c>
      <c r="AZ46" s="75">
        <f t="shared" si="25"/>
        <v>129642.5</v>
      </c>
      <c r="BA46" s="75">
        <f t="shared" si="25"/>
        <v>130892.5</v>
      </c>
      <c r="BB46" s="75">
        <f t="shared" si="25"/>
        <v>132142.5</v>
      </c>
      <c r="BC46" s="75">
        <f t="shared" si="25"/>
        <v>133392.5</v>
      </c>
      <c r="BD46" s="75">
        <f t="shared" si="25"/>
        <v>134642.5</v>
      </c>
      <c r="BE46" s="75">
        <f t="shared" si="25"/>
        <v>135892.5</v>
      </c>
      <c r="BF46" s="75">
        <f t="shared" si="25"/>
        <v>137142.5</v>
      </c>
      <c r="BG46" s="75">
        <f t="shared" si="25"/>
        <v>138392.5</v>
      </c>
      <c r="BH46" s="75">
        <f t="shared" si="25"/>
        <v>139642.5</v>
      </c>
      <c r="BI46" s="75">
        <f t="shared" si="25"/>
        <v>140892.5</v>
      </c>
      <c r="BJ46" s="75">
        <f t="shared" si="25"/>
        <v>142142.5</v>
      </c>
      <c r="BK46" s="75">
        <f t="shared" si="25"/>
        <v>143392.5</v>
      </c>
    </row>
    <row r="47" spans="2:63" x14ac:dyDescent="0.25">
      <c r="B47" t="s">
        <v>57</v>
      </c>
      <c r="C47" s="75">
        <f>-C44</f>
        <v>-104994.13333333333</v>
      </c>
      <c r="D47" s="75">
        <f>+D46+D41</f>
        <v>-236937.18768000003</v>
      </c>
      <c r="E47" s="75">
        <f t="shared" ref="E47:BK47" si="26">+E46+E41</f>
        <v>7089.2399999999907</v>
      </c>
      <c r="F47" s="75">
        <f t="shared" si="26"/>
        <v>13707.079999999987</v>
      </c>
      <c r="G47" s="75">
        <f t="shared" si="26"/>
        <v>20549.899999999994</v>
      </c>
      <c r="H47" s="75">
        <f t="shared" si="26"/>
        <v>27617.72</v>
      </c>
      <c r="I47" s="75">
        <f t="shared" si="26"/>
        <v>34910.559999999998</v>
      </c>
      <c r="J47" s="75">
        <f t="shared" si="26"/>
        <v>42428.359999999986</v>
      </c>
      <c r="K47" s="75">
        <f t="shared" si="26"/>
        <v>50171.200000000012</v>
      </c>
      <c r="L47" s="75">
        <f t="shared" si="26"/>
        <v>58139.01999999999</v>
      </c>
      <c r="M47" s="75">
        <f t="shared" si="26"/>
        <v>66331.839999999997</v>
      </c>
      <c r="N47" s="75">
        <f t="shared" si="26"/>
        <v>74749.66</v>
      </c>
      <c r="O47" s="75">
        <f t="shared" si="26"/>
        <v>-199192.41434666666</v>
      </c>
      <c r="P47" s="75">
        <f t="shared" si="26"/>
        <v>84642.5</v>
      </c>
      <c r="Q47" s="75">
        <f t="shared" si="26"/>
        <v>85892.5</v>
      </c>
      <c r="R47" s="75">
        <f t="shared" si="26"/>
        <v>87142.5</v>
      </c>
      <c r="S47" s="75">
        <f t="shared" si="26"/>
        <v>88392.5</v>
      </c>
      <c r="T47" s="75">
        <f t="shared" si="26"/>
        <v>89642.5</v>
      </c>
      <c r="U47" s="75">
        <f t="shared" si="26"/>
        <v>90892.5</v>
      </c>
      <c r="V47" s="75">
        <f t="shared" si="26"/>
        <v>92142.5</v>
      </c>
      <c r="W47" s="75">
        <f t="shared" si="26"/>
        <v>93392.5</v>
      </c>
      <c r="X47" s="75">
        <f t="shared" si="26"/>
        <v>94642.5</v>
      </c>
      <c r="Y47" s="75">
        <f t="shared" si="26"/>
        <v>95892.5</v>
      </c>
      <c r="Z47" s="75">
        <f t="shared" si="26"/>
        <v>97142.5</v>
      </c>
      <c r="AA47" s="75">
        <f t="shared" si="26"/>
        <v>-224189.85434666672</v>
      </c>
      <c r="AB47" s="75">
        <f t="shared" si="26"/>
        <v>99642.5</v>
      </c>
      <c r="AC47" s="75">
        <f t="shared" si="26"/>
        <v>100892.5</v>
      </c>
      <c r="AD47" s="75">
        <f t="shared" si="26"/>
        <v>102142.5</v>
      </c>
      <c r="AE47" s="75">
        <f t="shared" si="26"/>
        <v>103392.5</v>
      </c>
      <c r="AF47" s="75">
        <f t="shared" si="26"/>
        <v>104642.5</v>
      </c>
      <c r="AG47" s="75">
        <f t="shared" si="26"/>
        <v>105892.5</v>
      </c>
      <c r="AH47" s="75">
        <f t="shared" si="26"/>
        <v>107142.5</v>
      </c>
      <c r="AI47" s="75">
        <f t="shared" si="26"/>
        <v>108392.5</v>
      </c>
      <c r="AJ47" s="75">
        <f t="shared" si="26"/>
        <v>109642.5</v>
      </c>
      <c r="AK47" s="75">
        <f t="shared" si="26"/>
        <v>110892.5</v>
      </c>
      <c r="AL47" s="75">
        <f t="shared" si="26"/>
        <v>112142.5</v>
      </c>
      <c r="AM47" s="75">
        <f t="shared" si="26"/>
        <v>-242521.05434666667</v>
      </c>
      <c r="AN47" s="75">
        <f t="shared" si="26"/>
        <v>114642.5</v>
      </c>
      <c r="AO47" s="75">
        <f t="shared" si="26"/>
        <v>115892.5</v>
      </c>
      <c r="AP47" s="75">
        <f t="shared" si="26"/>
        <v>117142.5</v>
      </c>
      <c r="AQ47" s="75">
        <f t="shared" si="26"/>
        <v>118392.5</v>
      </c>
      <c r="AR47" s="75">
        <f t="shared" si="26"/>
        <v>119642.5</v>
      </c>
      <c r="AS47" s="75">
        <f t="shared" si="26"/>
        <v>120892.5</v>
      </c>
      <c r="AT47" s="75">
        <f t="shared" si="26"/>
        <v>122142.5</v>
      </c>
      <c r="AU47" s="75">
        <f t="shared" si="26"/>
        <v>123392.5</v>
      </c>
      <c r="AV47" s="75">
        <f t="shared" si="26"/>
        <v>124642.5</v>
      </c>
      <c r="AW47" s="75">
        <f t="shared" si="26"/>
        <v>125892.5</v>
      </c>
      <c r="AX47" s="75">
        <f t="shared" si="26"/>
        <v>127142.5</v>
      </c>
      <c r="AY47" s="75">
        <f t="shared" si="26"/>
        <v>-148721.3666666667</v>
      </c>
      <c r="AZ47" s="75">
        <f t="shared" si="26"/>
        <v>129642.5</v>
      </c>
      <c r="BA47" s="75">
        <f t="shared" si="26"/>
        <v>130892.5</v>
      </c>
      <c r="BB47" s="75">
        <f t="shared" si="26"/>
        <v>132142.5</v>
      </c>
      <c r="BC47" s="75">
        <f t="shared" si="26"/>
        <v>133392.5</v>
      </c>
      <c r="BD47" s="75">
        <f t="shared" si="26"/>
        <v>134642.5</v>
      </c>
      <c r="BE47" s="75">
        <f t="shared" si="26"/>
        <v>135892.5</v>
      </c>
      <c r="BF47" s="75">
        <f t="shared" si="26"/>
        <v>137142.5</v>
      </c>
      <c r="BG47" s="75">
        <f t="shared" si="26"/>
        <v>138392.5</v>
      </c>
      <c r="BH47" s="75">
        <f t="shared" si="26"/>
        <v>139642.5</v>
      </c>
      <c r="BI47" s="75">
        <f t="shared" si="26"/>
        <v>140892.5</v>
      </c>
      <c r="BJ47" s="75">
        <f t="shared" si="26"/>
        <v>142142.5</v>
      </c>
      <c r="BK47" s="75">
        <f t="shared" si="26"/>
        <v>143392.5</v>
      </c>
    </row>
    <row r="48" spans="2:63" x14ac:dyDescent="0.25">
      <c r="B48" t="s">
        <v>311</v>
      </c>
      <c r="C48" s="75">
        <f>+C47</f>
        <v>-104994.13333333333</v>
      </c>
      <c r="D48" s="75">
        <f>+C48+D47</f>
        <v>-341931.32101333339</v>
      </c>
      <c r="E48" s="75">
        <f t="shared" ref="E48:BK48" si="27">+D48+E47</f>
        <v>-334842.0810133334</v>
      </c>
      <c r="F48" s="75">
        <f t="shared" si="27"/>
        <v>-321135.00101333344</v>
      </c>
      <c r="G48" s="75">
        <f t="shared" si="27"/>
        <v>-300585.10101333342</v>
      </c>
      <c r="H48" s="75">
        <f t="shared" si="27"/>
        <v>-272967.38101333345</v>
      </c>
      <c r="I48" s="75">
        <f t="shared" si="27"/>
        <v>-238056.82101333345</v>
      </c>
      <c r="J48" s="75">
        <f t="shared" si="27"/>
        <v>-195628.46101333346</v>
      </c>
      <c r="K48" s="75">
        <f t="shared" si="27"/>
        <v>-145457.26101333345</v>
      </c>
      <c r="L48" s="75">
        <f t="shared" si="27"/>
        <v>-87318.241013333463</v>
      </c>
      <c r="M48" s="75">
        <f t="shared" si="27"/>
        <v>-20986.401013333467</v>
      </c>
      <c r="N48" s="75">
        <f t="shared" si="27"/>
        <v>53763.258986666537</v>
      </c>
      <c r="O48" s="75">
        <f t="shared" si="27"/>
        <v>-145429.15536000012</v>
      </c>
      <c r="P48" s="75">
        <f t="shared" si="27"/>
        <v>-60786.655360000121</v>
      </c>
      <c r="Q48" s="75">
        <f t="shared" si="27"/>
        <v>25105.844639999879</v>
      </c>
      <c r="R48" s="75">
        <f t="shared" si="27"/>
        <v>112248.34463999988</v>
      </c>
      <c r="S48" s="75">
        <f t="shared" si="27"/>
        <v>200640.84463999988</v>
      </c>
      <c r="T48" s="75">
        <f t="shared" si="27"/>
        <v>290283.34463999991</v>
      </c>
      <c r="U48" s="75">
        <f t="shared" si="27"/>
        <v>381175.84463999991</v>
      </c>
      <c r="V48" s="75">
        <f t="shared" si="27"/>
        <v>473318.34463999991</v>
      </c>
      <c r="W48" s="75">
        <f t="shared" si="27"/>
        <v>566710.84463999991</v>
      </c>
      <c r="X48" s="75">
        <f t="shared" si="27"/>
        <v>661353.34463999991</v>
      </c>
      <c r="Y48" s="75">
        <f t="shared" si="27"/>
        <v>757245.84463999991</v>
      </c>
      <c r="Z48" s="75">
        <f t="shared" si="27"/>
        <v>854388.34463999991</v>
      </c>
      <c r="AA48" s="75">
        <f t="shared" si="27"/>
        <v>630198.49029333319</v>
      </c>
      <c r="AB48" s="75">
        <f t="shared" si="27"/>
        <v>729840.99029333319</v>
      </c>
      <c r="AC48" s="75">
        <f t="shared" si="27"/>
        <v>830733.49029333319</v>
      </c>
      <c r="AD48" s="75">
        <f t="shared" si="27"/>
        <v>932875.99029333319</v>
      </c>
      <c r="AE48" s="75">
        <f t="shared" si="27"/>
        <v>1036268.4902933332</v>
      </c>
      <c r="AF48" s="75">
        <f t="shared" si="27"/>
        <v>1140910.9902933333</v>
      </c>
      <c r="AG48" s="75">
        <f t="shared" si="27"/>
        <v>1246803.4902933333</v>
      </c>
      <c r="AH48" s="75">
        <f t="shared" si="27"/>
        <v>1353945.9902933333</v>
      </c>
      <c r="AI48" s="75">
        <f t="shared" si="27"/>
        <v>1462338.4902933333</v>
      </c>
      <c r="AJ48" s="75">
        <f t="shared" si="27"/>
        <v>1571980.9902933333</v>
      </c>
      <c r="AK48" s="75">
        <f t="shared" si="27"/>
        <v>1682873.4902933333</v>
      </c>
      <c r="AL48" s="75">
        <f t="shared" si="27"/>
        <v>1795015.9902933333</v>
      </c>
      <c r="AM48" s="75">
        <f t="shared" si="27"/>
        <v>1552494.9359466666</v>
      </c>
      <c r="AN48" s="75">
        <f t="shared" si="27"/>
        <v>1667137.4359466666</v>
      </c>
      <c r="AO48" s="75">
        <f t="shared" si="27"/>
        <v>1783029.9359466666</v>
      </c>
      <c r="AP48" s="75">
        <f t="shared" si="27"/>
        <v>1900172.4359466666</v>
      </c>
      <c r="AQ48" s="75">
        <f t="shared" si="27"/>
        <v>2018564.9359466666</v>
      </c>
      <c r="AR48" s="75">
        <f t="shared" si="27"/>
        <v>2138207.4359466666</v>
      </c>
      <c r="AS48" s="75">
        <f t="shared" si="27"/>
        <v>2259099.9359466666</v>
      </c>
      <c r="AT48" s="75">
        <f t="shared" si="27"/>
        <v>2381242.4359466666</v>
      </c>
      <c r="AU48" s="75">
        <f t="shared" si="27"/>
        <v>2504634.9359466666</v>
      </c>
      <c r="AV48" s="75">
        <f t="shared" si="27"/>
        <v>2629277.4359466666</v>
      </c>
      <c r="AW48" s="75">
        <f t="shared" si="27"/>
        <v>2755169.9359466666</v>
      </c>
      <c r="AX48" s="75">
        <f t="shared" si="27"/>
        <v>2882312.4359466666</v>
      </c>
      <c r="AY48" s="75">
        <f t="shared" si="27"/>
        <v>2733591.0692799999</v>
      </c>
      <c r="AZ48" s="75">
        <f t="shared" si="27"/>
        <v>2863233.5692799999</v>
      </c>
      <c r="BA48" s="75">
        <f t="shared" si="27"/>
        <v>2994126.0692799999</v>
      </c>
      <c r="BB48" s="75">
        <f t="shared" si="27"/>
        <v>3126268.5692799999</v>
      </c>
      <c r="BC48" s="75">
        <f t="shared" si="27"/>
        <v>3259661.0692799999</v>
      </c>
      <c r="BD48" s="75">
        <f t="shared" si="27"/>
        <v>3394303.5692799999</v>
      </c>
      <c r="BE48" s="75">
        <f t="shared" si="27"/>
        <v>3530196.0692799999</v>
      </c>
      <c r="BF48" s="75">
        <f t="shared" si="27"/>
        <v>3667338.5692799999</v>
      </c>
      <c r="BG48" s="75">
        <f t="shared" si="27"/>
        <v>3805731.0692799999</v>
      </c>
      <c r="BH48" s="75">
        <f t="shared" si="27"/>
        <v>3945373.5692799999</v>
      </c>
      <c r="BI48" s="75">
        <f t="shared" si="27"/>
        <v>4086266.0692799999</v>
      </c>
      <c r="BJ48" s="75">
        <f t="shared" si="27"/>
        <v>4228408.5692800004</v>
      </c>
      <c r="BK48" s="75">
        <f t="shared" si="27"/>
        <v>4371801.0692800004</v>
      </c>
    </row>
    <row r="49" spans="2:63" x14ac:dyDescent="0.25"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</row>
    <row r="50" spans="2:63" x14ac:dyDescent="0.25">
      <c r="B50" t="s">
        <v>63</v>
      </c>
      <c r="C50" s="19">
        <f>+IRR(C47:BK47)*12</f>
        <v>1.3507968834661082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</row>
    <row r="51" spans="2:63" x14ac:dyDescent="0.25">
      <c r="B51" t="s">
        <v>312</v>
      </c>
      <c r="C51" s="75">
        <f>+NPV(C52/12,D47:BK47)+C47</f>
        <v>2277135.0694211377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</row>
    <row r="52" spans="2:63" x14ac:dyDescent="0.25">
      <c r="B52" t="s">
        <v>313</v>
      </c>
      <c r="C52" s="19">
        <v>0.19950000000000001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</row>
    <row r="53" spans="2:63" x14ac:dyDescent="0.25">
      <c r="B53" t="s">
        <v>314</v>
      </c>
      <c r="C53" s="105">
        <f>+BK57</f>
        <v>6463907.5000000037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</row>
    <row r="54" spans="2:63" x14ac:dyDescent="0.25"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</row>
    <row r="55" spans="2:63" x14ac:dyDescent="0.25"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</row>
    <row r="56" spans="2:63" x14ac:dyDescent="0.25">
      <c r="B56" t="s">
        <v>239</v>
      </c>
      <c r="C56" s="75"/>
      <c r="D56" s="75">
        <f t="shared" ref="D56:AI56" si="28">+D37-D38</f>
        <v>6267.8199999999779</v>
      </c>
      <c r="E56" s="75">
        <f t="shared" si="28"/>
        <v>12760.639999999985</v>
      </c>
      <c r="F56" s="75">
        <f t="shared" si="28"/>
        <v>19478.479999999981</v>
      </c>
      <c r="G56" s="75">
        <f t="shared" si="28"/>
        <v>26421.299999999988</v>
      </c>
      <c r="H56" s="75">
        <f t="shared" si="28"/>
        <v>33589.119999999995</v>
      </c>
      <c r="I56" s="75">
        <f t="shared" si="28"/>
        <v>40981.959999999992</v>
      </c>
      <c r="J56" s="75">
        <f t="shared" si="28"/>
        <v>48599.75999999998</v>
      </c>
      <c r="K56" s="75">
        <f t="shared" si="28"/>
        <v>56442.600000000006</v>
      </c>
      <c r="L56" s="75">
        <f t="shared" si="28"/>
        <v>64510.419999999984</v>
      </c>
      <c r="M56" s="75">
        <f t="shared" si="28"/>
        <v>72803.239999999991</v>
      </c>
      <c r="N56" s="75">
        <f t="shared" si="28"/>
        <v>81321.06</v>
      </c>
      <c r="O56" s="75">
        <f t="shared" si="28"/>
        <v>90063.9</v>
      </c>
      <c r="P56" s="75">
        <f t="shared" si="28"/>
        <v>91413.9</v>
      </c>
      <c r="Q56" s="75">
        <f t="shared" si="28"/>
        <v>92763.9</v>
      </c>
      <c r="R56" s="75">
        <f t="shared" si="28"/>
        <v>94113.9</v>
      </c>
      <c r="S56" s="75">
        <f t="shared" si="28"/>
        <v>95463.9</v>
      </c>
      <c r="T56" s="75">
        <f t="shared" si="28"/>
        <v>96813.9</v>
      </c>
      <c r="U56" s="75">
        <f t="shared" si="28"/>
        <v>98163.9</v>
      </c>
      <c r="V56" s="75">
        <f t="shared" si="28"/>
        <v>99513.9</v>
      </c>
      <c r="W56" s="75">
        <f t="shared" si="28"/>
        <v>100863.9</v>
      </c>
      <c r="X56" s="75">
        <f t="shared" si="28"/>
        <v>102213.9</v>
      </c>
      <c r="Y56" s="75">
        <f t="shared" si="28"/>
        <v>103563.9</v>
      </c>
      <c r="Z56" s="75">
        <f t="shared" si="28"/>
        <v>104913.9</v>
      </c>
      <c r="AA56" s="75">
        <f t="shared" si="28"/>
        <v>106263.9</v>
      </c>
      <c r="AB56" s="75">
        <f t="shared" si="28"/>
        <v>107613.9</v>
      </c>
      <c r="AC56" s="75">
        <f t="shared" si="28"/>
        <v>108963.9</v>
      </c>
      <c r="AD56" s="75">
        <f t="shared" si="28"/>
        <v>110313.9</v>
      </c>
      <c r="AE56" s="75">
        <f t="shared" si="28"/>
        <v>111663.9</v>
      </c>
      <c r="AF56" s="75">
        <f t="shared" si="28"/>
        <v>113013.9</v>
      </c>
      <c r="AG56" s="75">
        <f t="shared" si="28"/>
        <v>114363.90000000002</v>
      </c>
      <c r="AH56" s="75">
        <f t="shared" si="28"/>
        <v>115713.90000000002</v>
      </c>
      <c r="AI56" s="75">
        <f t="shared" si="28"/>
        <v>117063.90000000002</v>
      </c>
      <c r="AJ56" s="75">
        <f t="shared" ref="AJ56:BK56" si="29">+AJ37-AJ38</f>
        <v>118413.90000000002</v>
      </c>
      <c r="AK56" s="75">
        <f t="shared" si="29"/>
        <v>119763.90000000002</v>
      </c>
      <c r="AL56" s="75">
        <f t="shared" si="29"/>
        <v>121113.90000000002</v>
      </c>
      <c r="AM56" s="75">
        <f t="shared" si="29"/>
        <v>122463.90000000002</v>
      </c>
      <c r="AN56" s="75">
        <f t="shared" si="29"/>
        <v>123813.90000000002</v>
      </c>
      <c r="AO56" s="75">
        <f t="shared" si="29"/>
        <v>125163.90000000002</v>
      </c>
      <c r="AP56" s="75">
        <f t="shared" si="29"/>
        <v>126513.90000000002</v>
      </c>
      <c r="AQ56" s="75">
        <f t="shared" si="29"/>
        <v>127863.90000000002</v>
      </c>
      <c r="AR56" s="75">
        <f t="shared" si="29"/>
        <v>129213.90000000002</v>
      </c>
      <c r="AS56" s="75">
        <f t="shared" si="29"/>
        <v>130563.90000000002</v>
      </c>
      <c r="AT56" s="75">
        <f t="shared" si="29"/>
        <v>131913.90000000002</v>
      </c>
      <c r="AU56" s="75">
        <f t="shared" si="29"/>
        <v>133263.90000000002</v>
      </c>
      <c r="AV56" s="75">
        <f t="shared" si="29"/>
        <v>134613.90000000002</v>
      </c>
      <c r="AW56" s="75">
        <f t="shared" si="29"/>
        <v>135963.90000000002</v>
      </c>
      <c r="AX56" s="75">
        <f t="shared" si="29"/>
        <v>137313.90000000002</v>
      </c>
      <c r="AY56" s="75">
        <f t="shared" si="29"/>
        <v>138663.90000000002</v>
      </c>
      <c r="AZ56" s="75">
        <f t="shared" si="29"/>
        <v>140013.90000000002</v>
      </c>
      <c r="BA56" s="75">
        <f t="shared" si="29"/>
        <v>141363.90000000002</v>
      </c>
      <c r="BB56" s="75">
        <f t="shared" si="29"/>
        <v>142713.90000000002</v>
      </c>
      <c r="BC56" s="75">
        <f t="shared" si="29"/>
        <v>144063.90000000002</v>
      </c>
      <c r="BD56" s="75">
        <f t="shared" si="29"/>
        <v>145413.90000000002</v>
      </c>
      <c r="BE56" s="75">
        <f t="shared" si="29"/>
        <v>146763.90000000002</v>
      </c>
      <c r="BF56" s="75">
        <f t="shared" si="29"/>
        <v>148113.90000000002</v>
      </c>
      <c r="BG56" s="75">
        <f t="shared" si="29"/>
        <v>149463.90000000002</v>
      </c>
      <c r="BH56" s="75">
        <f t="shared" si="29"/>
        <v>150813.90000000002</v>
      </c>
      <c r="BI56" s="75">
        <f t="shared" si="29"/>
        <v>152163.90000000002</v>
      </c>
      <c r="BJ56" s="75">
        <f t="shared" si="29"/>
        <v>153513.90000000002</v>
      </c>
      <c r="BK56" s="75">
        <f t="shared" si="29"/>
        <v>154863.90000000002</v>
      </c>
    </row>
    <row r="57" spans="2:63" x14ac:dyDescent="0.25">
      <c r="B57" t="s">
        <v>240</v>
      </c>
      <c r="C57" s="75"/>
      <c r="D57" s="75">
        <f>+D56</f>
        <v>6267.8199999999779</v>
      </c>
      <c r="E57" s="75">
        <f>+D57+E56</f>
        <v>19028.459999999963</v>
      </c>
      <c r="F57" s="75">
        <f t="shared" ref="F57:BK57" si="30">+E57+F56</f>
        <v>38506.939999999944</v>
      </c>
      <c r="G57" s="75">
        <f t="shared" si="30"/>
        <v>64928.239999999932</v>
      </c>
      <c r="H57" s="75">
        <f t="shared" si="30"/>
        <v>98517.359999999928</v>
      </c>
      <c r="I57" s="75">
        <f t="shared" si="30"/>
        <v>139499.31999999992</v>
      </c>
      <c r="J57" s="75">
        <f t="shared" si="30"/>
        <v>188099.0799999999</v>
      </c>
      <c r="K57" s="75">
        <f t="shared" si="30"/>
        <v>244541.67999999991</v>
      </c>
      <c r="L57" s="75">
        <f t="shared" si="30"/>
        <v>309052.09999999986</v>
      </c>
      <c r="M57" s="75">
        <f t="shared" si="30"/>
        <v>381855.33999999985</v>
      </c>
      <c r="N57" s="75">
        <f t="shared" si="30"/>
        <v>463176.39999999985</v>
      </c>
      <c r="O57" s="75">
        <f t="shared" si="30"/>
        <v>553240.29999999981</v>
      </c>
      <c r="P57" s="75">
        <f t="shared" si="30"/>
        <v>644654.19999999984</v>
      </c>
      <c r="Q57" s="75">
        <f t="shared" si="30"/>
        <v>737418.09999999986</v>
      </c>
      <c r="R57" s="75">
        <f t="shared" si="30"/>
        <v>831531.99999999988</v>
      </c>
      <c r="S57" s="75">
        <f t="shared" si="30"/>
        <v>926995.89999999991</v>
      </c>
      <c r="T57" s="75">
        <f t="shared" si="30"/>
        <v>1023809.7999999999</v>
      </c>
      <c r="U57" s="75">
        <f t="shared" si="30"/>
        <v>1121973.7</v>
      </c>
      <c r="V57" s="75">
        <f t="shared" si="30"/>
        <v>1221487.5999999999</v>
      </c>
      <c r="W57" s="75">
        <f t="shared" si="30"/>
        <v>1322351.4999999998</v>
      </c>
      <c r="X57" s="75">
        <f t="shared" si="30"/>
        <v>1424565.3999999997</v>
      </c>
      <c r="Y57" s="75">
        <f t="shared" si="30"/>
        <v>1528129.2999999996</v>
      </c>
      <c r="Z57" s="75">
        <f t="shared" si="30"/>
        <v>1633043.1999999995</v>
      </c>
      <c r="AA57" s="75">
        <f t="shared" si="30"/>
        <v>1739307.0999999994</v>
      </c>
      <c r="AB57" s="75">
        <f t="shared" si="30"/>
        <v>1846920.9999999993</v>
      </c>
      <c r="AC57" s="75">
        <f t="shared" si="30"/>
        <v>1955884.8999999992</v>
      </c>
      <c r="AD57" s="75">
        <f t="shared" si="30"/>
        <v>2066198.7999999991</v>
      </c>
      <c r="AE57" s="75">
        <f t="shared" si="30"/>
        <v>2177862.6999999993</v>
      </c>
      <c r="AF57" s="75">
        <f t="shared" si="30"/>
        <v>2290876.5999999992</v>
      </c>
      <c r="AG57" s="75">
        <f t="shared" si="30"/>
        <v>2405240.4999999991</v>
      </c>
      <c r="AH57" s="75">
        <f t="shared" si="30"/>
        <v>2520954.399999999</v>
      </c>
      <c r="AI57" s="75">
        <f t="shared" si="30"/>
        <v>2638018.2999999989</v>
      </c>
      <c r="AJ57" s="75">
        <f t="shared" si="30"/>
        <v>2756432.1999999988</v>
      </c>
      <c r="AK57" s="75">
        <f t="shared" si="30"/>
        <v>2876196.0999999987</v>
      </c>
      <c r="AL57" s="75">
        <f t="shared" si="30"/>
        <v>2997309.9999999986</v>
      </c>
      <c r="AM57" s="75">
        <f t="shared" si="30"/>
        <v>3119773.8999999985</v>
      </c>
      <c r="AN57" s="75">
        <f t="shared" si="30"/>
        <v>3243587.7999999984</v>
      </c>
      <c r="AO57" s="75">
        <f t="shared" si="30"/>
        <v>3368751.6999999983</v>
      </c>
      <c r="AP57" s="75">
        <f t="shared" si="30"/>
        <v>3495265.5999999982</v>
      </c>
      <c r="AQ57" s="75">
        <f t="shared" si="30"/>
        <v>3623129.4999999981</v>
      </c>
      <c r="AR57" s="75">
        <f t="shared" si="30"/>
        <v>3752343.399999998</v>
      </c>
      <c r="AS57" s="75">
        <f t="shared" si="30"/>
        <v>3882907.299999998</v>
      </c>
      <c r="AT57" s="75">
        <f t="shared" si="30"/>
        <v>4014821.1999999979</v>
      </c>
      <c r="AU57" s="75">
        <f t="shared" si="30"/>
        <v>4148085.0999999978</v>
      </c>
      <c r="AV57" s="75">
        <f t="shared" si="30"/>
        <v>4282698.9999999981</v>
      </c>
      <c r="AW57" s="75">
        <f t="shared" si="30"/>
        <v>4418662.8999999985</v>
      </c>
      <c r="AX57" s="75">
        <f t="shared" si="30"/>
        <v>4555976.7999999989</v>
      </c>
      <c r="AY57" s="75">
        <f t="shared" si="30"/>
        <v>4694640.6999999993</v>
      </c>
      <c r="AZ57" s="75">
        <f t="shared" si="30"/>
        <v>4834654.5999999996</v>
      </c>
      <c r="BA57" s="75">
        <f t="shared" si="30"/>
        <v>4976018.5</v>
      </c>
      <c r="BB57" s="75">
        <f t="shared" si="30"/>
        <v>5118732.4000000004</v>
      </c>
      <c r="BC57" s="75">
        <f t="shared" si="30"/>
        <v>5262796.3000000007</v>
      </c>
      <c r="BD57" s="75">
        <f t="shared" si="30"/>
        <v>5408210.2000000011</v>
      </c>
      <c r="BE57" s="75">
        <f t="shared" si="30"/>
        <v>5554974.1000000015</v>
      </c>
      <c r="BF57" s="75">
        <f t="shared" si="30"/>
        <v>5703088.0000000019</v>
      </c>
      <c r="BG57" s="75">
        <f t="shared" si="30"/>
        <v>5852551.9000000022</v>
      </c>
      <c r="BH57" s="75">
        <f t="shared" si="30"/>
        <v>6003365.8000000026</v>
      </c>
      <c r="BI57" s="75">
        <f t="shared" si="30"/>
        <v>6155529.700000003</v>
      </c>
      <c r="BJ57" s="75">
        <f t="shared" si="30"/>
        <v>6309043.6000000034</v>
      </c>
      <c r="BK57" s="75">
        <f t="shared" si="30"/>
        <v>6463907.5000000037</v>
      </c>
    </row>
    <row r="58" spans="2:63" x14ac:dyDescent="0.25">
      <c r="C58" s="75"/>
    </row>
    <row r="59" spans="2:63" x14ac:dyDescent="0.25">
      <c r="C59" s="75"/>
    </row>
    <row r="60" spans="2:63" x14ac:dyDescent="0.25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</row>
    <row r="61" spans="2:63" x14ac:dyDescent="0.25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</row>
    <row r="62" spans="2:63" x14ac:dyDescent="0.25">
      <c r="C62" s="75"/>
    </row>
    <row r="63" spans="2:63" x14ac:dyDescent="0.25">
      <c r="C63" s="75"/>
    </row>
    <row r="64" spans="2:63" x14ac:dyDescent="0.25">
      <c r="C64" s="75"/>
    </row>
    <row r="65" spans="3:3" x14ac:dyDescent="0.25">
      <c r="C65" s="75"/>
    </row>
    <row r="66" spans="3:3" x14ac:dyDescent="0.25">
      <c r="C6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opLeftCell="A31" zoomScale="85" zoomScaleNormal="85" workbookViewId="0">
      <selection activeCell="F26" sqref="F26"/>
    </sheetView>
  </sheetViews>
  <sheetFormatPr baseColWidth="10" defaultRowHeight="15" x14ac:dyDescent="0.25"/>
  <cols>
    <col min="2" max="2" width="29.5703125" customWidth="1"/>
    <col min="3" max="3" width="14.42578125" customWidth="1"/>
    <col min="4" max="4" width="15.5703125" customWidth="1"/>
    <col min="5" max="7" width="12.5703125" customWidth="1"/>
    <col min="8" max="8" width="14" customWidth="1"/>
  </cols>
  <sheetData>
    <row r="2" spans="2:8" x14ac:dyDescent="0.25">
      <c r="C2" s="12" t="s">
        <v>403</v>
      </c>
      <c r="D2" s="12" t="s">
        <v>357</v>
      </c>
      <c r="E2" s="12" t="s">
        <v>325</v>
      </c>
    </row>
    <row r="3" spans="2:8" x14ac:dyDescent="0.25">
      <c r="B3" t="s">
        <v>63</v>
      </c>
      <c r="C3" s="1">
        <f>+'CN (Desarrollo interno)'!C50</f>
        <v>1.4839531976272617</v>
      </c>
      <c r="D3" s="1">
        <f>+'CN (Latinia CLoud)'!C50</f>
        <v>0.5447077805530931</v>
      </c>
      <c r="E3" s="1">
        <f>+'CN (Dana) 1'!C50</f>
        <v>1.3507968834661082</v>
      </c>
    </row>
    <row r="4" spans="2:8" x14ac:dyDescent="0.25">
      <c r="B4" t="s">
        <v>312</v>
      </c>
      <c r="C4" s="5">
        <f>+'CN (Desarrollo interno)'!C51</f>
        <v>2219167.8586867829</v>
      </c>
      <c r="D4" s="5">
        <f>+'CN (Latinia CLoud)'!C51</f>
        <v>1130353.8256338779</v>
      </c>
      <c r="E4" s="5">
        <f>+'CN (Dana) 1'!C51</f>
        <v>2277135.0694211377</v>
      </c>
    </row>
    <row r="5" spans="2:8" x14ac:dyDescent="0.25">
      <c r="B5" t="s">
        <v>313</v>
      </c>
      <c r="C5" s="1">
        <f>+'CN (Latinia)'!C52</f>
        <v>0.19950000000000001</v>
      </c>
      <c r="D5" s="1">
        <f>+'CN (Latinia CLoud)'!C52</f>
        <v>0.19950000000000001</v>
      </c>
      <c r="E5" s="19">
        <f>+'CN (Dana) 1'!C52</f>
        <v>0.19950000000000001</v>
      </c>
    </row>
    <row r="6" spans="2:8" x14ac:dyDescent="0.25">
      <c r="C6" s="1"/>
      <c r="D6" s="1"/>
      <c r="E6" s="19"/>
    </row>
    <row r="7" spans="2:8" x14ac:dyDescent="0.25">
      <c r="B7" t="s">
        <v>314</v>
      </c>
      <c r="C7" s="5">
        <f>+'CN (Desarrollo interno)'!C53</f>
        <v>7373642.7999999933</v>
      </c>
      <c r="D7" s="5">
        <f>+'CN (Latinia CLoud)'!C53</f>
        <v>7373642.7999999933</v>
      </c>
      <c r="E7" s="5">
        <f>+'CN (Dana) 1'!C53</f>
        <v>6463907.5000000037</v>
      </c>
    </row>
    <row r="8" spans="2:8" x14ac:dyDescent="0.25">
      <c r="C8" s="5"/>
      <c r="D8" s="5"/>
      <c r="E8" s="5"/>
    </row>
    <row r="10" spans="2:8" x14ac:dyDescent="0.25">
      <c r="B10" t="s">
        <v>67</v>
      </c>
      <c r="C10" s="5">
        <f>+'Propuesta Latinia (2)'!F7</f>
        <v>339356</v>
      </c>
      <c r="D10" s="5">
        <f>+'Propuesta Latinia (2)'!D26</f>
        <v>90757</v>
      </c>
      <c r="E10" s="5">
        <f>+'Propuesta Latinia (2)'!E26</f>
        <v>71639</v>
      </c>
      <c r="F10" s="5">
        <f>+'Propuesta Latinia (2)'!F26</f>
        <v>66327</v>
      </c>
      <c r="G10" s="5">
        <v>0</v>
      </c>
    </row>
    <row r="11" spans="2:8" x14ac:dyDescent="0.25">
      <c r="B11" t="s">
        <v>301</v>
      </c>
      <c r="C11" s="5">
        <f>+'Propuesta Latinia (2)'!F13</f>
        <v>58368</v>
      </c>
      <c r="D11" s="5">
        <v>0</v>
      </c>
      <c r="E11" s="5">
        <v>0</v>
      </c>
      <c r="F11" s="5">
        <v>0</v>
      </c>
      <c r="G11" s="5">
        <v>0</v>
      </c>
    </row>
    <row r="12" spans="2:8" x14ac:dyDescent="0.25">
      <c r="B12" t="s">
        <v>352</v>
      </c>
      <c r="C12" s="5">
        <f>+'Recursos Adicionales'!E11</f>
        <v>90271.2</v>
      </c>
      <c r="D12" s="5">
        <v>0</v>
      </c>
      <c r="E12" s="5">
        <v>0</v>
      </c>
      <c r="F12" s="5">
        <v>0</v>
      </c>
      <c r="G12" s="5">
        <v>0</v>
      </c>
    </row>
    <row r="13" spans="2:8" x14ac:dyDescent="0.25">
      <c r="B13" t="s">
        <v>339</v>
      </c>
      <c r="C13" s="5">
        <f>+'Propuesta Latinia (2)'!F16</f>
        <v>100549</v>
      </c>
      <c r="D13" s="5">
        <f>+'Propuesta Latinia (2)'!F16</f>
        <v>100549</v>
      </c>
      <c r="E13" s="5">
        <f>+D13</f>
        <v>100549</v>
      </c>
      <c r="F13" s="5">
        <f>+E13</f>
        <v>100549</v>
      </c>
      <c r="G13" s="5">
        <f>+F13</f>
        <v>100549</v>
      </c>
    </row>
    <row r="14" spans="2:8" x14ac:dyDescent="0.25">
      <c r="B14" t="s">
        <v>298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2:8" x14ac:dyDescent="0.25">
      <c r="B15" t="s">
        <v>340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</row>
    <row r="16" spans="2:8" x14ac:dyDescent="0.25">
      <c r="B16" t="s">
        <v>54</v>
      </c>
      <c r="C16" s="6">
        <f>SUM(C10:C15)</f>
        <v>588544.19999999995</v>
      </c>
      <c r="D16" s="6">
        <f t="shared" ref="D16:G16" si="0">SUM(D10:D15)</f>
        <v>191306</v>
      </c>
      <c r="E16" s="6">
        <f t="shared" si="0"/>
        <v>172188</v>
      </c>
      <c r="F16" s="6">
        <f t="shared" si="0"/>
        <v>166876</v>
      </c>
      <c r="G16" s="6">
        <f t="shared" si="0"/>
        <v>100549</v>
      </c>
      <c r="H16" s="6"/>
    </row>
    <row r="19" spans="2:8" x14ac:dyDescent="0.25">
      <c r="B19" s="76" t="s">
        <v>356</v>
      </c>
      <c r="C19" s="130" t="s">
        <v>68</v>
      </c>
      <c r="D19" s="130" t="s">
        <v>69</v>
      </c>
      <c r="E19" s="130" t="s">
        <v>70</v>
      </c>
      <c r="F19" s="130" t="s">
        <v>318</v>
      </c>
      <c r="G19" s="130" t="s">
        <v>319</v>
      </c>
    </row>
    <row r="20" spans="2:8" x14ac:dyDescent="0.25">
      <c r="B20" t="s">
        <v>67</v>
      </c>
      <c r="C20" s="5">
        <f>+'Propuesta Latinia (2)'!D7</f>
        <v>339356</v>
      </c>
      <c r="D20" s="5">
        <f>+'Propuesta Latinia (2)'!D26+'Propuesta Latinia (2)'!D31</f>
        <v>250884</v>
      </c>
      <c r="E20" s="5">
        <f>+'Propuesta Latinia (2)'!E26</f>
        <v>71639</v>
      </c>
      <c r="F20" s="5">
        <f>+'Propuesta Latinia (2)'!F26</f>
        <v>66327</v>
      </c>
      <c r="G20" s="5">
        <f t="shared" ref="G20" si="1">+G10</f>
        <v>0</v>
      </c>
    </row>
    <row r="21" spans="2:8" x14ac:dyDescent="0.25">
      <c r="B21" t="s">
        <v>301</v>
      </c>
      <c r="C21" s="5">
        <f>+'Propuesta Latinia (2)'!D13</f>
        <v>58368</v>
      </c>
      <c r="D21" s="5">
        <f>+'Propuesta Latinia (2)'!D32</f>
        <v>13541</v>
      </c>
      <c r="E21" s="5">
        <f t="shared" ref="E21:G21" si="2">+E11</f>
        <v>0</v>
      </c>
      <c r="F21" s="5">
        <f t="shared" si="2"/>
        <v>0</v>
      </c>
      <c r="G21" s="5">
        <f t="shared" si="2"/>
        <v>0</v>
      </c>
    </row>
    <row r="22" spans="2:8" x14ac:dyDescent="0.25">
      <c r="B22" t="s">
        <v>352</v>
      </c>
      <c r="C22" s="5">
        <f>+C12</f>
        <v>90271.2</v>
      </c>
      <c r="D22" s="5">
        <f t="shared" ref="D22:G22" si="3">+D12</f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</row>
    <row r="23" spans="2:8" x14ac:dyDescent="0.25">
      <c r="B23" t="s">
        <v>339</v>
      </c>
      <c r="C23" s="5">
        <f>+C13</f>
        <v>100549</v>
      </c>
      <c r="D23" s="5">
        <f>+C23+'Propuesta Latinia (2)'!D33</f>
        <v>132574</v>
      </c>
      <c r="E23" s="5">
        <f>+D23</f>
        <v>132574</v>
      </c>
      <c r="F23" s="5">
        <f>+E23</f>
        <v>132574</v>
      </c>
      <c r="G23" s="5">
        <f>+F23</f>
        <v>132574</v>
      </c>
    </row>
    <row r="24" spans="2:8" x14ac:dyDescent="0.25">
      <c r="B24" t="s">
        <v>298</v>
      </c>
      <c r="C24" s="5">
        <f>+'Consolidado Latinia'!C17</f>
        <v>130786.4</v>
      </c>
      <c r="D24" s="5">
        <f>+'Consolidado Latinia'!D17</f>
        <v>66766.399999999994</v>
      </c>
      <c r="E24" s="5">
        <f>+'Consolidado Latinia'!E17</f>
        <v>66766.399999999994</v>
      </c>
      <c r="F24" s="5">
        <f>+'Consolidado Latinia'!F17</f>
        <v>66766.399999999994</v>
      </c>
      <c r="G24" s="5">
        <f>+'Consolidado Latinia'!G17</f>
        <v>66766.399999999994</v>
      </c>
    </row>
    <row r="25" spans="2:8" x14ac:dyDescent="0.25">
      <c r="B25" t="s">
        <v>340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2:8" x14ac:dyDescent="0.25">
      <c r="B26" t="s">
        <v>54</v>
      </c>
      <c r="C26" s="6">
        <f>SUM(C20:C25)</f>
        <v>719330.6</v>
      </c>
      <c r="D26" s="6">
        <f t="shared" ref="D26:G26" si="4">SUM(D20:D25)</f>
        <v>463765.4</v>
      </c>
      <c r="E26" s="6">
        <f t="shared" si="4"/>
        <v>270979.40000000002</v>
      </c>
      <c r="F26" s="6">
        <f t="shared" si="4"/>
        <v>265667.40000000002</v>
      </c>
      <c r="G26" s="6">
        <f t="shared" si="4"/>
        <v>199340.4</v>
      </c>
      <c r="H26" s="6">
        <f>SUM(C26:G26)</f>
        <v>1919083.1999999997</v>
      </c>
    </row>
    <row r="27" spans="2:8" x14ac:dyDescent="0.25">
      <c r="C27" s="6"/>
      <c r="D27" s="6"/>
      <c r="E27" s="6"/>
      <c r="F27" s="6"/>
      <c r="G27" s="6"/>
    </row>
    <row r="29" spans="2:8" x14ac:dyDescent="0.25">
      <c r="B29" s="76" t="s">
        <v>325</v>
      </c>
      <c r="C29" s="130" t="s">
        <v>68</v>
      </c>
      <c r="D29" s="130" t="s">
        <v>69</v>
      </c>
      <c r="E29" s="130" t="s">
        <v>70</v>
      </c>
      <c r="F29" s="130" t="s">
        <v>318</v>
      </c>
      <c r="G29" s="130" t="s">
        <v>319</v>
      </c>
    </row>
    <row r="30" spans="2:8" x14ac:dyDescent="0.25">
      <c r="B30" t="s">
        <v>349</v>
      </c>
      <c r="C30" s="5">
        <f>+'Propuesta Sybven'!H4</f>
        <v>237633.60768000002</v>
      </c>
      <c r="D30" s="5">
        <f>+'Propuesta Sybven'!H5</f>
        <v>277631.04768000002</v>
      </c>
      <c r="E30" s="5">
        <f>+'Propuesta Sybven'!H6</f>
        <v>317628.48768000002</v>
      </c>
      <c r="F30" s="5">
        <f>+'Propuesta Sybven'!H15</f>
        <v>272160</v>
      </c>
      <c r="G30" s="5">
        <f>+'Propuesta Sybven'!H16</f>
        <v>272160</v>
      </c>
      <c r="H30" s="6"/>
    </row>
    <row r="31" spans="2:8" x14ac:dyDescent="0.25">
      <c r="B31" t="s">
        <v>352</v>
      </c>
      <c r="C31" s="5">
        <f>+'Recursos Adicionales'!E11</f>
        <v>90271.2</v>
      </c>
      <c r="D31" s="5">
        <v>0</v>
      </c>
      <c r="E31" s="5">
        <v>0</v>
      </c>
      <c r="F31" s="5">
        <v>0</v>
      </c>
      <c r="G31" s="5">
        <v>0</v>
      </c>
    </row>
    <row r="32" spans="2:8" x14ac:dyDescent="0.25">
      <c r="B32" t="s">
        <v>350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</row>
    <row r="33" spans="2:8" x14ac:dyDescent="0.25">
      <c r="B33" t="s">
        <v>298</v>
      </c>
      <c r="C33" s="5">
        <f>+'Consolidado Sybven'!C7</f>
        <v>14722.933333333334</v>
      </c>
      <c r="D33" s="5">
        <v>0</v>
      </c>
      <c r="E33" s="5">
        <v>0</v>
      </c>
      <c r="F33" s="5">
        <v>0</v>
      </c>
      <c r="G33" s="5">
        <v>0</v>
      </c>
    </row>
    <row r="34" spans="2:8" x14ac:dyDescent="0.25">
      <c r="B34" t="s">
        <v>351</v>
      </c>
      <c r="C34" s="5">
        <v>0</v>
      </c>
      <c r="D34" s="5">
        <f>+'Consolidado Sybven'!D7</f>
        <v>4953.8666666666668</v>
      </c>
      <c r="E34" s="5">
        <f>+'Consolidado Sybven'!E7</f>
        <v>4953.8666666666668</v>
      </c>
      <c r="F34" s="5">
        <f>+'Consolidado Sybven'!F7</f>
        <v>4953.8666666666668</v>
      </c>
      <c r="G34" s="5">
        <f>+'Consolidado Sybven'!G7</f>
        <v>4953.8666666666668</v>
      </c>
    </row>
    <row r="35" spans="2:8" x14ac:dyDescent="0.25">
      <c r="B35" t="s">
        <v>54</v>
      </c>
      <c r="C35" s="5">
        <f>SUM(C30:C34)</f>
        <v>342627.74101333338</v>
      </c>
      <c r="D35" s="5">
        <f t="shared" ref="D35:G35" si="5">SUM(D30:D34)</f>
        <v>282584.91434666666</v>
      </c>
      <c r="E35" s="5">
        <f t="shared" si="5"/>
        <v>322582.35434666666</v>
      </c>
      <c r="F35" s="5">
        <f t="shared" si="5"/>
        <v>277113.86666666664</v>
      </c>
      <c r="G35" s="5">
        <f t="shared" si="5"/>
        <v>277113.86666666664</v>
      </c>
      <c r="H35" s="6">
        <f>SUM(C35:G35)</f>
        <v>1502022.7430400001</v>
      </c>
    </row>
    <row r="36" spans="2:8" x14ac:dyDescent="0.25">
      <c r="C36" s="5"/>
      <c r="D36" s="5"/>
      <c r="E36" s="5"/>
      <c r="F36" s="5"/>
      <c r="G36" s="5"/>
    </row>
    <row r="37" spans="2:8" x14ac:dyDescent="0.25">
      <c r="C37" s="5"/>
      <c r="D37" s="5"/>
      <c r="E37" s="5"/>
      <c r="F37" s="5"/>
      <c r="G37" s="5"/>
    </row>
    <row r="39" spans="2:8" x14ac:dyDescent="0.25">
      <c r="B39" s="76" t="s">
        <v>404</v>
      </c>
      <c r="C39" s="130" t="s">
        <v>68</v>
      </c>
      <c r="D39" s="130" t="s">
        <v>69</v>
      </c>
      <c r="E39" s="130" t="s">
        <v>70</v>
      </c>
      <c r="F39" s="130" t="s">
        <v>318</v>
      </c>
      <c r="G39" s="130" t="s">
        <v>319</v>
      </c>
    </row>
    <row r="40" spans="2:8" x14ac:dyDescent="0.25">
      <c r="B40" t="s">
        <v>407</v>
      </c>
      <c r="C40" s="5">
        <f>+'CN (Desarrollo interno)'!C41</f>
        <v>156030</v>
      </c>
      <c r="D40" s="5">
        <v>0</v>
      </c>
      <c r="E40" s="5">
        <v>0</v>
      </c>
      <c r="F40" s="5">
        <f>+'Propuesta Sybven'!H25</f>
        <v>0</v>
      </c>
      <c r="G40" s="5">
        <f>+'Propuesta Sybven'!H26</f>
        <v>0</v>
      </c>
    </row>
    <row r="41" spans="2:8" x14ac:dyDescent="0.25">
      <c r="B41" t="s">
        <v>350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</row>
    <row r="42" spans="2:8" x14ac:dyDescent="0.25">
      <c r="B42" t="s">
        <v>298</v>
      </c>
      <c r="C42" s="5">
        <f>+'CN (Desarrollo interno)'!C40</f>
        <v>19000</v>
      </c>
      <c r="D42" s="5">
        <f>+C42</f>
        <v>19000</v>
      </c>
      <c r="E42" s="5">
        <f>+D42</f>
        <v>19000</v>
      </c>
      <c r="F42" s="5">
        <f>+E42</f>
        <v>19000</v>
      </c>
      <c r="G42" s="5">
        <f>+F42</f>
        <v>19000</v>
      </c>
    </row>
    <row r="43" spans="2:8" x14ac:dyDescent="0.25">
      <c r="B43" t="s">
        <v>351</v>
      </c>
      <c r="C43" s="5">
        <v>0</v>
      </c>
      <c r="D43" s="5">
        <f>+'Consolidado Sybven'!D17</f>
        <v>0</v>
      </c>
      <c r="E43" s="5">
        <f>+'Consolidado Sybven'!E17</f>
        <v>0</v>
      </c>
      <c r="F43" s="5">
        <f>+'Consolidado Sybven'!F17</f>
        <v>0</v>
      </c>
      <c r="G43" s="5">
        <f>+'Consolidado Sybven'!G17</f>
        <v>0</v>
      </c>
    </row>
    <row r="44" spans="2:8" x14ac:dyDescent="0.25">
      <c r="B44" t="s">
        <v>54</v>
      </c>
      <c r="C44" s="5">
        <f>SUM(C40:C43)</f>
        <v>175030</v>
      </c>
      <c r="D44" s="5">
        <f>SUM(D40:D43)</f>
        <v>19000</v>
      </c>
      <c r="E44" s="5">
        <f>SUM(E40:E43)</f>
        <v>19000</v>
      </c>
      <c r="F44" s="5">
        <f>SUM(F40:F43)</f>
        <v>19000</v>
      </c>
      <c r="G44" s="5">
        <f>SUM(G40:G43)</f>
        <v>19000</v>
      </c>
      <c r="H44" s="6">
        <f>SUM(C44:G44)</f>
        <v>251030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66"/>
  <sheetViews>
    <sheetView zoomScale="70" zoomScaleNormal="70" workbookViewId="0">
      <selection activeCell="AY42" sqref="AY42"/>
    </sheetView>
  </sheetViews>
  <sheetFormatPr baseColWidth="10" defaultRowHeight="15" x14ac:dyDescent="0.25"/>
  <cols>
    <col min="1" max="1" width="5.42578125" customWidth="1"/>
    <col min="2" max="2" width="34.42578125" bestFit="1" customWidth="1"/>
    <col min="3" max="3" width="15.42578125" customWidth="1"/>
    <col min="4" max="4" width="15.5703125" customWidth="1"/>
    <col min="5" max="5" width="15.85546875" customWidth="1"/>
    <col min="6" max="62" width="13.85546875" customWidth="1"/>
    <col min="63" max="63" width="16.28515625" customWidth="1"/>
  </cols>
  <sheetData>
    <row r="2" spans="2:63" x14ac:dyDescent="0.25">
      <c r="B2" t="s">
        <v>112</v>
      </c>
      <c r="C2" s="4">
        <f>1.75*(100/112)</f>
        <v>1.5625</v>
      </c>
    </row>
    <row r="3" spans="2:63" x14ac:dyDescent="0.25">
      <c r="B3" t="s">
        <v>113</v>
      </c>
      <c r="C3" s="2">
        <v>111428</v>
      </c>
    </row>
    <row r="4" spans="2:63" x14ac:dyDescent="0.25">
      <c r="B4" t="s">
        <v>158</v>
      </c>
      <c r="C4" s="1">
        <v>0.96</v>
      </c>
    </row>
    <row r="5" spans="2:63" x14ac:dyDescent="0.25">
      <c r="B5" t="s">
        <v>221</v>
      </c>
      <c r="C5">
        <v>40</v>
      </c>
    </row>
    <row r="6" spans="2:63" x14ac:dyDescent="0.25">
      <c r="B6" t="s">
        <v>222</v>
      </c>
      <c r="C6" s="73">
        <v>0.02</v>
      </c>
    </row>
    <row r="7" spans="2:63" x14ac:dyDescent="0.25">
      <c r="B7" t="s">
        <v>227</v>
      </c>
      <c r="C7" s="9">
        <v>0.47360000000000002</v>
      </c>
    </row>
    <row r="8" spans="2:63" x14ac:dyDescent="0.25">
      <c r="B8" t="s">
        <v>230</v>
      </c>
      <c r="C8" s="4">
        <v>0.02</v>
      </c>
    </row>
    <row r="9" spans="2:63" x14ac:dyDescent="0.25">
      <c r="B9" t="s">
        <v>236</v>
      </c>
      <c r="C9" s="19">
        <v>0.4</v>
      </c>
      <c r="D9" s="19">
        <f>+C9/12</f>
        <v>3.3333333333333333E-2</v>
      </c>
      <c r="E9" s="1">
        <f>+D9+D9</f>
        <v>6.6666666666666666E-2</v>
      </c>
      <c r="F9" s="1">
        <f>+$D$9+E9</f>
        <v>0.1</v>
      </c>
      <c r="G9" s="1">
        <f t="shared" ref="G9:O9" si="0">+$D$9+F9</f>
        <v>0.13333333333333333</v>
      </c>
      <c r="H9" s="1">
        <f t="shared" si="0"/>
        <v>0.16666666666666666</v>
      </c>
      <c r="I9" s="1">
        <f t="shared" si="0"/>
        <v>0.19999999999999998</v>
      </c>
      <c r="J9" s="1">
        <f t="shared" si="0"/>
        <v>0.23333333333333331</v>
      </c>
      <c r="K9" s="1">
        <f t="shared" si="0"/>
        <v>0.26666666666666666</v>
      </c>
      <c r="L9" s="1">
        <f t="shared" si="0"/>
        <v>0.3</v>
      </c>
      <c r="M9" s="1">
        <f t="shared" si="0"/>
        <v>0.33333333333333331</v>
      </c>
      <c r="N9" s="1">
        <f t="shared" si="0"/>
        <v>0.36666666666666664</v>
      </c>
      <c r="O9" s="1">
        <f t="shared" si="0"/>
        <v>0.39999999999999997</v>
      </c>
    </row>
    <row r="10" spans="2:63" x14ac:dyDescent="0.25">
      <c r="B10" t="s">
        <v>235</v>
      </c>
      <c r="C10" s="1">
        <v>0.5</v>
      </c>
      <c r="D10" s="19">
        <f>C10/12</f>
        <v>4.1666666666666664E-2</v>
      </c>
      <c r="E10" s="1">
        <f>+D10+D10</f>
        <v>8.3333333333333329E-2</v>
      </c>
      <c r="F10" s="1">
        <f>+E10+$D$10</f>
        <v>0.125</v>
      </c>
      <c r="G10" s="1">
        <f>+F10+$D$10</f>
        <v>0.16666666666666666</v>
      </c>
      <c r="H10" s="1">
        <f t="shared" ref="H10:O10" si="1">+G10+$D$10</f>
        <v>0.20833333333333331</v>
      </c>
      <c r="I10" s="1">
        <f t="shared" si="1"/>
        <v>0.24999999999999997</v>
      </c>
      <c r="J10" s="1">
        <f t="shared" si="1"/>
        <v>0.29166666666666663</v>
      </c>
      <c r="K10" s="1">
        <f t="shared" si="1"/>
        <v>0.33333333333333331</v>
      </c>
      <c r="L10" s="1">
        <f t="shared" si="1"/>
        <v>0.375</v>
      </c>
      <c r="M10" s="1">
        <f t="shared" si="1"/>
        <v>0.41666666666666669</v>
      </c>
      <c r="N10" s="1">
        <f t="shared" si="1"/>
        <v>0.45833333333333337</v>
      </c>
      <c r="O10" s="1">
        <f t="shared" si="1"/>
        <v>0.5</v>
      </c>
    </row>
    <row r="15" spans="2:63" x14ac:dyDescent="0.25">
      <c r="C15" s="76" t="s">
        <v>159</v>
      </c>
      <c r="D15" s="76" t="s">
        <v>160</v>
      </c>
      <c r="E15" s="76" t="s">
        <v>161</v>
      </c>
      <c r="F15" s="76" t="s">
        <v>162</v>
      </c>
      <c r="G15" s="76" t="s">
        <v>163</v>
      </c>
      <c r="H15" s="76" t="s">
        <v>164</v>
      </c>
      <c r="I15" s="76" t="s">
        <v>165</v>
      </c>
      <c r="J15" s="76" t="s">
        <v>166</v>
      </c>
      <c r="K15" s="76" t="s">
        <v>167</v>
      </c>
      <c r="L15" s="76" t="s">
        <v>168</v>
      </c>
      <c r="M15" s="76" t="s">
        <v>169</v>
      </c>
      <c r="N15" s="76" t="s">
        <v>170</v>
      </c>
      <c r="O15" s="76" t="s">
        <v>171</v>
      </c>
      <c r="P15" s="76" t="s">
        <v>172</v>
      </c>
      <c r="Q15" s="76" t="s">
        <v>173</v>
      </c>
      <c r="R15" s="76" t="s">
        <v>174</v>
      </c>
      <c r="S15" s="76" t="s">
        <v>175</v>
      </c>
      <c r="T15" s="76" t="s">
        <v>176</v>
      </c>
      <c r="U15" s="76" t="s">
        <v>177</v>
      </c>
      <c r="V15" s="76" t="s">
        <v>178</v>
      </c>
      <c r="W15" s="76" t="s">
        <v>179</v>
      </c>
      <c r="X15" s="76" t="s">
        <v>180</v>
      </c>
      <c r="Y15" s="76" t="s">
        <v>181</v>
      </c>
      <c r="Z15" s="76" t="s">
        <v>182</v>
      </c>
      <c r="AA15" s="76" t="s">
        <v>183</v>
      </c>
      <c r="AB15" s="76" t="s">
        <v>184</v>
      </c>
      <c r="AC15" s="76" t="s">
        <v>185</v>
      </c>
      <c r="AD15" s="76" t="s">
        <v>186</v>
      </c>
      <c r="AE15" s="76" t="s">
        <v>187</v>
      </c>
      <c r="AF15" s="76" t="s">
        <v>188</v>
      </c>
      <c r="AG15" s="76" t="s">
        <v>189</v>
      </c>
      <c r="AH15" s="76" t="s">
        <v>190</v>
      </c>
      <c r="AI15" s="76" t="s">
        <v>191</v>
      </c>
      <c r="AJ15" s="76" t="s">
        <v>192</v>
      </c>
      <c r="AK15" s="76" t="s">
        <v>193</v>
      </c>
      <c r="AL15" s="76" t="s">
        <v>194</v>
      </c>
      <c r="AM15" s="76" t="s">
        <v>195</v>
      </c>
      <c r="AN15" s="76" t="s">
        <v>196</v>
      </c>
      <c r="AO15" s="76" t="s">
        <v>197</v>
      </c>
      <c r="AP15" s="76" t="s">
        <v>198</v>
      </c>
      <c r="AQ15" s="76" t="s">
        <v>199</v>
      </c>
      <c r="AR15" s="76" t="s">
        <v>200</v>
      </c>
      <c r="AS15" s="76" t="s">
        <v>201</v>
      </c>
      <c r="AT15" s="76" t="s">
        <v>202</v>
      </c>
      <c r="AU15" s="76" t="s">
        <v>203</v>
      </c>
      <c r="AV15" s="76" t="s">
        <v>204</v>
      </c>
      <c r="AW15" s="76" t="s">
        <v>205</v>
      </c>
      <c r="AX15" s="76" t="s">
        <v>206</v>
      </c>
      <c r="AY15" s="76" t="s">
        <v>207</v>
      </c>
      <c r="AZ15" s="76" t="s">
        <v>208</v>
      </c>
      <c r="BA15" s="76" t="s">
        <v>209</v>
      </c>
      <c r="BB15" s="76" t="s">
        <v>210</v>
      </c>
      <c r="BC15" s="76" t="s">
        <v>211</v>
      </c>
      <c r="BD15" s="76" t="s">
        <v>212</v>
      </c>
      <c r="BE15" s="76" t="s">
        <v>213</v>
      </c>
      <c r="BF15" s="76" t="s">
        <v>214</v>
      </c>
      <c r="BG15" s="76" t="s">
        <v>215</v>
      </c>
      <c r="BH15" s="76" t="s">
        <v>216</v>
      </c>
      <c r="BI15" s="76" t="s">
        <v>217</v>
      </c>
      <c r="BJ15" s="76" t="s">
        <v>218</v>
      </c>
      <c r="BK15" s="76" t="s">
        <v>219</v>
      </c>
    </row>
    <row r="17" spans="2:63" x14ac:dyDescent="0.25">
      <c r="B17" t="s">
        <v>113</v>
      </c>
      <c r="D17" s="3">
        <f>+C3</f>
        <v>111428</v>
      </c>
      <c r="E17" s="74">
        <f>+D17+D18+D19</f>
        <v>113428</v>
      </c>
      <c r="F17" s="74">
        <f t="shared" ref="F17:BK17" si="2">+E17+E18+E19</f>
        <v>115428</v>
      </c>
      <c r="G17" s="74">
        <f t="shared" si="2"/>
        <v>117428</v>
      </c>
      <c r="H17" s="74">
        <f t="shared" si="2"/>
        <v>119428</v>
      </c>
      <c r="I17" s="74">
        <f t="shared" si="2"/>
        <v>121428</v>
      </c>
      <c r="J17" s="74">
        <f t="shared" si="2"/>
        <v>123428</v>
      </c>
      <c r="K17" s="74">
        <f t="shared" si="2"/>
        <v>125428</v>
      </c>
      <c r="L17" s="74">
        <f t="shared" si="2"/>
        <v>127428</v>
      </c>
      <c r="M17" s="74">
        <f t="shared" si="2"/>
        <v>129428</v>
      </c>
      <c r="N17" s="74">
        <f t="shared" si="2"/>
        <v>131428</v>
      </c>
      <c r="O17" s="74">
        <f t="shared" si="2"/>
        <v>133428</v>
      </c>
      <c r="P17" s="74">
        <f t="shared" si="2"/>
        <v>135428</v>
      </c>
      <c r="Q17" s="74">
        <f t="shared" si="2"/>
        <v>137428</v>
      </c>
      <c r="R17" s="74">
        <f t="shared" si="2"/>
        <v>139428</v>
      </c>
      <c r="S17" s="74">
        <f t="shared" si="2"/>
        <v>141428</v>
      </c>
      <c r="T17" s="74">
        <f t="shared" si="2"/>
        <v>143428</v>
      </c>
      <c r="U17" s="74">
        <f t="shared" si="2"/>
        <v>145428</v>
      </c>
      <c r="V17" s="74">
        <f t="shared" si="2"/>
        <v>147428</v>
      </c>
      <c r="W17" s="74">
        <f t="shared" si="2"/>
        <v>149428</v>
      </c>
      <c r="X17" s="74">
        <f t="shared" si="2"/>
        <v>151428</v>
      </c>
      <c r="Y17" s="74">
        <f t="shared" si="2"/>
        <v>153428</v>
      </c>
      <c r="Z17" s="74">
        <f t="shared" si="2"/>
        <v>155428</v>
      </c>
      <c r="AA17" s="74">
        <f t="shared" si="2"/>
        <v>157428</v>
      </c>
      <c r="AB17" s="74">
        <f t="shared" si="2"/>
        <v>159428</v>
      </c>
      <c r="AC17" s="74">
        <f t="shared" si="2"/>
        <v>161428</v>
      </c>
      <c r="AD17" s="74">
        <f t="shared" si="2"/>
        <v>163428</v>
      </c>
      <c r="AE17" s="74">
        <f t="shared" si="2"/>
        <v>165428</v>
      </c>
      <c r="AF17" s="74">
        <f t="shared" si="2"/>
        <v>167428</v>
      </c>
      <c r="AG17" s="74">
        <f t="shared" si="2"/>
        <v>169428</v>
      </c>
      <c r="AH17" s="74">
        <f t="shared" si="2"/>
        <v>171428</v>
      </c>
      <c r="AI17" s="74">
        <f t="shared" si="2"/>
        <v>173428</v>
      </c>
      <c r="AJ17" s="74">
        <f t="shared" si="2"/>
        <v>175428</v>
      </c>
      <c r="AK17" s="74">
        <f t="shared" si="2"/>
        <v>177428</v>
      </c>
      <c r="AL17" s="74">
        <f t="shared" si="2"/>
        <v>179428</v>
      </c>
      <c r="AM17" s="74">
        <f t="shared" si="2"/>
        <v>181428</v>
      </c>
      <c r="AN17" s="74">
        <f t="shared" si="2"/>
        <v>183428</v>
      </c>
      <c r="AO17" s="74">
        <f t="shared" si="2"/>
        <v>185428</v>
      </c>
      <c r="AP17" s="74">
        <f t="shared" si="2"/>
        <v>187428</v>
      </c>
      <c r="AQ17" s="74">
        <f t="shared" si="2"/>
        <v>189428</v>
      </c>
      <c r="AR17" s="74">
        <f t="shared" si="2"/>
        <v>191428</v>
      </c>
      <c r="AS17" s="74">
        <f t="shared" si="2"/>
        <v>193428</v>
      </c>
      <c r="AT17" s="74">
        <f t="shared" si="2"/>
        <v>195428</v>
      </c>
      <c r="AU17" s="74">
        <f t="shared" si="2"/>
        <v>197428</v>
      </c>
      <c r="AV17" s="74">
        <f t="shared" si="2"/>
        <v>199428</v>
      </c>
      <c r="AW17" s="74">
        <f t="shared" si="2"/>
        <v>201428</v>
      </c>
      <c r="AX17" s="74">
        <f t="shared" si="2"/>
        <v>203428</v>
      </c>
      <c r="AY17" s="74">
        <f t="shared" si="2"/>
        <v>205428</v>
      </c>
      <c r="AZ17" s="74">
        <f t="shared" si="2"/>
        <v>207428</v>
      </c>
      <c r="BA17" s="74">
        <f t="shared" si="2"/>
        <v>209428</v>
      </c>
      <c r="BB17" s="74">
        <f t="shared" si="2"/>
        <v>211428</v>
      </c>
      <c r="BC17" s="74">
        <f t="shared" si="2"/>
        <v>213428</v>
      </c>
      <c r="BD17" s="74">
        <f t="shared" si="2"/>
        <v>215428</v>
      </c>
      <c r="BE17" s="74">
        <f t="shared" si="2"/>
        <v>217428</v>
      </c>
      <c r="BF17" s="74">
        <f t="shared" si="2"/>
        <v>219428</v>
      </c>
      <c r="BG17" s="74">
        <f t="shared" si="2"/>
        <v>221428</v>
      </c>
      <c r="BH17" s="74">
        <f t="shared" si="2"/>
        <v>223428</v>
      </c>
      <c r="BI17" s="74">
        <f t="shared" si="2"/>
        <v>225428</v>
      </c>
      <c r="BJ17" s="74">
        <f t="shared" si="2"/>
        <v>227428</v>
      </c>
      <c r="BK17" s="74">
        <f t="shared" si="2"/>
        <v>229428</v>
      </c>
    </row>
    <row r="18" spans="2:63" x14ac:dyDescent="0.25">
      <c r="B18" t="s">
        <v>223</v>
      </c>
      <c r="D18" s="74">
        <v>2000</v>
      </c>
      <c r="E18" s="74">
        <f>+D18</f>
        <v>2000</v>
      </c>
      <c r="F18" s="74">
        <f t="shared" ref="F18:BK18" si="3">+E18</f>
        <v>2000</v>
      </c>
      <c r="G18" s="74">
        <f t="shared" si="3"/>
        <v>2000</v>
      </c>
      <c r="H18" s="74">
        <f t="shared" si="3"/>
        <v>2000</v>
      </c>
      <c r="I18" s="74">
        <f t="shared" si="3"/>
        <v>2000</v>
      </c>
      <c r="J18" s="74">
        <f t="shared" si="3"/>
        <v>2000</v>
      </c>
      <c r="K18" s="74">
        <f t="shared" si="3"/>
        <v>2000</v>
      </c>
      <c r="L18" s="74">
        <f t="shared" si="3"/>
        <v>2000</v>
      </c>
      <c r="M18" s="74">
        <f t="shared" si="3"/>
        <v>2000</v>
      </c>
      <c r="N18" s="74">
        <f t="shared" si="3"/>
        <v>2000</v>
      </c>
      <c r="O18" s="74">
        <f t="shared" si="3"/>
        <v>2000</v>
      </c>
      <c r="P18" s="74">
        <f t="shared" si="3"/>
        <v>2000</v>
      </c>
      <c r="Q18" s="74">
        <f t="shared" si="3"/>
        <v>2000</v>
      </c>
      <c r="R18" s="74">
        <f t="shared" si="3"/>
        <v>2000</v>
      </c>
      <c r="S18" s="74">
        <f t="shared" si="3"/>
        <v>2000</v>
      </c>
      <c r="T18" s="74">
        <f t="shared" si="3"/>
        <v>2000</v>
      </c>
      <c r="U18" s="74">
        <f t="shared" si="3"/>
        <v>2000</v>
      </c>
      <c r="V18" s="74">
        <f t="shared" si="3"/>
        <v>2000</v>
      </c>
      <c r="W18" s="74">
        <f t="shared" si="3"/>
        <v>2000</v>
      </c>
      <c r="X18" s="74">
        <f t="shared" si="3"/>
        <v>2000</v>
      </c>
      <c r="Y18" s="74">
        <f t="shared" si="3"/>
        <v>2000</v>
      </c>
      <c r="Z18" s="74">
        <f t="shared" si="3"/>
        <v>2000</v>
      </c>
      <c r="AA18" s="74">
        <f t="shared" si="3"/>
        <v>2000</v>
      </c>
      <c r="AB18" s="74">
        <f t="shared" si="3"/>
        <v>2000</v>
      </c>
      <c r="AC18" s="74">
        <f t="shared" si="3"/>
        <v>2000</v>
      </c>
      <c r="AD18" s="74">
        <f t="shared" si="3"/>
        <v>2000</v>
      </c>
      <c r="AE18" s="74">
        <f t="shared" si="3"/>
        <v>2000</v>
      </c>
      <c r="AF18" s="74">
        <f t="shared" si="3"/>
        <v>2000</v>
      </c>
      <c r="AG18" s="74">
        <f t="shared" si="3"/>
        <v>2000</v>
      </c>
      <c r="AH18" s="74">
        <f t="shared" si="3"/>
        <v>2000</v>
      </c>
      <c r="AI18" s="74">
        <f t="shared" si="3"/>
        <v>2000</v>
      </c>
      <c r="AJ18" s="74">
        <f t="shared" si="3"/>
        <v>2000</v>
      </c>
      <c r="AK18" s="74">
        <f t="shared" si="3"/>
        <v>2000</v>
      </c>
      <c r="AL18" s="74">
        <f t="shared" si="3"/>
        <v>2000</v>
      </c>
      <c r="AM18" s="74">
        <f t="shared" si="3"/>
        <v>2000</v>
      </c>
      <c r="AN18" s="74">
        <f t="shared" si="3"/>
        <v>2000</v>
      </c>
      <c r="AO18" s="74">
        <f t="shared" si="3"/>
        <v>2000</v>
      </c>
      <c r="AP18" s="74">
        <f t="shared" si="3"/>
        <v>2000</v>
      </c>
      <c r="AQ18" s="74">
        <f t="shared" si="3"/>
        <v>2000</v>
      </c>
      <c r="AR18" s="74">
        <f t="shared" si="3"/>
        <v>2000</v>
      </c>
      <c r="AS18" s="74">
        <f t="shared" si="3"/>
        <v>2000</v>
      </c>
      <c r="AT18" s="74">
        <f t="shared" si="3"/>
        <v>2000</v>
      </c>
      <c r="AU18" s="74">
        <f t="shared" si="3"/>
        <v>2000</v>
      </c>
      <c r="AV18" s="74">
        <f t="shared" si="3"/>
        <v>2000</v>
      </c>
      <c r="AW18" s="74">
        <f t="shared" si="3"/>
        <v>2000</v>
      </c>
      <c r="AX18" s="74">
        <f t="shared" si="3"/>
        <v>2000</v>
      </c>
      <c r="AY18" s="74">
        <f t="shared" si="3"/>
        <v>2000</v>
      </c>
      <c r="AZ18" s="74">
        <f t="shared" si="3"/>
        <v>2000</v>
      </c>
      <c r="BA18" s="74">
        <f t="shared" si="3"/>
        <v>2000</v>
      </c>
      <c r="BB18" s="74">
        <f t="shared" si="3"/>
        <v>2000</v>
      </c>
      <c r="BC18" s="74">
        <f t="shared" si="3"/>
        <v>2000</v>
      </c>
      <c r="BD18" s="74">
        <f t="shared" si="3"/>
        <v>2000</v>
      </c>
      <c r="BE18" s="74">
        <f t="shared" si="3"/>
        <v>2000</v>
      </c>
      <c r="BF18" s="74">
        <f t="shared" si="3"/>
        <v>2000</v>
      </c>
      <c r="BG18" s="74">
        <f t="shared" si="3"/>
        <v>2000</v>
      </c>
      <c r="BH18" s="74">
        <f t="shared" si="3"/>
        <v>2000</v>
      </c>
      <c r="BI18" s="74">
        <f t="shared" si="3"/>
        <v>2000</v>
      </c>
      <c r="BJ18" s="74">
        <f t="shared" si="3"/>
        <v>2000</v>
      </c>
      <c r="BK18" s="74">
        <f t="shared" si="3"/>
        <v>2000</v>
      </c>
    </row>
    <row r="19" spans="2:63" x14ac:dyDescent="0.25">
      <c r="B19" t="s">
        <v>224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2" spans="2:63" x14ac:dyDescent="0.25">
      <c r="B22" s="12" t="s">
        <v>229</v>
      </c>
      <c r="D22" s="3">
        <f>+D25</f>
        <v>6568012</v>
      </c>
      <c r="E22" s="3">
        <f t="shared" ref="E22:BK22" si="4">+E25</f>
        <v>6685900</v>
      </c>
      <c r="F22" s="3">
        <f t="shared" si="4"/>
        <v>6803788</v>
      </c>
      <c r="G22" s="3">
        <f t="shared" si="4"/>
        <v>6921676</v>
      </c>
      <c r="H22" s="3">
        <f t="shared" si="4"/>
        <v>7039564</v>
      </c>
      <c r="I22" s="3">
        <f t="shared" si="4"/>
        <v>7157452</v>
      </c>
      <c r="J22" s="3">
        <f t="shared" si="4"/>
        <v>7275340</v>
      </c>
      <c r="K22" s="3">
        <f t="shared" si="4"/>
        <v>7393228</v>
      </c>
      <c r="L22" s="3">
        <f t="shared" si="4"/>
        <v>7511116</v>
      </c>
      <c r="M22" s="3">
        <f t="shared" si="4"/>
        <v>7629004</v>
      </c>
      <c r="N22" s="3">
        <f t="shared" si="4"/>
        <v>7746892</v>
      </c>
      <c r="O22" s="3">
        <f t="shared" si="4"/>
        <v>7864780</v>
      </c>
      <c r="P22" s="3">
        <f t="shared" si="4"/>
        <v>7982668</v>
      </c>
      <c r="Q22" s="3">
        <f t="shared" si="4"/>
        <v>8100556</v>
      </c>
      <c r="R22" s="3">
        <f t="shared" si="4"/>
        <v>8218444</v>
      </c>
      <c r="S22" s="3">
        <f t="shared" si="4"/>
        <v>8336332</v>
      </c>
      <c r="T22" s="3">
        <f t="shared" si="4"/>
        <v>8454220</v>
      </c>
      <c r="U22" s="3">
        <f t="shared" si="4"/>
        <v>8572108</v>
      </c>
      <c r="V22" s="3">
        <f t="shared" si="4"/>
        <v>8689996</v>
      </c>
      <c r="W22" s="3">
        <f t="shared" si="4"/>
        <v>8807884</v>
      </c>
      <c r="X22" s="3">
        <f t="shared" si="4"/>
        <v>8925772</v>
      </c>
      <c r="Y22" s="3">
        <f t="shared" si="4"/>
        <v>9043660</v>
      </c>
      <c r="Z22" s="3">
        <f t="shared" si="4"/>
        <v>9161548</v>
      </c>
      <c r="AA22" s="3">
        <f t="shared" si="4"/>
        <v>9279436</v>
      </c>
      <c r="AB22" s="3">
        <f t="shared" si="4"/>
        <v>9397324</v>
      </c>
      <c r="AC22" s="3">
        <f t="shared" si="4"/>
        <v>9515212</v>
      </c>
      <c r="AD22" s="3">
        <f t="shared" si="4"/>
        <v>9633100</v>
      </c>
      <c r="AE22" s="3">
        <f t="shared" si="4"/>
        <v>9750988</v>
      </c>
      <c r="AF22" s="3">
        <f t="shared" si="4"/>
        <v>9868876</v>
      </c>
      <c r="AG22" s="3">
        <f t="shared" si="4"/>
        <v>9986764</v>
      </c>
      <c r="AH22" s="3">
        <f t="shared" si="4"/>
        <v>10104652</v>
      </c>
      <c r="AI22" s="3">
        <f t="shared" si="4"/>
        <v>10222540</v>
      </c>
      <c r="AJ22" s="3">
        <f t="shared" si="4"/>
        <v>10340428</v>
      </c>
      <c r="AK22" s="3">
        <f t="shared" si="4"/>
        <v>10458316</v>
      </c>
      <c r="AL22" s="3">
        <f t="shared" si="4"/>
        <v>10576204</v>
      </c>
      <c r="AM22" s="3">
        <f t="shared" si="4"/>
        <v>10694092</v>
      </c>
      <c r="AN22" s="3">
        <f t="shared" si="4"/>
        <v>10811980</v>
      </c>
      <c r="AO22" s="3">
        <f t="shared" si="4"/>
        <v>10929868</v>
      </c>
      <c r="AP22" s="3">
        <f t="shared" si="4"/>
        <v>11047756</v>
      </c>
      <c r="AQ22" s="3">
        <f t="shared" si="4"/>
        <v>11165644</v>
      </c>
      <c r="AR22" s="3">
        <f t="shared" si="4"/>
        <v>11283532</v>
      </c>
      <c r="AS22" s="3">
        <f t="shared" si="4"/>
        <v>11401420</v>
      </c>
      <c r="AT22" s="3">
        <f t="shared" si="4"/>
        <v>11519308</v>
      </c>
      <c r="AU22" s="3">
        <f t="shared" si="4"/>
        <v>11637196</v>
      </c>
      <c r="AV22" s="3">
        <f t="shared" si="4"/>
        <v>11755084</v>
      </c>
      <c r="AW22" s="3">
        <f t="shared" si="4"/>
        <v>11872972</v>
      </c>
      <c r="AX22" s="3">
        <f t="shared" si="4"/>
        <v>11990860</v>
      </c>
      <c r="AY22" s="3">
        <f t="shared" si="4"/>
        <v>12108748</v>
      </c>
      <c r="AZ22" s="3">
        <f t="shared" si="4"/>
        <v>12226636</v>
      </c>
      <c r="BA22" s="3">
        <f t="shared" si="4"/>
        <v>12344524</v>
      </c>
      <c r="BB22" s="3">
        <f t="shared" si="4"/>
        <v>12462412</v>
      </c>
      <c r="BC22" s="3">
        <f t="shared" si="4"/>
        <v>12580300</v>
      </c>
      <c r="BD22" s="3">
        <f t="shared" si="4"/>
        <v>12698188</v>
      </c>
      <c r="BE22" s="3">
        <f t="shared" si="4"/>
        <v>12816076</v>
      </c>
      <c r="BF22" s="3">
        <f t="shared" si="4"/>
        <v>12933964</v>
      </c>
      <c r="BG22" s="3">
        <f t="shared" si="4"/>
        <v>13051852</v>
      </c>
      <c r="BH22" s="3">
        <f t="shared" si="4"/>
        <v>13169740</v>
      </c>
      <c r="BI22" s="3">
        <f t="shared" si="4"/>
        <v>13287628</v>
      </c>
      <c r="BJ22" s="3">
        <f t="shared" si="4"/>
        <v>13405516</v>
      </c>
      <c r="BK22" s="3">
        <f t="shared" si="4"/>
        <v>13523404</v>
      </c>
    </row>
    <row r="23" spans="2:63" x14ac:dyDescent="0.25">
      <c r="B23" t="s">
        <v>225</v>
      </c>
      <c r="D23" s="2">
        <f>+D17*$C$5</f>
        <v>4457120</v>
      </c>
      <c r="E23" s="2">
        <f t="shared" ref="E23:BK23" si="5">+E17*$C$5</f>
        <v>4537120</v>
      </c>
      <c r="F23" s="2">
        <f t="shared" si="5"/>
        <v>4617120</v>
      </c>
      <c r="G23" s="2">
        <f t="shared" si="5"/>
        <v>4697120</v>
      </c>
      <c r="H23" s="2">
        <f t="shared" si="5"/>
        <v>4777120</v>
      </c>
      <c r="I23" s="2">
        <f t="shared" si="5"/>
        <v>4857120</v>
      </c>
      <c r="J23" s="2">
        <f t="shared" si="5"/>
        <v>4937120</v>
      </c>
      <c r="K23" s="2">
        <f t="shared" si="5"/>
        <v>5017120</v>
      </c>
      <c r="L23" s="2">
        <f t="shared" si="5"/>
        <v>5097120</v>
      </c>
      <c r="M23" s="2">
        <f t="shared" si="5"/>
        <v>5177120</v>
      </c>
      <c r="N23" s="2">
        <f t="shared" si="5"/>
        <v>5257120</v>
      </c>
      <c r="O23" s="2">
        <f t="shared" si="5"/>
        <v>5337120</v>
      </c>
      <c r="P23" s="2">
        <f t="shared" si="5"/>
        <v>5417120</v>
      </c>
      <c r="Q23" s="2">
        <f t="shared" si="5"/>
        <v>5497120</v>
      </c>
      <c r="R23" s="2">
        <f t="shared" si="5"/>
        <v>5577120</v>
      </c>
      <c r="S23" s="2">
        <f t="shared" si="5"/>
        <v>5657120</v>
      </c>
      <c r="T23" s="2">
        <f t="shared" si="5"/>
        <v>5737120</v>
      </c>
      <c r="U23" s="2">
        <f t="shared" si="5"/>
        <v>5817120</v>
      </c>
      <c r="V23" s="2">
        <f t="shared" si="5"/>
        <v>5897120</v>
      </c>
      <c r="W23" s="2">
        <f t="shared" si="5"/>
        <v>5977120</v>
      </c>
      <c r="X23" s="2">
        <f t="shared" si="5"/>
        <v>6057120</v>
      </c>
      <c r="Y23" s="2">
        <f t="shared" si="5"/>
        <v>6137120</v>
      </c>
      <c r="Z23" s="2">
        <f t="shared" si="5"/>
        <v>6217120</v>
      </c>
      <c r="AA23" s="2">
        <f t="shared" si="5"/>
        <v>6297120</v>
      </c>
      <c r="AB23" s="2">
        <f t="shared" si="5"/>
        <v>6377120</v>
      </c>
      <c r="AC23" s="2">
        <f t="shared" si="5"/>
        <v>6457120</v>
      </c>
      <c r="AD23" s="2">
        <f t="shared" si="5"/>
        <v>6537120</v>
      </c>
      <c r="AE23" s="2">
        <f t="shared" si="5"/>
        <v>6617120</v>
      </c>
      <c r="AF23" s="2">
        <f t="shared" si="5"/>
        <v>6697120</v>
      </c>
      <c r="AG23" s="2">
        <f t="shared" si="5"/>
        <v>6777120</v>
      </c>
      <c r="AH23" s="2">
        <f t="shared" si="5"/>
        <v>6857120</v>
      </c>
      <c r="AI23" s="2">
        <f t="shared" si="5"/>
        <v>6937120</v>
      </c>
      <c r="AJ23" s="2">
        <f t="shared" si="5"/>
        <v>7017120</v>
      </c>
      <c r="AK23" s="2">
        <f t="shared" si="5"/>
        <v>7097120</v>
      </c>
      <c r="AL23" s="2">
        <f t="shared" si="5"/>
        <v>7177120</v>
      </c>
      <c r="AM23" s="2">
        <f t="shared" si="5"/>
        <v>7257120</v>
      </c>
      <c r="AN23" s="2">
        <f t="shared" si="5"/>
        <v>7337120</v>
      </c>
      <c r="AO23" s="2">
        <f t="shared" si="5"/>
        <v>7417120</v>
      </c>
      <c r="AP23" s="2">
        <f t="shared" si="5"/>
        <v>7497120</v>
      </c>
      <c r="AQ23" s="2">
        <f t="shared" si="5"/>
        <v>7577120</v>
      </c>
      <c r="AR23" s="2">
        <f t="shared" si="5"/>
        <v>7657120</v>
      </c>
      <c r="AS23" s="2">
        <f t="shared" si="5"/>
        <v>7737120</v>
      </c>
      <c r="AT23" s="2">
        <f t="shared" si="5"/>
        <v>7817120</v>
      </c>
      <c r="AU23" s="2">
        <f t="shared" si="5"/>
        <v>7897120</v>
      </c>
      <c r="AV23" s="2">
        <f t="shared" si="5"/>
        <v>7977120</v>
      </c>
      <c r="AW23" s="2">
        <f t="shared" si="5"/>
        <v>8057120</v>
      </c>
      <c r="AX23" s="2">
        <f t="shared" si="5"/>
        <v>8137120</v>
      </c>
      <c r="AY23" s="2">
        <f t="shared" si="5"/>
        <v>8217120</v>
      </c>
      <c r="AZ23" s="2">
        <f t="shared" si="5"/>
        <v>8297120</v>
      </c>
      <c r="BA23" s="2">
        <f t="shared" si="5"/>
        <v>8377120</v>
      </c>
      <c r="BB23" s="2">
        <f t="shared" si="5"/>
        <v>8457120</v>
      </c>
      <c r="BC23" s="2">
        <f t="shared" si="5"/>
        <v>8537120</v>
      </c>
      <c r="BD23" s="2">
        <f t="shared" si="5"/>
        <v>8617120</v>
      </c>
      <c r="BE23" s="2">
        <f t="shared" si="5"/>
        <v>8697120</v>
      </c>
      <c r="BF23" s="2">
        <f t="shared" si="5"/>
        <v>8777120</v>
      </c>
      <c r="BG23" s="2">
        <f t="shared" si="5"/>
        <v>8857120</v>
      </c>
      <c r="BH23" s="2">
        <f t="shared" si="5"/>
        <v>8937120</v>
      </c>
      <c r="BI23" s="2">
        <f t="shared" si="5"/>
        <v>9017120</v>
      </c>
      <c r="BJ23" s="2">
        <f t="shared" si="5"/>
        <v>9097120</v>
      </c>
      <c r="BK23" s="2">
        <f t="shared" si="5"/>
        <v>9177120</v>
      </c>
    </row>
    <row r="24" spans="2:63" x14ac:dyDescent="0.25">
      <c r="B24" t="s">
        <v>226</v>
      </c>
      <c r="D24" s="2">
        <f>ROUND(D23*$C$7,0)</f>
        <v>2110892</v>
      </c>
      <c r="E24" s="2">
        <f t="shared" ref="E24:BK24" si="6">ROUND(E23*$C$7,0)</f>
        <v>2148780</v>
      </c>
      <c r="F24" s="2">
        <f t="shared" si="6"/>
        <v>2186668</v>
      </c>
      <c r="G24" s="2">
        <f t="shared" si="6"/>
        <v>2224556</v>
      </c>
      <c r="H24" s="2">
        <f t="shared" si="6"/>
        <v>2262444</v>
      </c>
      <c r="I24" s="2">
        <f t="shared" si="6"/>
        <v>2300332</v>
      </c>
      <c r="J24" s="2">
        <f t="shared" si="6"/>
        <v>2338220</v>
      </c>
      <c r="K24" s="2">
        <f t="shared" si="6"/>
        <v>2376108</v>
      </c>
      <c r="L24" s="2">
        <f t="shared" si="6"/>
        <v>2413996</v>
      </c>
      <c r="M24" s="2">
        <f t="shared" si="6"/>
        <v>2451884</v>
      </c>
      <c r="N24" s="2">
        <f t="shared" si="6"/>
        <v>2489772</v>
      </c>
      <c r="O24" s="2">
        <f t="shared" si="6"/>
        <v>2527660</v>
      </c>
      <c r="P24" s="2">
        <f t="shared" si="6"/>
        <v>2565548</v>
      </c>
      <c r="Q24" s="2">
        <f t="shared" si="6"/>
        <v>2603436</v>
      </c>
      <c r="R24" s="2">
        <f t="shared" si="6"/>
        <v>2641324</v>
      </c>
      <c r="S24" s="2">
        <f t="shared" si="6"/>
        <v>2679212</v>
      </c>
      <c r="T24" s="2">
        <f t="shared" si="6"/>
        <v>2717100</v>
      </c>
      <c r="U24" s="2">
        <f t="shared" si="6"/>
        <v>2754988</v>
      </c>
      <c r="V24" s="2">
        <f t="shared" si="6"/>
        <v>2792876</v>
      </c>
      <c r="W24" s="2">
        <f t="shared" si="6"/>
        <v>2830764</v>
      </c>
      <c r="X24" s="2">
        <f t="shared" si="6"/>
        <v>2868652</v>
      </c>
      <c r="Y24" s="2">
        <f t="shared" si="6"/>
        <v>2906540</v>
      </c>
      <c r="Z24" s="2">
        <f t="shared" si="6"/>
        <v>2944428</v>
      </c>
      <c r="AA24" s="2">
        <f t="shared" si="6"/>
        <v>2982316</v>
      </c>
      <c r="AB24" s="2">
        <f t="shared" si="6"/>
        <v>3020204</v>
      </c>
      <c r="AC24" s="2">
        <f t="shared" si="6"/>
        <v>3058092</v>
      </c>
      <c r="AD24" s="2">
        <f t="shared" si="6"/>
        <v>3095980</v>
      </c>
      <c r="AE24" s="2">
        <f t="shared" si="6"/>
        <v>3133868</v>
      </c>
      <c r="AF24" s="2">
        <f t="shared" si="6"/>
        <v>3171756</v>
      </c>
      <c r="AG24" s="2">
        <f t="shared" si="6"/>
        <v>3209644</v>
      </c>
      <c r="AH24" s="2">
        <f t="shared" si="6"/>
        <v>3247532</v>
      </c>
      <c r="AI24" s="2">
        <f t="shared" si="6"/>
        <v>3285420</v>
      </c>
      <c r="AJ24" s="2">
        <f t="shared" si="6"/>
        <v>3323308</v>
      </c>
      <c r="AK24" s="2">
        <f t="shared" si="6"/>
        <v>3361196</v>
      </c>
      <c r="AL24" s="2">
        <f t="shared" si="6"/>
        <v>3399084</v>
      </c>
      <c r="AM24" s="2">
        <f t="shared" si="6"/>
        <v>3436972</v>
      </c>
      <c r="AN24" s="2">
        <f t="shared" si="6"/>
        <v>3474860</v>
      </c>
      <c r="AO24" s="2">
        <f t="shared" si="6"/>
        <v>3512748</v>
      </c>
      <c r="AP24" s="2">
        <f t="shared" si="6"/>
        <v>3550636</v>
      </c>
      <c r="AQ24" s="2">
        <f t="shared" si="6"/>
        <v>3588524</v>
      </c>
      <c r="AR24" s="2">
        <f t="shared" si="6"/>
        <v>3626412</v>
      </c>
      <c r="AS24" s="2">
        <f t="shared" si="6"/>
        <v>3664300</v>
      </c>
      <c r="AT24" s="2">
        <f t="shared" si="6"/>
        <v>3702188</v>
      </c>
      <c r="AU24" s="2">
        <f t="shared" si="6"/>
        <v>3740076</v>
      </c>
      <c r="AV24" s="2">
        <f t="shared" si="6"/>
        <v>3777964</v>
      </c>
      <c r="AW24" s="2">
        <f t="shared" si="6"/>
        <v>3815852</v>
      </c>
      <c r="AX24" s="2">
        <f t="shared" si="6"/>
        <v>3853740</v>
      </c>
      <c r="AY24" s="2">
        <f t="shared" si="6"/>
        <v>3891628</v>
      </c>
      <c r="AZ24" s="2">
        <f t="shared" si="6"/>
        <v>3929516</v>
      </c>
      <c r="BA24" s="2">
        <f t="shared" si="6"/>
        <v>3967404</v>
      </c>
      <c r="BB24" s="2">
        <f t="shared" si="6"/>
        <v>4005292</v>
      </c>
      <c r="BC24" s="2">
        <f t="shared" si="6"/>
        <v>4043180</v>
      </c>
      <c r="BD24" s="2">
        <f t="shared" si="6"/>
        <v>4081068</v>
      </c>
      <c r="BE24" s="2">
        <f t="shared" si="6"/>
        <v>4118956</v>
      </c>
      <c r="BF24" s="2">
        <f t="shared" si="6"/>
        <v>4156844</v>
      </c>
      <c r="BG24" s="2">
        <f t="shared" si="6"/>
        <v>4194732</v>
      </c>
      <c r="BH24" s="2">
        <f t="shared" si="6"/>
        <v>4232620</v>
      </c>
      <c r="BI24" s="2">
        <f t="shared" si="6"/>
        <v>4270508</v>
      </c>
      <c r="BJ24" s="2">
        <f t="shared" si="6"/>
        <v>4308396</v>
      </c>
      <c r="BK24" s="2">
        <f t="shared" si="6"/>
        <v>4346284</v>
      </c>
    </row>
    <row r="25" spans="2:63" x14ac:dyDescent="0.25">
      <c r="B25" t="s">
        <v>228</v>
      </c>
      <c r="D25" s="3">
        <f>+D23+D24</f>
        <v>6568012</v>
      </c>
      <c r="E25" s="3">
        <f t="shared" ref="E25:BK25" si="7">+E23+E24</f>
        <v>6685900</v>
      </c>
      <c r="F25" s="3">
        <f t="shared" si="7"/>
        <v>6803788</v>
      </c>
      <c r="G25" s="3">
        <f t="shared" si="7"/>
        <v>6921676</v>
      </c>
      <c r="H25" s="3">
        <f t="shared" si="7"/>
        <v>7039564</v>
      </c>
      <c r="I25" s="3">
        <f t="shared" si="7"/>
        <v>7157452</v>
      </c>
      <c r="J25" s="3">
        <f t="shared" si="7"/>
        <v>7275340</v>
      </c>
      <c r="K25" s="3">
        <f t="shared" si="7"/>
        <v>7393228</v>
      </c>
      <c r="L25" s="3">
        <f t="shared" si="7"/>
        <v>7511116</v>
      </c>
      <c r="M25" s="3">
        <f t="shared" si="7"/>
        <v>7629004</v>
      </c>
      <c r="N25" s="3">
        <f t="shared" si="7"/>
        <v>7746892</v>
      </c>
      <c r="O25" s="3">
        <f t="shared" si="7"/>
        <v>7864780</v>
      </c>
      <c r="P25" s="3">
        <f t="shared" si="7"/>
        <v>7982668</v>
      </c>
      <c r="Q25" s="3">
        <f t="shared" si="7"/>
        <v>8100556</v>
      </c>
      <c r="R25" s="3">
        <f t="shared" si="7"/>
        <v>8218444</v>
      </c>
      <c r="S25" s="3">
        <f t="shared" si="7"/>
        <v>8336332</v>
      </c>
      <c r="T25" s="3">
        <f t="shared" si="7"/>
        <v>8454220</v>
      </c>
      <c r="U25" s="3">
        <f t="shared" si="7"/>
        <v>8572108</v>
      </c>
      <c r="V25" s="3">
        <f t="shared" si="7"/>
        <v>8689996</v>
      </c>
      <c r="W25" s="3">
        <f t="shared" si="7"/>
        <v>8807884</v>
      </c>
      <c r="X25" s="3">
        <f t="shared" si="7"/>
        <v>8925772</v>
      </c>
      <c r="Y25" s="3">
        <f t="shared" si="7"/>
        <v>9043660</v>
      </c>
      <c r="Z25" s="3">
        <f t="shared" si="7"/>
        <v>9161548</v>
      </c>
      <c r="AA25" s="3">
        <f t="shared" si="7"/>
        <v>9279436</v>
      </c>
      <c r="AB25" s="3">
        <f t="shared" si="7"/>
        <v>9397324</v>
      </c>
      <c r="AC25" s="3">
        <f t="shared" si="7"/>
        <v>9515212</v>
      </c>
      <c r="AD25" s="3">
        <f t="shared" si="7"/>
        <v>9633100</v>
      </c>
      <c r="AE25" s="3">
        <f t="shared" si="7"/>
        <v>9750988</v>
      </c>
      <c r="AF25" s="3">
        <f t="shared" si="7"/>
        <v>9868876</v>
      </c>
      <c r="AG25" s="3">
        <f t="shared" si="7"/>
        <v>9986764</v>
      </c>
      <c r="AH25" s="3">
        <f t="shared" si="7"/>
        <v>10104652</v>
      </c>
      <c r="AI25" s="3">
        <f t="shared" si="7"/>
        <v>10222540</v>
      </c>
      <c r="AJ25" s="3">
        <f t="shared" si="7"/>
        <v>10340428</v>
      </c>
      <c r="AK25" s="3">
        <f t="shared" si="7"/>
        <v>10458316</v>
      </c>
      <c r="AL25" s="3">
        <f t="shared" si="7"/>
        <v>10576204</v>
      </c>
      <c r="AM25" s="3">
        <f t="shared" si="7"/>
        <v>10694092</v>
      </c>
      <c r="AN25" s="3">
        <f t="shared" si="7"/>
        <v>10811980</v>
      </c>
      <c r="AO25" s="3">
        <f t="shared" si="7"/>
        <v>10929868</v>
      </c>
      <c r="AP25" s="3">
        <f t="shared" si="7"/>
        <v>11047756</v>
      </c>
      <c r="AQ25" s="3">
        <f t="shared" si="7"/>
        <v>11165644</v>
      </c>
      <c r="AR25" s="3">
        <f t="shared" si="7"/>
        <v>11283532</v>
      </c>
      <c r="AS25" s="3">
        <f t="shared" si="7"/>
        <v>11401420</v>
      </c>
      <c r="AT25" s="3">
        <f t="shared" si="7"/>
        <v>11519308</v>
      </c>
      <c r="AU25" s="3">
        <f t="shared" si="7"/>
        <v>11637196</v>
      </c>
      <c r="AV25" s="3">
        <f t="shared" si="7"/>
        <v>11755084</v>
      </c>
      <c r="AW25" s="3">
        <f t="shared" si="7"/>
        <v>11872972</v>
      </c>
      <c r="AX25" s="3">
        <f t="shared" si="7"/>
        <v>11990860</v>
      </c>
      <c r="AY25" s="3">
        <f t="shared" si="7"/>
        <v>12108748</v>
      </c>
      <c r="AZ25" s="3">
        <f t="shared" si="7"/>
        <v>12226636</v>
      </c>
      <c r="BA25" s="3">
        <f t="shared" si="7"/>
        <v>12344524</v>
      </c>
      <c r="BB25" s="3">
        <f t="shared" si="7"/>
        <v>12462412</v>
      </c>
      <c r="BC25" s="3">
        <f t="shared" si="7"/>
        <v>12580300</v>
      </c>
      <c r="BD25" s="3">
        <f t="shared" si="7"/>
        <v>12698188</v>
      </c>
      <c r="BE25" s="3">
        <f t="shared" si="7"/>
        <v>12816076</v>
      </c>
      <c r="BF25" s="3">
        <f t="shared" si="7"/>
        <v>12933964</v>
      </c>
      <c r="BG25" s="3">
        <f t="shared" si="7"/>
        <v>13051852</v>
      </c>
      <c r="BH25" s="3">
        <f t="shared" si="7"/>
        <v>13169740</v>
      </c>
      <c r="BI25" s="3">
        <f t="shared" si="7"/>
        <v>13287628</v>
      </c>
      <c r="BJ25" s="3">
        <f t="shared" si="7"/>
        <v>13405516</v>
      </c>
      <c r="BK25" s="3">
        <f t="shared" si="7"/>
        <v>13523404</v>
      </c>
    </row>
    <row r="26" spans="2:63" x14ac:dyDescent="0.25">
      <c r="B26" t="s">
        <v>233</v>
      </c>
      <c r="D26" s="3">
        <f>ROUND(D23*D9,0)</f>
        <v>148571</v>
      </c>
      <c r="E26" s="3">
        <f>ROUND(E23*E9,0)</f>
        <v>302475</v>
      </c>
      <c r="F26" s="3">
        <f t="shared" ref="F26:O26" si="8">ROUND(F23*F9,0)</f>
        <v>461712</v>
      </c>
      <c r="G26" s="3">
        <f t="shared" si="8"/>
        <v>626283</v>
      </c>
      <c r="H26" s="3">
        <f t="shared" si="8"/>
        <v>796187</v>
      </c>
      <c r="I26" s="3">
        <f t="shared" si="8"/>
        <v>971424</v>
      </c>
      <c r="J26" s="3">
        <f t="shared" si="8"/>
        <v>1151995</v>
      </c>
      <c r="K26" s="3">
        <f t="shared" si="8"/>
        <v>1337899</v>
      </c>
      <c r="L26" s="3">
        <f t="shared" si="8"/>
        <v>1529136</v>
      </c>
      <c r="M26" s="3">
        <f t="shared" si="8"/>
        <v>1725707</v>
      </c>
      <c r="N26" s="3">
        <f t="shared" si="8"/>
        <v>1927611</v>
      </c>
      <c r="O26" s="3">
        <f t="shared" si="8"/>
        <v>2134848</v>
      </c>
      <c r="P26" s="3">
        <f>ROUND(P23*$O$9,0)</f>
        <v>2166848</v>
      </c>
      <c r="Q26" s="3">
        <f t="shared" ref="Q26:BK26" si="9">ROUND(Q23*$O$9,0)</f>
        <v>2198848</v>
      </c>
      <c r="R26" s="3">
        <f t="shared" si="9"/>
        <v>2230848</v>
      </c>
      <c r="S26" s="3">
        <f t="shared" si="9"/>
        <v>2262848</v>
      </c>
      <c r="T26" s="3">
        <f t="shared" si="9"/>
        <v>2294848</v>
      </c>
      <c r="U26" s="3">
        <f t="shared" si="9"/>
        <v>2326848</v>
      </c>
      <c r="V26" s="3">
        <f t="shared" si="9"/>
        <v>2358848</v>
      </c>
      <c r="W26" s="3">
        <f t="shared" si="9"/>
        <v>2390848</v>
      </c>
      <c r="X26" s="3">
        <f t="shared" si="9"/>
        <v>2422848</v>
      </c>
      <c r="Y26" s="3">
        <f t="shared" si="9"/>
        <v>2454848</v>
      </c>
      <c r="Z26" s="3">
        <f t="shared" si="9"/>
        <v>2486848</v>
      </c>
      <c r="AA26" s="3">
        <f t="shared" si="9"/>
        <v>2518848</v>
      </c>
      <c r="AB26" s="3">
        <f t="shared" si="9"/>
        <v>2550848</v>
      </c>
      <c r="AC26" s="3">
        <f t="shared" si="9"/>
        <v>2582848</v>
      </c>
      <c r="AD26" s="3">
        <f t="shared" si="9"/>
        <v>2614848</v>
      </c>
      <c r="AE26" s="3">
        <f t="shared" si="9"/>
        <v>2646848</v>
      </c>
      <c r="AF26" s="3">
        <f t="shared" si="9"/>
        <v>2678848</v>
      </c>
      <c r="AG26" s="3">
        <f t="shared" si="9"/>
        <v>2710848</v>
      </c>
      <c r="AH26" s="3">
        <f t="shared" si="9"/>
        <v>2742848</v>
      </c>
      <c r="AI26" s="3">
        <f t="shared" si="9"/>
        <v>2774848</v>
      </c>
      <c r="AJ26" s="3">
        <f t="shared" si="9"/>
        <v>2806848</v>
      </c>
      <c r="AK26" s="3">
        <f t="shared" si="9"/>
        <v>2838848</v>
      </c>
      <c r="AL26" s="3">
        <f t="shared" si="9"/>
        <v>2870848</v>
      </c>
      <c r="AM26" s="3">
        <f t="shared" si="9"/>
        <v>2902848</v>
      </c>
      <c r="AN26" s="3">
        <f t="shared" si="9"/>
        <v>2934848</v>
      </c>
      <c r="AO26" s="3">
        <f t="shared" si="9"/>
        <v>2966848</v>
      </c>
      <c r="AP26" s="3">
        <f t="shared" si="9"/>
        <v>2998848</v>
      </c>
      <c r="AQ26" s="3">
        <f t="shared" si="9"/>
        <v>3030848</v>
      </c>
      <c r="AR26" s="3">
        <f t="shared" si="9"/>
        <v>3062848</v>
      </c>
      <c r="AS26" s="3">
        <f t="shared" si="9"/>
        <v>3094848</v>
      </c>
      <c r="AT26" s="3">
        <f t="shared" si="9"/>
        <v>3126848</v>
      </c>
      <c r="AU26" s="3">
        <f t="shared" si="9"/>
        <v>3158848</v>
      </c>
      <c r="AV26" s="3">
        <f t="shared" si="9"/>
        <v>3190848</v>
      </c>
      <c r="AW26" s="3">
        <f t="shared" si="9"/>
        <v>3222848</v>
      </c>
      <c r="AX26" s="3">
        <f t="shared" si="9"/>
        <v>3254848</v>
      </c>
      <c r="AY26" s="3">
        <f t="shared" si="9"/>
        <v>3286848</v>
      </c>
      <c r="AZ26" s="3">
        <f t="shared" si="9"/>
        <v>3318848</v>
      </c>
      <c r="BA26" s="3">
        <f t="shared" si="9"/>
        <v>3350848</v>
      </c>
      <c r="BB26" s="3">
        <f t="shared" si="9"/>
        <v>3382848</v>
      </c>
      <c r="BC26" s="3">
        <f t="shared" si="9"/>
        <v>3414848</v>
      </c>
      <c r="BD26" s="3">
        <f t="shared" si="9"/>
        <v>3446848</v>
      </c>
      <c r="BE26" s="3">
        <f t="shared" si="9"/>
        <v>3478848</v>
      </c>
      <c r="BF26" s="3">
        <f t="shared" si="9"/>
        <v>3510848</v>
      </c>
      <c r="BG26" s="3">
        <f t="shared" si="9"/>
        <v>3542848</v>
      </c>
      <c r="BH26" s="3">
        <f t="shared" si="9"/>
        <v>3574848</v>
      </c>
      <c r="BI26" s="3">
        <f t="shared" si="9"/>
        <v>3606848</v>
      </c>
      <c r="BJ26" s="3">
        <f t="shared" si="9"/>
        <v>3638848</v>
      </c>
      <c r="BK26" s="3">
        <f t="shared" si="9"/>
        <v>3670848</v>
      </c>
    </row>
    <row r="27" spans="2:63" x14ac:dyDescent="0.25">
      <c r="B27" t="s">
        <v>234</v>
      </c>
      <c r="D27" s="3">
        <f>ROUND(D24*D10,0)</f>
        <v>87954</v>
      </c>
      <c r="E27" s="3">
        <f t="shared" ref="E27:O27" si="10">ROUND(E24*E10,0)</f>
        <v>179065</v>
      </c>
      <c r="F27" s="3">
        <f t="shared" si="10"/>
        <v>273334</v>
      </c>
      <c r="G27" s="3">
        <f t="shared" si="10"/>
        <v>370759</v>
      </c>
      <c r="H27" s="3">
        <f t="shared" si="10"/>
        <v>471343</v>
      </c>
      <c r="I27" s="3">
        <f t="shared" si="10"/>
        <v>575083</v>
      </c>
      <c r="J27" s="3">
        <f t="shared" si="10"/>
        <v>681981</v>
      </c>
      <c r="K27" s="3">
        <f t="shared" si="10"/>
        <v>792036</v>
      </c>
      <c r="L27" s="3">
        <f t="shared" si="10"/>
        <v>905249</v>
      </c>
      <c r="M27" s="3">
        <f t="shared" si="10"/>
        <v>1021618</v>
      </c>
      <c r="N27" s="3">
        <f t="shared" si="10"/>
        <v>1141146</v>
      </c>
      <c r="O27" s="3">
        <f t="shared" si="10"/>
        <v>1263830</v>
      </c>
      <c r="P27" s="3">
        <f>ROUND(P24*$O$10,0)</f>
        <v>1282774</v>
      </c>
      <c r="Q27" s="3">
        <f t="shared" ref="Q27:BK27" si="11">ROUND(Q24*$O$10,0)</f>
        <v>1301718</v>
      </c>
      <c r="R27" s="3">
        <f t="shared" si="11"/>
        <v>1320662</v>
      </c>
      <c r="S27" s="3">
        <f t="shared" si="11"/>
        <v>1339606</v>
      </c>
      <c r="T27" s="3">
        <f t="shared" si="11"/>
        <v>1358550</v>
      </c>
      <c r="U27" s="3">
        <f t="shared" si="11"/>
        <v>1377494</v>
      </c>
      <c r="V27" s="3">
        <f t="shared" si="11"/>
        <v>1396438</v>
      </c>
      <c r="W27" s="3">
        <f t="shared" si="11"/>
        <v>1415382</v>
      </c>
      <c r="X27" s="3">
        <f t="shared" si="11"/>
        <v>1434326</v>
      </c>
      <c r="Y27" s="3">
        <f t="shared" si="11"/>
        <v>1453270</v>
      </c>
      <c r="Z27" s="3">
        <f t="shared" si="11"/>
        <v>1472214</v>
      </c>
      <c r="AA27" s="3">
        <f t="shared" si="11"/>
        <v>1491158</v>
      </c>
      <c r="AB27" s="3">
        <f t="shared" si="11"/>
        <v>1510102</v>
      </c>
      <c r="AC27" s="3">
        <f t="shared" si="11"/>
        <v>1529046</v>
      </c>
      <c r="AD27" s="3">
        <f t="shared" si="11"/>
        <v>1547990</v>
      </c>
      <c r="AE27" s="3">
        <f t="shared" si="11"/>
        <v>1566934</v>
      </c>
      <c r="AF27" s="3">
        <f t="shared" si="11"/>
        <v>1585878</v>
      </c>
      <c r="AG27" s="3">
        <f t="shared" si="11"/>
        <v>1604822</v>
      </c>
      <c r="AH27" s="3">
        <f t="shared" si="11"/>
        <v>1623766</v>
      </c>
      <c r="AI27" s="3">
        <f t="shared" si="11"/>
        <v>1642710</v>
      </c>
      <c r="AJ27" s="3">
        <f t="shared" si="11"/>
        <v>1661654</v>
      </c>
      <c r="AK27" s="3">
        <f t="shared" si="11"/>
        <v>1680598</v>
      </c>
      <c r="AL27" s="3">
        <f t="shared" si="11"/>
        <v>1699542</v>
      </c>
      <c r="AM27" s="3">
        <f t="shared" si="11"/>
        <v>1718486</v>
      </c>
      <c r="AN27" s="3">
        <f t="shared" si="11"/>
        <v>1737430</v>
      </c>
      <c r="AO27" s="3">
        <f t="shared" si="11"/>
        <v>1756374</v>
      </c>
      <c r="AP27" s="3">
        <f t="shared" si="11"/>
        <v>1775318</v>
      </c>
      <c r="AQ27" s="3">
        <f t="shared" si="11"/>
        <v>1794262</v>
      </c>
      <c r="AR27" s="3">
        <f t="shared" si="11"/>
        <v>1813206</v>
      </c>
      <c r="AS27" s="3">
        <f t="shared" si="11"/>
        <v>1832150</v>
      </c>
      <c r="AT27" s="3">
        <f t="shared" si="11"/>
        <v>1851094</v>
      </c>
      <c r="AU27" s="3">
        <f t="shared" si="11"/>
        <v>1870038</v>
      </c>
      <c r="AV27" s="3">
        <f t="shared" si="11"/>
        <v>1888982</v>
      </c>
      <c r="AW27" s="3">
        <f t="shared" si="11"/>
        <v>1907926</v>
      </c>
      <c r="AX27" s="3">
        <f t="shared" si="11"/>
        <v>1926870</v>
      </c>
      <c r="AY27" s="3">
        <f t="shared" si="11"/>
        <v>1945814</v>
      </c>
      <c r="AZ27" s="3">
        <f t="shared" si="11"/>
        <v>1964758</v>
      </c>
      <c r="BA27" s="3">
        <f t="shared" si="11"/>
        <v>1983702</v>
      </c>
      <c r="BB27" s="3">
        <f t="shared" si="11"/>
        <v>2002646</v>
      </c>
      <c r="BC27" s="3">
        <f t="shared" si="11"/>
        <v>2021590</v>
      </c>
      <c r="BD27" s="3">
        <f t="shared" si="11"/>
        <v>2040534</v>
      </c>
      <c r="BE27" s="3">
        <f t="shared" si="11"/>
        <v>2059478</v>
      </c>
      <c r="BF27" s="3">
        <f t="shared" si="11"/>
        <v>2078422</v>
      </c>
      <c r="BG27" s="3">
        <f t="shared" si="11"/>
        <v>2097366</v>
      </c>
      <c r="BH27" s="3">
        <f t="shared" si="11"/>
        <v>2116310</v>
      </c>
      <c r="BI27" s="3">
        <f t="shared" si="11"/>
        <v>2135254</v>
      </c>
      <c r="BJ27" s="3">
        <f t="shared" si="11"/>
        <v>2154198</v>
      </c>
      <c r="BK27" s="3">
        <f t="shared" si="11"/>
        <v>2173142</v>
      </c>
    </row>
    <row r="28" spans="2:63" x14ac:dyDescent="0.25">
      <c r="B28" t="s">
        <v>237</v>
      </c>
      <c r="D28" s="3">
        <f>+D26+D27</f>
        <v>236525</v>
      </c>
      <c r="E28" s="3">
        <f t="shared" ref="E28:P28" si="12">+E26+E27</f>
        <v>481540</v>
      </c>
      <c r="F28" s="3">
        <f t="shared" si="12"/>
        <v>735046</v>
      </c>
      <c r="G28" s="3">
        <f t="shared" si="12"/>
        <v>997042</v>
      </c>
      <c r="H28" s="3">
        <f t="shared" si="12"/>
        <v>1267530</v>
      </c>
      <c r="I28" s="3">
        <f t="shared" si="12"/>
        <v>1546507</v>
      </c>
      <c r="J28" s="3">
        <f t="shared" si="12"/>
        <v>1833976</v>
      </c>
      <c r="K28" s="3">
        <f t="shared" si="12"/>
        <v>2129935</v>
      </c>
      <c r="L28" s="3">
        <f t="shared" si="12"/>
        <v>2434385</v>
      </c>
      <c r="M28" s="3">
        <f t="shared" si="12"/>
        <v>2747325</v>
      </c>
      <c r="N28" s="3">
        <f t="shared" si="12"/>
        <v>3068757</v>
      </c>
      <c r="O28" s="3">
        <f t="shared" si="12"/>
        <v>3398678</v>
      </c>
      <c r="P28" s="3">
        <f t="shared" si="12"/>
        <v>3449622</v>
      </c>
      <c r="Q28" s="3">
        <f t="shared" ref="Q28" si="13">+Q26+Q27</f>
        <v>3500566</v>
      </c>
      <c r="R28" s="3">
        <f t="shared" ref="R28" si="14">+R26+R27</f>
        <v>3551510</v>
      </c>
      <c r="S28" s="3">
        <f t="shared" ref="S28" si="15">+S26+S27</f>
        <v>3602454</v>
      </c>
      <c r="T28" s="3">
        <f t="shared" ref="T28" si="16">+T26+T27</f>
        <v>3653398</v>
      </c>
      <c r="U28" s="3">
        <f t="shared" ref="U28" si="17">+U26+U27</f>
        <v>3704342</v>
      </c>
      <c r="V28" s="3">
        <f t="shared" ref="V28" si="18">+V26+V27</f>
        <v>3755286</v>
      </c>
      <c r="W28" s="3">
        <f t="shared" ref="W28" si="19">+W26+W27</f>
        <v>3806230</v>
      </c>
      <c r="X28" s="3">
        <f t="shared" ref="X28" si="20">+X26+X27</f>
        <v>3857174</v>
      </c>
      <c r="Y28" s="3">
        <f t="shared" ref="Y28" si="21">+Y26+Y27</f>
        <v>3908118</v>
      </c>
      <c r="Z28" s="3">
        <f t="shared" ref="Z28" si="22">+Z26+Z27</f>
        <v>3959062</v>
      </c>
      <c r="AA28" s="3">
        <f t="shared" ref="AA28" si="23">+AA26+AA27</f>
        <v>4010006</v>
      </c>
      <c r="AB28" s="3">
        <f t="shared" ref="AB28" si="24">+AB26+AB27</f>
        <v>4060950</v>
      </c>
      <c r="AC28" s="3">
        <f t="shared" ref="AC28" si="25">+AC26+AC27</f>
        <v>4111894</v>
      </c>
      <c r="AD28" s="3">
        <f t="shared" ref="AD28" si="26">+AD26+AD27</f>
        <v>4162838</v>
      </c>
      <c r="AE28" s="3">
        <f t="shared" ref="AE28" si="27">+AE26+AE27</f>
        <v>4213782</v>
      </c>
      <c r="AF28" s="3">
        <f t="shared" ref="AF28" si="28">+AF26+AF27</f>
        <v>4264726</v>
      </c>
      <c r="AG28" s="3">
        <f t="shared" ref="AG28" si="29">+AG26+AG27</f>
        <v>4315670</v>
      </c>
      <c r="AH28" s="3">
        <f t="shared" ref="AH28" si="30">+AH26+AH27</f>
        <v>4366614</v>
      </c>
      <c r="AI28" s="3">
        <f t="shared" ref="AI28" si="31">+AI26+AI27</f>
        <v>4417558</v>
      </c>
      <c r="AJ28" s="3">
        <f t="shared" ref="AJ28" si="32">+AJ26+AJ27</f>
        <v>4468502</v>
      </c>
      <c r="AK28" s="3">
        <f t="shared" ref="AK28" si="33">+AK26+AK27</f>
        <v>4519446</v>
      </c>
      <c r="AL28" s="3">
        <f t="shared" ref="AL28" si="34">+AL26+AL27</f>
        <v>4570390</v>
      </c>
      <c r="AM28" s="3">
        <f t="shared" ref="AM28" si="35">+AM26+AM27</f>
        <v>4621334</v>
      </c>
      <c r="AN28" s="3">
        <f t="shared" ref="AN28" si="36">+AN26+AN27</f>
        <v>4672278</v>
      </c>
      <c r="AO28" s="3">
        <f t="shared" ref="AO28" si="37">+AO26+AO27</f>
        <v>4723222</v>
      </c>
      <c r="AP28" s="3">
        <f t="shared" ref="AP28" si="38">+AP26+AP27</f>
        <v>4774166</v>
      </c>
      <c r="AQ28" s="3">
        <f t="shared" ref="AQ28" si="39">+AQ26+AQ27</f>
        <v>4825110</v>
      </c>
      <c r="AR28" s="3">
        <f t="shared" ref="AR28" si="40">+AR26+AR27</f>
        <v>4876054</v>
      </c>
      <c r="AS28" s="3">
        <f t="shared" ref="AS28" si="41">+AS26+AS27</f>
        <v>4926998</v>
      </c>
      <c r="AT28" s="3">
        <f t="shared" ref="AT28" si="42">+AT26+AT27</f>
        <v>4977942</v>
      </c>
      <c r="AU28" s="3">
        <f t="shared" ref="AU28" si="43">+AU26+AU27</f>
        <v>5028886</v>
      </c>
      <c r="AV28" s="3">
        <f t="shared" ref="AV28" si="44">+AV26+AV27</f>
        <v>5079830</v>
      </c>
      <c r="AW28" s="3">
        <f t="shared" ref="AW28" si="45">+AW26+AW27</f>
        <v>5130774</v>
      </c>
      <c r="AX28" s="3">
        <f t="shared" ref="AX28" si="46">+AX26+AX27</f>
        <v>5181718</v>
      </c>
      <c r="AY28" s="3">
        <f t="shared" ref="AY28" si="47">+AY26+AY27</f>
        <v>5232662</v>
      </c>
      <c r="AZ28" s="3">
        <f t="shared" ref="AZ28" si="48">+AZ26+AZ27</f>
        <v>5283606</v>
      </c>
      <c r="BA28" s="3">
        <f t="shared" ref="BA28" si="49">+BA26+BA27</f>
        <v>5334550</v>
      </c>
      <c r="BB28" s="3">
        <f t="shared" ref="BB28" si="50">+BB26+BB27</f>
        <v>5385494</v>
      </c>
      <c r="BC28" s="3">
        <f t="shared" ref="BC28" si="51">+BC26+BC27</f>
        <v>5436438</v>
      </c>
      <c r="BD28" s="3">
        <f t="shared" ref="BD28" si="52">+BD26+BD27</f>
        <v>5487382</v>
      </c>
      <c r="BE28" s="3">
        <f t="shared" ref="BE28" si="53">+BE26+BE27</f>
        <v>5538326</v>
      </c>
      <c r="BF28" s="3">
        <f t="shared" ref="BF28" si="54">+BF26+BF27</f>
        <v>5589270</v>
      </c>
      <c r="BG28" s="3">
        <f t="shared" ref="BG28" si="55">+BG26+BG27</f>
        <v>5640214</v>
      </c>
      <c r="BH28" s="3">
        <f t="shared" ref="BH28" si="56">+BH26+BH27</f>
        <v>5691158</v>
      </c>
      <c r="BI28" s="3">
        <f t="shared" ref="BI28" si="57">+BI26+BI27</f>
        <v>5742102</v>
      </c>
      <c r="BJ28" s="3">
        <f t="shared" ref="BJ28" si="58">+BJ26+BJ27</f>
        <v>5793046</v>
      </c>
      <c r="BK28" s="3">
        <f t="shared" ref="BK28" si="59">+BK26+BK27</f>
        <v>5843990</v>
      </c>
    </row>
    <row r="29" spans="2:63" x14ac:dyDescent="0.25">
      <c r="B29" t="s">
        <v>241</v>
      </c>
      <c r="D29" s="3">
        <f>+D22</f>
        <v>6568012</v>
      </c>
      <c r="E29" s="3">
        <f t="shared" ref="E29:BK29" si="60">+E22</f>
        <v>6685900</v>
      </c>
      <c r="F29" s="3">
        <f t="shared" si="60"/>
        <v>6803788</v>
      </c>
      <c r="G29" s="3">
        <f t="shared" si="60"/>
        <v>6921676</v>
      </c>
      <c r="H29" s="3">
        <f t="shared" si="60"/>
        <v>7039564</v>
      </c>
      <c r="I29" s="3">
        <f t="shared" si="60"/>
        <v>7157452</v>
      </c>
      <c r="J29" s="3">
        <f t="shared" si="60"/>
        <v>7275340</v>
      </c>
      <c r="K29" s="3">
        <f t="shared" si="60"/>
        <v>7393228</v>
      </c>
      <c r="L29" s="3">
        <f t="shared" si="60"/>
        <v>7511116</v>
      </c>
      <c r="M29" s="3">
        <f t="shared" si="60"/>
        <v>7629004</v>
      </c>
      <c r="N29" s="3">
        <f t="shared" si="60"/>
        <v>7746892</v>
      </c>
      <c r="O29" s="3">
        <f t="shared" si="60"/>
        <v>7864780</v>
      </c>
      <c r="P29" s="3">
        <f t="shared" si="60"/>
        <v>7982668</v>
      </c>
      <c r="Q29" s="3">
        <f t="shared" si="60"/>
        <v>8100556</v>
      </c>
      <c r="R29" s="3">
        <f t="shared" si="60"/>
        <v>8218444</v>
      </c>
      <c r="S29" s="3">
        <f t="shared" si="60"/>
        <v>8336332</v>
      </c>
      <c r="T29" s="3">
        <f t="shared" si="60"/>
        <v>8454220</v>
      </c>
      <c r="U29" s="3">
        <f t="shared" si="60"/>
        <v>8572108</v>
      </c>
      <c r="V29" s="3">
        <f t="shared" si="60"/>
        <v>8689996</v>
      </c>
      <c r="W29" s="3">
        <f t="shared" si="60"/>
        <v>8807884</v>
      </c>
      <c r="X29" s="3">
        <f t="shared" si="60"/>
        <v>8925772</v>
      </c>
      <c r="Y29" s="3">
        <f t="shared" si="60"/>
        <v>9043660</v>
      </c>
      <c r="Z29" s="3">
        <f t="shared" si="60"/>
        <v>9161548</v>
      </c>
      <c r="AA29" s="3">
        <f t="shared" si="60"/>
        <v>9279436</v>
      </c>
      <c r="AB29" s="3">
        <f t="shared" si="60"/>
        <v>9397324</v>
      </c>
      <c r="AC29" s="3">
        <f t="shared" si="60"/>
        <v>9515212</v>
      </c>
      <c r="AD29" s="3">
        <f t="shared" si="60"/>
        <v>9633100</v>
      </c>
      <c r="AE29" s="3">
        <f t="shared" si="60"/>
        <v>9750988</v>
      </c>
      <c r="AF29" s="3">
        <f t="shared" si="60"/>
        <v>9868876</v>
      </c>
      <c r="AG29" s="3">
        <f t="shared" si="60"/>
        <v>9986764</v>
      </c>
      <c r="AH29" s="3">
        <f t="shared" si="60"/>
        <v>10104652</v>
      </c>
      <c r="AI29" s="3">
        <f t="shared" si="60"/>
        <v>10222540</v>
      </c>
      <c r="AJ29" s="3">
        <f t="shared" si="60"/>
        <v>10340428</v>
      </c>
      <c r="AK29" s="3">
        <f t="shared" si="60"/>
        <v>10458316</v>
      </c>
      <c r="AL29" s="3">
        <f t="shared" si="60"/>
        <v>10576204</v>
      </c>
      <c r="AM29" s="3">
        <f t="shared" si="60"/>
        <v>10694092</v>
      </c>
      <c r="AN29" s="3">
        <f t="shared" si="60"/>
        <v>10811980</v>
      </c>
      <c r="AO29" s="3">
        <f t="shared" si="60"/>
        <v>10929868</v>
      </c>
      <c r="AP29" s="3">
        <f t="shared" si="60"/>
        <v>11047756</v>
      </c>
      <c r="AQ29" s="3">
        <f t="shared" si="60"/>
        <v>11165644</v>
      </c>
      <c r="AR29" s="3">
        <f t="shared" si="60"/>
        <v>11283532</v>
      </c>
      <c r="AS29" s="3">
        <f t="shared" si="60"/>
        <v>11401420</v>
      </c>
      <c r="AT29" s="3">
        <f t="shared" si="60"/>
        <v>11519308</v>
      </c>
      <c r="AU29" s="3">
        <f t="shared" si="60"/>
        <v>11637196</v>
      </c>
      <c r="AV29" s="3">
        <f t="shared" si="60"/>
        <v>11755084</v>
      </c>
      <c r="AW29" s="3">
        <f t="shared" si="60"/>
        <v>11872972</v>
      </c>
      <c r="AX29" s="3">
        <f t="shared" si="60"/>
        <v>11990860</v>
      </c>
      <c r="AY29" s="3">
        <f t="shared" si="60"/>
        <v>12108748</v>
      </c>
      <c r="AZ29" s="3">
        <f t="shared" si="60"/>
        <v>12226636</v>
      </c>
      <c r="BA29" s="3">
        <f t="shared" si="60"/>
        <v>12344524</v>
      </c>
      <c r="BB29" s="3">
        <f t="shared" si="60"/>
        <v>12462412</v>
      </c>
      <c r="BC29" s="3">
        <f t="shared" si="60"/>
        <v>12580300</v>
      </c>
      <c r="BD29" s="3">
        <f t="shared" si="60"/>
        <v>12698188</v>
      </c>
      <c r="BE29" s="3">
        <f t="shared" si="60"/>
        <v>12816076</v>
      </c>
      <c r="BF29" s="3">
        <f t="shared" si="60"/>
        <v>12933964</v>
      </c>
      <c r="BG29" s="3">
        <f t="shared" si="60"/>
        <v>13051852</v>
      </c>
      <c r="BH29" s="3">
        <f t="shared" si="60"/>
        <v>13169740</v>
      </c>
      <c r="BI29" s="3">
        <f t="shared" si="60"/>
        <v>13287628</v>
      </c>
      <c r="BJ29" s="3">
        <f t="shared" si="60"/>
        <v>13405516</v>
      </c>
      <c r="BK29" s="3">
        <f t="shared" si="60"/>
        <v>13523404</v>
      </c>
    </row>
    <row r="30" spans="2:63" x14ac:dyDescent="0.25">
      <c r="B30" t="s">
        <v>242</v>
      </c>
      <c r="D30" s="3">
        <f>+D22+D29</f>
        <v>13136024</v>
      </c>
      <c r="E30" s="3">
        <f t="shared" ref="E30:BK30" si="61">+E22+E29</f>
        <v>13371800</v>
      </c>
      <c r="F30" s="3">
        <f t="shared" si="61"/>
        <v>13607576</v>
      </c>
      <c r="G30" s="3">
        <f t="shared" si="61"/>
        <v>13843352</v>
      </c>
      <c r="H30" s="3">
        <f t="shared" si="61"/>
        <v>14079128</v>
      </c>
      <c r="I30" s="3">
        <f t="shared" si="61"/>
        <v>14314904</v>
      </c>
      <c r="J30" s="3">
        <f t="shared" si="61"/>
        <v>14550680</v>
      </c>
      <c r="K30" s="3">
        <f t="shared" si="61"/>
        <v>14786456</v>
      </c>
      <c r="L30" s="3">
        <f t="shared" si="61"/>
        <v>15022232</v>
      </c>
      <c r="M30" s="3">
        <f t="shared" si="61"/>
        <v>15258008</v>
      </c>
      <c r="N30" s="3">
        <f t="shared" si="61"/>
        <v>15493784</v>
      </c>
      <c r="O30" s="3">
        <f t="shared" si="61"/>
        <v>15729560</v>
      </c>
      <c r="P30" s="3">
        <f t="shared" si="61"/>
        <v>15965336</v>
      </c>
      <c r="Q30" s="3">
        <f t="shared" si="61"/>
        <v>16201112</v>
      </c>
      <c r="R30" s="3">
        <f t="shared" si="61"/>
        <v>16436888</v>
      </c>
      <c r="S30" s="3">
        <f t="shared" si="61"/>
        <v>16672664</v>
      </c>
      <c r="T30" s="3">
        <f t="shared" si="61"/>
        <v>16908440</v>
      </c>
      <c r="U30" s="3">
        <f t="shared" si="61"/>
        <v>17144216</v>
      </c>
      <c r="V30" s="3">
        <f t="shared" si="61"/>
        <v>17379992</v>
      </c>
      <c r="W30" s="3">
        <f t="shared" si="61"/>
        <v>17615768</v>
      </c>
      <c r="X30" s="3">
        <f t="shared" si="61"/>
        <v>17851544</v>
      </c>
      <c r="Y30" s="3">
        <f t="shared" si="61"/>
        <v>18087320</v>
      </c>
      <c r="Z30" s="3">
        <f t="shared" si="61"/>
        <v>18323096</v>
      </c>
      <c r="AA30" s="3">
        <f t="shared" si="61"/>
        <v>18558872</v>
      </c>
      <c r="AB30" s="3">
        <f t="shared" si="61"/>
        <v>18794648</v>
      </c>
      <c r="AC30" s="3">
        <f t="shared" si="61"/>
        <v>19030424</v>
      </c>
      <c r="AD30" s="3">
        <f t="shared" si="61"/>
        <v>19266200</v>
      </c>
      <c r="AE30" s="3">
        <f t="shared" si="61"/>
        <v>19501976</v>
      </c>
      <c r="AF30" s="3">
        <f t="shared" si="61"/>
        <v>19737752</v>
      </c>
      <c r="AG30" s="3">
        <f t="shared" si="61"/>
        <v>19973528</v>
      </c>
      <c r="AH30" s="3">
        <f t="shared" si="61"/>
        <v>20209304</v>
      </c>
      <c r="AI30" s="3">
        <f t="shared" si="61"/>
        <v>20445080</v>
      </c>
      <c r="AJ30" s="3">
        <f t="shared" si="61"/>
        <v>20680856</v>
      </c>
      <c r="AK30" s="3">
        <f t="shared" si="61"/>
        <v>20916632</v>
      </c>
      <c r="AL30" s="3">
        <f t="shared" si="61"/>
        <v>21152408</v>
      </c>
      <c r="AM30" s="3">
        <f t="shared" si="61"/>
        <v>21388184</v>
      </c>
      <c r="AN30" s="3">
        <f t="shared" si="61"/>
        <v>21623960</v>
      </c>
      <c r="AO30" s="3">
        <f t="shared" si="61"/>
        <v>21859736</v>
      </c>
      <c r="AP30" s="3">
        <f t="shared" si="61"/>
        <v>22095512</v>
      </c>
      <c r="AQ30" s="3">
        <f t="shared" si="61"/>
        <v>22331288</v>
      </c>
      <c r="AR30" s="3">
        <f t="shared" si="61"/>
        <v>22567064</v>
      </c>
      <c r="AS30" s="3">
        <f t="shared" si="61"/>
        <v>22802840</v>
      </c>
      <c r="AT30" s="3">
        <f t="shared" si="61"/>
        <v>23038616</v>
      </c>
      <c r="AU30" s="3">
        <f t="shared" si="61"/>
        <v>23274392</v>
      </c>
      <c r="AV30" s="3">
        <f t="shared" si="61"/>
        <v>23510168</v>
      </c>
      <c r="AW30" s="3">
        <f t="shared" si="61"/>
        <v>23745944</v>
      </c>
      <c r="AX30" s="3">
        <f t="shared" si="61"/>
        <v>23981720</v>
      </c>
      <c r="AY30" s="3">
        <f t="shared" si="61"/>
        <v>24217496</v>
      </c>
      <c r="AZ30" s="3">
        <f t="shared" si="61"/>
        <v>24453272</v>
      </c>
      <c r="BA30" s="3">
        <f t="shared" si="61"/>
        <v>24689048</v>
      </c>
      <c r="BB30" s="3">
        <f t="shared" si="61"/>
        <v>24924824</v>
      </c>
      <c r="BC30" s="3">
        <f t="shared" si="61"/>
        <v>25160600</v>
      </c>
      <c r="BD30" s="3">
        <f t="shared" si="61"/>
        <v>25396376</v>
      </c>
      <c r="BE30" s="3">
        <f t="shared" si="61"/>
        <v>25632152</v>
      </c>
      <c r="BF30" s="3">
        <f t="shared" si="61"/>
        <v>25867928</v>
      </c>
      <c r="BG30" s="3">
        <f t="shared" si="61"/>
        <v>26103704</v>
      </c>
      <c r="BH30" s="3">
        <f t="shared" si="61"/>
        <v>26339480</v>
      </c>
      <c r="BI30" s="3">
        <f t="shared" si="61"/>
        <v>26575256</v>
      </c>
      <c r="BJ30" s="3">
        <f t="shared" si="61"/>
        <v>26811032</v>
      </c>
      <c r="BK30" s="3">
        <f t="shared" si="61"/>
        <v>27046808</v>
      </c>
    </row>
    <row r="31" spans="2:63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2:63" x14ac:dyDescent="0.25">
      <c r="C32" s="75"/>
    </row>
    <row r="33" spans="2:63" x14ac:dyDescent="0.25">
      <c r="B33" s="12" t="s">
        <v>45</v>
      </c>
      <c r="C33" s="75"/>
      <c r="D33" s="75">
        <f t="shared" ref="D33:AI33" si="62">+D17*$C$2*$C$4</f>
        <v>167142</v>
      </c>
      <c r="E33" s="75">
        <f t="shared" si="62"/>
        <v>170142</v>
      </c>
      <c r="F33" s="75">
        <f t="shared" si="62"/>
        <v>173142</v>
      </c>
      <c r="G33" s="75">
        <f t="shared" si="62"/>
        <v>176142</v>
      </c>
      <c r="H33" s="75">
        <f t="shared" si="62"/>
        <v>179142</v>
      </c>
      <c r="I33" s="75">
        <f t="shared" si="62"/>
        <v>182142</v>
      </c>
      <c r="J33" s="75">
        <f t="shared" si="62"/>
        <v>185142</v>
      </c>
      <c r="K33" s="75">
        <f t="shared" si="62"/>
        <v>188142</v>
      </c>
      <c r="L33" s="75">
        <f t="shared" si="62"/>
        <v>191142</v>
      </c>
      <c r="M33" s="75">
        <f t="shared" si="62"/>
        <v>194142</v>
      </c>
      <c r="N33" s="75">
        <f t="shared" si="62"/>
        <v>197142</v>
      </c>
      <c r="O33" s="75">
        <f t="shared" si="62"/>
        <v>200142</v>
      </c>
      <c r="P33" s="75">
        <f t="shared" si="62"/>
        <v>203142</v>
      </c>
      <c r="Q33" s="75">
        <f t="shared" si="62"/>
        <v>206142</v>
      </c>
      <c r="R33" s="75">
        <f t="shared" si="62"/>
        <v>209142</v>
      </c>
      <c r="S33" s="75">
        <f t="shared" si="62"/>
        <v>212142</v>
      </c>
      <c r="T33" s="75">
        <f t="shared" si="62"/>
        <v>215142</v>
      </c>
      <c r="U33" s="75">
        <f t="shared" si="62"/>
        <v>218142</v>
      </c>
      <c r="V33" s="75">
        <f t="shared" si="62"/>
        <v>221142</v>
      </c>
      <c r="W33" s="75">
        <f t="shared" si="62"/>
        <v>224142</v>
      </c>
      <c r="X33" s="75">
        <f t="shared" si="62"/>
        <v>227142</v>
      </c>
      <c r="Y33" s="75">
        <f t="shared" si="62"/>
        <v>230142</v>
      </c>
      <c r="Z33" s="75">
        <f t="shared" si="62"/>
        <v>233142</v>
      </c>
      <c r="AA33" s="75">
        <f t="shared" si="62"/>
        <v>236142</v>
      </c>
      <c r="AB33" s="75">
        <f t="shared" si="62"/>
        <v>239142</v>
      </c>
      <c r="AC33" s="75">
        <f t="shared" si="62"/>
        <v>242142</v>
      </c>
      <c r="AD33" s="75">
        <f t="shared" si="62"/>
        <v>245142</v>
      </c>
      <c r="AE33" s="75">
        <f t="shared" si="62"/>
        <v>248142</v>
      </c>
      <c r="AF33" s="75">
        <f t="shared" si="62"/>
        <v>251142</v>
      </c>
      <c r="AG33" s="75">
        <f t="shared" si="62"/>
        <v>254142</v>
      </c>
      <c r="AH33" s="75">
        <f t="shared" si="62"/>
        <v>257142</v>
      </c>
      <c r="AI33" s="75">
        <f t="shared" si="62"/>
        <v>260142</v>
      </c>
      <c r="AJ33" s="75">
        <f t="shared" ref="AJ33:BK33" si="63">+AJ17*$C$2*$C$4</f>
        <v>263142</v>
      </c>
      <c r="AK33" s="75">
        <f t="shared" si="63"/>
        <v>266142</v>
      </c>
      <c r="AL33" s="75">
        <f t="shared" si="63"/>
        <v>269142</v>
      </c>
      <c r="AM33" s="75">
        <f t="shared" si="63"/>
        <v>272142</v>
      </c>
      <c r="AN33" s="75">
        <f t="shared" si="63"/>
        <v>275142</v>
      </c>
      <c r="AO33" s="75">
        <f t="shared" si="63"/>
        <v>278142</v>
      </c>
      <c r="AP33" s="75">
        <f t="shared" si="63"/>
        <v>281142</v>
      </c>
      <c r="AQ33" s="75">
        <f t="shared" si="63"/>
        <v>284142</v>
      </c>
      <c r="AR33" s="75">
        <f t="shared" si="63"/>
        <v>287142</v>
      </c>
      <c r="AS33" s="75">
        <f t="shared" si="63"/>
        <v>290142</v>
      </c>
      <c r="AT33" s="75">
        <f t="shared" si="63"/>
        <v>293142</v>
      </c>
      <c r="AU33" s="75">
        <f t="shared" si="63"/>
        <v>296142</v>
      </c>
      <c r="AV33" s="75">
        <f t="shared" si="63"/>
        <v>299142</v>
      </c>
      <c r="AW33" s="75">
        <f t="shared" si="63"/>
        <v>302142</v>
      </c>
      <c r="AX33" s="75">
        <f t="shared" si="63"/>
        <v>305142</v>
      </c>
      <c r="AY33" s="75">
        <f t="shared" si="63"/>
        <v>308142</v>
      </c>
      <c r="AZ33" s="75">
        <f t="shared" si="63"/>
        <v>311142</v>
      </c>
      <c r="BA33" s="75">
        <f t="shared" si="63"/>
        <v>314142</v>
      </c>
      <c r="BB33" s="75">
        <f t="shared" si="63"/>
        <v>317142</v>
      </c>
      <c r="BC33" s="75">
        <f t="shared" si="63"/>
        <v>320142</v>
      </c>
      <c r="BD33" s="75">
        <f t="shared" si="63"/>
        <v>323142</v>
      </c>
      <c r="BE33" s="75">
        <f t="shared" si="63"/>
        <v>326142</v>
      </c>
      <c r="BF33" s="75">
        <f t="shared" si="63"/>
        <v>329142</v>
      </c>
      <c r="BG33" s="75">
        <f t="shared" si="63"/>
        <v>332142</v>
      </c>
      <c r="BH33" s="75">
        <f t="shared" si="63"/>
        <v>335142</v>
      </c>
      <c r="BI33" s="75">
        <f t="shared" si="63"/>
        <v>338142</v>
      </c>
      <c r="BJ33" s="75">
        <f t="shared" si="63"/>
        <v>341142</v>
      </c>
      <c r="BK33" s="75">
        <f t="shared" si="63"/>
        <v>344142</v>
      </c>
    </row>
    <row r="34" spans="2:63" x14ac:dyDescent="0.25">
      <c r="C34" s="75"/>
    </row>
    <row r="35" spans="2:63" x14ac:dyDescent="0.25">
      <c r="C35" s="75"/>
    </row>
    <row r="36" spans="2:63" x14ac:dyDescent="0.25">
      <c r="B36" s="12" t="s">
        <v>231</v>
      </c>
      <c r="C36" s="75"/>
    </row>
    <row r="37" spans="2:63" s="102" customFormat="1" x14ac:dyDescent="0.25">
      <c r="B37" s="102" t="s">
        <v>232</v>
      </c>
      <c r="C37" s="103"/>
      <c r="D37" s="103">
        <f t="shared" ref="D37:AI37" si="64">+D25*$C$8</f>
        <v>131360.24</v>
      </c>
      <c r="E37" s="103">
        <f t="shared" si="64"/>
        <v>133718</v>
      </c>
      <c r="F37" s="103">
        <f t="shared" si="64"/>
        <v>136075.76</v>
      </c>
      <c r="G37" s="103">
        <f t="shared" si="64"/>
        <v>138433.51999999999</v>
      </c>
      <c r="H37" s="103">
        <f t="shared" si="64"/>
        <v>140791.28</v>
      </c>
      <c r="I37" s="103">
        <f t="shared" si="64"/>
        <v>143149.04</v>
      </c>
      <c r="J37" s="103">
        <f t="shared" si="64"/>
        <v>145506.80000000002</v>
      </c>
      <c r="K37" s="103">
        <f t="shared" si="64"/>
        <v>147864.56</v>
      </c>
      <c r="L37" s="103">
        <f t="shared" si="64"/>
        <v>150222.32</v>
      </c>
      <c r="M37" s="103">
        <f t="shared" si="64"/>
        <v>152580.08000000002</v>
      </c>
      <c r="N37" s="103">
        <f t="shared" si="64"/>
        <v>154937.84</v>
      </c>
      <c r="O37" s="103">
        <f t="shared" si="64"/>
        <v>157295.6</v>
      </c>
      <c r="P37" s="103">
        <f t="shared" si="64"/>
        <v>159653.36000000002</v>
      </c>
      <c r="Q37" s="103">
        <f t="shared" si="64"/>
        <v>162011.12</v>
      </c>
      <c r="R37" s="103">
        <f t="shared" si="64"/>
        <v>164368.88</v>
      </c>
      <c r="S37" s="103">
        <f t="shared" si="64"/>
        <v>166726.64000000001</v>
      </c>
      <c r="T37" s="103">
        <f t="shared" si="64"/>
        <v>169084.4</v>
      </c>
      <c r="U37" s="103">
        <f t="shared" si="64"/>
        <v>171442.16</v>
      </c>
      <c r="V37" s="103">
        <f t="shared" si="64"/>
        <v>173799.92</v>
      </c>
      <c r="W37" s="103">
        <f t="shared" si="64"/>
        <v>176157.68</v>
      </c>
      <c r="X37" s="103">
        <f t="shared" si="64"/>
        <v>178515.44</v>
      </c>
      <c r="Y37" s="103">
        <f t="shared" si="64"/>
        <v>180873.2</v>
      </c>
      <c r="Z37" s="103">
        <f t="shared" si="64"/>
        <v>183230.96</v>
      </c>
      <c r="AA37" s="103">
        <f t="shared" si="64"/>
        <v>185588.72</v>
      </c>
      <c r="AB37" s="103">
        <f t="shared" si="64"/>
        <v>187946.48</v>
      </c>
      <c r="AC37" s="103">
        <f t="shared" si="64"/>
        <v>190304.24</v>
      </c>
      <c r="AD37" s="103">
        <f t="shared" si="64"/>
        <v>192662</v>
      </c>
      <c r="AE37" s="103">
        <f t="shared" si="64"/>
        <v>195019.76</v>
      </c>
      <c r="AF37" s="103">
        <f t="shared" si="64"/>
        <v>197377.52000000002</v>
      </c>
      <c r="AG37" s="103">
        <f t="shared" si="64"/>
        <v>199735.28</v>
      </c>
      <c r="AH37" s="103">
        <f t="shared" si="64"/>
        <v>202093.04</v>
      </c>
      <c r="AI37" s="103">
        <f t="shared" si="64"/>
        <v>204450.80000000002</v>
      </c>
      <c r="AJ37" s="103">
        <f t="shared" ref="AJ37:BK37" si="65">+AJ25*$C$8</f>
        <v>206808.56</v>
      </c>
      <c r="AK37" s="103">
        <f t="shared" si="65"/>
        <v>209166.32</v>
      </c>
      <c r="AL37" s="103">
        <f t="shared" si="65"/>
        <v>211524.08000000002</v>
      </c>
      <c r="AM37" s="103">
        <f t="shared" si="65"/>
        <v>213881.84</v>
      </c>
      <c r="AN37" s="103">
        <f t="shared" si="65"/>
        <v>216239.6</v>
      </c>
      <c r="AO37" s="103">
        <f t="shared" si="65"/>
        <v>218597.36000000002</v>
      </c>
      <c r="AP37" s="103">
        <f t="shared" si="65"/>
        <v>220955.12</v>
      </c>
      <c r="AQ37" s="103">
        <f t="shared" si="65"/>
        <v>223312.88</v>
      </c>
      <c r="AR37" s="103">
        <f t="shared" si="65"/>
        <v>225670.64</v>
      </c>
      <c r="AS37" s="103">
        <f t="shared" si="65"/>
        <v>228028.4</v>
      </c>
      <c r="AT37" s="103">
        <f t="shared" si="65"/>
        <v>230386.16</v>
      </c>
      <c r="AU37" s="103">
        <f t="shared" si="65"/>
        <v>232743.92</v>
      </c>
      <c r="AV37" s="103">
        <f t="shared" si="65"/>
        <v>235101.68</v>
      </c>
      <c r="AW37" s="103">
        <f t="shared" si="65"/>
        <v>237459.44</v>
      </c>
      <c r="AX37" s="103">
        <f t="shared" si="65"/>
        <v>239817.2</v>
      </c>
      <c r="AY37" s="103">
        <f t="shared" si="65"/>
        <v>242174.96</v>
      </c>
      <c r="AZ37" s="103">
        <f t="shared" si="65"/>
        <v>244532.72</v>
      </c>
      <c r="BA37" s="103">
        <f t="shared" si="65"/>
        <v>246890.48</v>
      </c>
      <c r="BB37" s="103">
        <f t="shared" si="65"/>
        <v>249248.24</v>
      </c>
      <c r="BC37" s="103">
        <f t="shared" si="65"/>
        <v>251606</v>
      </c>
      <c r="BD37" s="103">
        <f t="shared" si="65"/>
        <v>253963.76</v>
      </c>
      <c r="BE37" s="103">
        <f t="shared" si="65"/>
        <v>256321.52000000002</v>
      </c>
      <c r="BF37" s="103">
        <f t="shared" si="65"/>
        <v>258679.28</v>
      </c>
      <c r="BG37" s="103">
        <f t="shared" si="65"/>
        <v>261037.04</v>
      </c>
      <c r="BH37" s="103">
        <f t="shared" si="65"/>
        <v>263394.8</v>
      </c>
      <c r="BI37" s="103">
        <f t="shared" si="65"/>
        <v>265752.56</v>
      </c>
      <c r="BJ37" s="103">
        <f t="shared" si="65"/>
        <v>268110.32</v>
      </c>
      <c r="BK37" s="103">
        <f t="shared" si="65"/>
        <v>270468.08</v>
      </c>
    </row>
    <row r="38" spans="2:63" x14ac:dyDescent="0.25">
      <c r="B38" t="s">
        <v>238</v>
      </c>
      <c r="C38" s="75"/>
      <c r="D38" s="75">
        <f t="shared" ref="D38:AI38" si="66">+(D25-D28)*$C$8</f>
        <v>126629.74</v>
      </c>
      <c r="E38" s="75">
        <f t="shared" si="66"/>
        <v>124087.2</v>
      </c>
      <c r="F38" s="75">
        <f t="shared" si="66"/>
        <v>121374.84</v>
      </c>
      <c r="G38" s="75">
        <f t="shared" si="66"/>
        <v>118492.68000000001</v>
      </c>
      <c r="H38" s="75">
        <f t="shared" si="66"/>
        <v>115440.68000000001</v>
      </c>
      <c r="I38" s="75">
        <f t="shared" si="66"/>
        <v>112218.90000000001</v>
      </c>
      <c r="J38" s="75">
        <f t="shared" si="66"/>
        <v>108827.28</v>
      </c>
      <c r="K38" s="75">
        <f t="shared" si="66"/>
        <v>105265.86</v>
      </c>
      <c r="L38" s="75">
        <f t="shared" si="66"/>
        <v>101534.62</v>
      </c>
      <c r="M38" s="75">
        <f t="shared" si="66"/>
        <v>97633.58</v>
      </c>
      <c r="N38" s="75">
        <f t="shared" si="66"/>
        <v>93562.7</v>
      </c>
      <c r="O38" s="75">
        <f t="shared" si="66"/>
        <v>89322.040000000008</v>
      </c>
      <c r="P38" s="75">
        <f t="shared" si="66"/>
        <v>90660.92</v>
      </c>
      <c r="Q38" s="75">
        <f t="shared" si="66"/>
        <v>91999.8</v>
      </c>
      <c r="R38" s="75">
        <f t="shared" si="66"/>
        <v>93338.680000000008</v>
      </c>
      <c r="S38" s="75">
        <f t="shared" si="66"/>
        <v>94677.56</v>
      </c>
      <c r="T38" s="75">
        <f t="shared" si="66"/>
        <v>96016.44</v>
      </c>
      <c r="U38" s="75">
        <f t="shared" si="66"/>
        <v>97355.32</v>
      </c>
      <c r="V38" s="75">
        <f t="shared" si="66"/>
        <v>98694.2</v>
      </c>
      <c r="W38" s="75">
        <f t="shared" si="66"/>
        <v>100033.08</v>
      </c>
      <c r="X38" s="75">
        <f t="shared" si="66"/>
        <v>101371.96</v>
      </c>
      <c r="Y38" s="75">
        <f t="shared" si="66"/>
        <v>102710.84</v>
      </c>
      <c r="Z38" s="75">
        <f t="shared" si="66"/>
        <v>104049.72</v>
      </c>
      <c r="AA38" s="75">
        <f t="shared" si="66"/>
        <v>105388.6</v>
      </c>
      <c r="AB38" s="75">
        <f t="shared" si="66"/>
        <v>106727.48</v>
      </c>
      <c r="AC38" s="75">
        <f t="shared" si="66"/>
        <v>108066.36</v>
      </c>
      <c r="AD38" s="75">
        <f t="shared" si="66"/>
        <v>109405.24</v>
      </c>
      <c r="AE38" s="75">
        <f t="shared" si="66"/>
        <v>110744.12</v>
      </c>
      <c r="AF38" s="75">
        <f t="shared" si="66"/>
        <v>112083</v>
      </c>
      <c r="AG38" s="75">
        <f t="shared" si="66"/>
        <v>113421.88</v>
      </c>
      <c r="AH38" s="75">
        <f t="shared" si="66"/>
        <v>114760.76000000001</v>
      </c>
      <c r="AI38" s="75">
        <f t="shared" si="66"/>
        <v>116099.64</v>
      </c>
      <c r="AJ38" s="75">
        <f t="shared" ref="AJ38:BK38" si="67">+(AJ25-AJ28)*$C$8</f>
        <v>117438.52</v>
      </c>
      <c r="AK38" s="75">
        <f t="shared" si="67"/>
        <v>118777.40000000001</v>
      </c>
      <c r="AL38" s="75">
        <f t="shared" si="67"/>
        <v>120116.28</v>
      </c>
      <c r="AM38" s="75">
        <f t="shared" si="67"/>
        <v>121455.16</v>
      </c>
      <c r="AN38" s="75">
        <f t="shared" si="67"/>
        <v>122794.04000000001</v>
      </c>
      <c r="AO38" s="75">
        <f t="shared" si="67"/>
        <v>124132.92</v>
      </c>
      <c r="AP38" s="75">
        <f t="shared" si="67"/>
        <v>125471.8</v>
      </c>
      <c r="AQ38" s="75">
        <f t="shared" si="67"/>
        <v>126810.68000000001</v>
      </c>
      <c r="AR38" s="75">
        <f t="shared" si="67"/>
        <v>128149.56</v>
      </c>
      <c r="AS38" s="75">
        <f t="shared" si="67"/>
        <v>129488.44</v>
      </c>
      <c r="AT38" s="75">
        <f t="shared" si="67"/>
        <v>130827.32</v>
      </c>
      <c r="AU38" s="75">
        <f t="shared" si="67"/>
        <v>132166.20000000001</v>
      </c>
      <c r="AV38" s="75">
        <f t="shared" si="67"/>
        <v>133505.08000000002</v>
      </c>
      <c r="AW38" s="75">
        <f t="shared" si="67"/>
        <v>134843.96</v>
      </c>
      <c r="AX38" s="75">
        <f t="shared" si="67"/>
        <v>136182.84</v>
      </c>
      <c r="AY38" s="75">
        <f t="shared" si="67"/>
        <v>137521.72</v>
      </c>
      <c r="AZ38" s="75">
        <f t="shared" si="67"/>
        <v>138860.6</v>
      </c>
      <c r="BA38" s="75">
        <f t="shared" si="67"/>
        <v>140199.48000000001</v>
      </c>
      <c r="BB38" s="75">
        <f t="shared" si="67"/>
        <v>141538.36000000002</v>
      </c>
      <c r="BC38" s="75">
        <f t="shared" si="67"/>
        <v>142877.24</v>
      </c>
      <c r="BD38" s="75">
        <f t="shared" si="67"/>
        <v>144216.12</v>
      </c>
      <c r="BE38" s="75">
        <f t="shared" si="67"/>
        <v>145555</v>
      </c>
      <c r="BF38" s="75">
        <f t="shared" si="67"/>
        <v>146893.88</v>
      </c>
      <c r="BG38" s="75">
        <f t="shared" si="67"/>
        <v>148232.76</v>
      </c>
      <c r="BH38" s="75">
        <f t="shared" si="67"/>
        <v>149571.64000000001</v>
      </c>
      <c r="BI38" s="75">
        <f t="shared" si="67"/>
        <v>150910.51999999999</v>
      </c>
      <c r="BJ38" s="75">
        <f t="shared" si="67"/>
        <v>152249.4</v>
      </c>
      <c r="BK38" s="75">
        <f t="shared" si="67"/>
        <v>153588.28</v>
      </c>
    </row>
    <row r="39" spans="2:63" x14ac:dyDescent="0.25">
      <c r="B39" t="s">
        <v>108</v>
      </c>
      <c r="C39" s="75">
        <f>+'Recursos Adicionales'!E11</f>
        <v>90271.2</v>
      </c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</row>
    <row r="40" spans="2:63" x14ac:dyDescent="0.25">
      <c r="B40" t="s">
        <v>298</v>
      </c>
      <c r="C40" s="75">
        <f>+'Consolidado Latinia'!C7</f>
        <v>611645.89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>
        <f>+'Consolidado Latinia'!D7</f>
        <v>92574.850933333364</v>
      </c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>
        <f>+'Consolidado Latinia'!E7</f>
        <v>92574.850933333364</v>
      </c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>
        <f>+'Consolidado Latinia'!F7</f>
        <v>92574.850933333364</v>
      </c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>
        <f>+'Consolidado Latinia'!G7</f>
        <v>92574.850933333364</v>
      </c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</row>
    <row r="41" spans="2:63" x14ac:dyDescent="0.25">
      <c r="B41" t="s">
        <v>309</v>
      </c>
      <c r="C41" s="75">
        <f>+'Propuesta Latinia (2)'!F17</f>
        <v>498273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>
        <f>+'Caso de Negocio'!D10+'Caso de Negocio'!D11+'Caso de Negocio'!D13</f>
        <v>191306</v>
      </c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>
        <f>+'Caso de Negocio'!E13</f>
        <v>100549</v>
      </c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>
        <f>+'Caso de Negocio'!F13</f>
        <v>100549</v>
      </c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>
        <f>+'Caso de Negocio'!G13</f>
        <v>100549</v>
      </c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</row>
    <row r="42" spans="2:63" x14ac:dyDescent="0.25">
      <c r="B42" t="s">
        <v>306</v>
      </c>
      <c r="C42" s="75"/>
      <c r="D42" s="75">
        <f>+'Consolidado Latinia'!C8</f>
        <v>12742.622708333334</v>
      </c>
      <c r="E42" s="75">
        <f>+D42</f>
        <v>12742.622708333334</v>
      </c>
      <c r="F42" s="75">
        <f t="shared" ref="F42:AY42" si="68">+E42</f>
        <v>12742.622708333334</v>
      </c>
      <c r="G42" s="75">
        <f t="shared" si="68"/>
        <v>12742.622708333334</v>
      </c>
      <c r="H42" s="75">
        <f t="shared" si="68"/>
        <v>12742.622708333334</v>
      </c>
      <c r="I42" s="75">
        <f t="shared" si="68"/>
        <v>12742.622708333334</v>
      </c>
      <c r="J42" s="75">
        <f t="shared" si="68"/>
        <v>12742.622708333334</v>
      </c>
      <c r="K42" s="75">
        <f t="shared" si="68"/>
        <v>12742.622708333334</v>
      </c>
      <c r="L42" s="75">
        <f t="shared" si="68"/>
        <v>12742.622708333334</v>
      </c>
      <c r="M42" s="75">
        <f t="shared" si="68"/>
        <v>12742.622708333334</v>
      </c>
      <c r="N42" s="75">
        <f t="shared" si="68"/>
        <v>12742.622708333334</v>
      </c>
      <c r="O42" s="75">
        <f t="shared" si="68"/>
        <v>12742.622708333334</v>
      </c>
      <c r="P42" s="75">
        <f t="shared" si="68"/>
        <v>12742.622708333334</v>
      </c>
      <c r="Q42" s="75">
        <f t="shared" si="68"/>
        <v>12742.622708333334</v>
      </c>
      <c r="R42" s="75">
        <f t="shared" si="68"/>
        <v>12742.622708333334</v>
      </c>
      <c r="S42" s="75">
        <f t="shared" si="68"/>
        <v>12742.622708333334</v>
      </c>
      <c r="T42" s="75">
        <f t="shared" si="68"/>
        <v>12742.622708333334</v>
      </c>
      <c r="U42" s="75">
        <f t="shared" si="68"/>
        <v>12742.622708333334</v>
      </c>
      <c r="V42" s="75">
        <f t="shared" si="68"/>
        <v>12742.622708333334</v>
      </c>
      <c r="W42" s="75">
        <f t="shared" si="68"/>
        <v>12742.622708333334</v>
      </c>
      <c r="X42" s="75">
        <f t="shared" si="68"/>
        <v>12742.622708333334</v>
      </c>
      <c r="Y42" s="75">
        <f t="shared" si="68"/>
        <v>12742.622708333334</v>
      </c>
      <c r="Z42" s="75">
        <f t="shared" si="68"/>
        <v>12742.622708333334</v>
      </c>
      <c r="AA42" s="75">
        <f t="shared" si="68"/>
        <v>12742.622708333334</v>
      </c>
      <c r="AB42" s="75">
        <f t="shared" si="68"/>
        <v>12742.622708333334</v>
      </c>
      <c r="AC42" s="75">
        <f t="shared" si="68"/>
        <v>12742.622708333334</v>
      </c>
      <c r="AD42" s="75">
        <f t="shared" si="68"/>
        <v>12742.622708333334</v>
      </c>
      <c r="AE42" s="75">
        <f t="shared" si="68"/>
        <v>12742.622708333334</v>
      </c>
      <c r="AF42" s="75">
        <f t="shared" si="68"/>
        <v>12742.622708333334</v>
      </c>
      <c r="AG42" s="75">
        <f t="shared" si="68"/>
        <v>12742.622708333334</v>
      </c>
      <c r="AH42" s="75">
        <f t="shared" si="68"/>
        <v>12742.622708333334</v>
      </c>
      <c r="AI42" s="75">
        <f t="shared" si="68"/>
        <v>12742.622708333334</v>
      </c>
      <c r="AJ42" s="75">
        <f t="shared" si="68"/>
        <v>12742.622708333334</v>
      </c>
      <c r="AK42" s="75">
        <f t="shared" si="68"/>
        <v>12742.622708333334</v>
      </c>
      <c r="AL42" s="75">
        <f t="shared" si="68"/>
        <v>12742.622708333334</v>
      </c>
      <c r="AM42" s="75">
        <f t="shared" si="68"/>
        <v>12742.622708333334</v>
      </c>
      <c r="AN42" s="75">
        <f t="shared" si="68"/>
        <v>12742.622708333334</v>
      </c>
      <c r="AO42" s="75">
        <f t="shared" si="68"/>
        <v>12742.622708333334</v>
      </c>
      <c r="AP42" s="75">
        <f t="shared" si="68"/>
        <v>12742.622708333334</v>
      </c>
      <c r="AQ42" s="75">
        <f t="shared" si="68"/>
        <v>12742.622708333334</v>
      </c>
      <c r="AR42" s="75">
        <f t="shared" si="68"/>
        <v>12742.622708333334</v>
      </c>
      <c r="AS42" s="75">
        <f t="shared" si="68"/>
        <v>12742.622708333334</v>
      </c>
      <c r="AT42" s="75">
        <f t="shared" si="68"/>
        <v>12742.622708333334</v>
      </c>
      <c r="AU42" s="75">
        <f t="shared" si="68"/>
        <v>12742.622708333334</v>
      </c>
      <c r="AV42" s="75">
        <f>+AU42</f>
        <v>12742.622708333334</v>
      </c>
      <c r="AW42" s="75">
        <f t="shared" si="68"/>
        <v>12742.622708333334</v>
      </c>
      <c r="AX42" s="75">
        <f t="shared" si="68"/>
        <v>12742.622708333334</v>
      </c>
      <c r="AY42" s="75">
        <f t="shared" si="68"/>
        <v>12742.622708333334</v>
      </c>
      <c r="AZ42" s="75">
        <v>0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</v>
      </c>
      <c r="BG42" s="75">
        <v>0</v>
      </c>
      <c r="BH42" s="75">
        <v>0</v>
      </c>
      <c r="BI42" s="75">
        <v>0</v>
      </c>
      <c r="BJ42" s="75">
        <v>0</v>
      </c>
      <c r="BK42" s="75">
        <v>0</v>
      </c>
    </row>
    <row r="43" spans="2:63" x14ac:dyDescent="0.25"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</row>
    <row r="44" spans="2:63" s="12" customFormat="1" x14ac:dyDescent="0.25">
      <c r="B44" s="12" t="s">
        <v>308</v>
      </c>
      <c r="C44" s="104">
        <f>+SUM(C38:C43)</f>
        <v>1200190.0899999999</v>
      </c>
      <c r="D44" s="104">
        <f>+SUM(D38:D43)</f>
        <v>139372.36270833333</v>
      </c>
      <c r="E44" s="104">
        <f t="shared" ref="E44:BK44" si="69">+SUM(E38:E43)</f>
        <v>136829.82270833332</v>
      </c>
      <c r="F44" s="104">
        <f t="shared" si="69"/>
        <v>134117.46270833333</v>
      </c>
      <c r="G44" s="104">
        <f t="shared" si="69"/>
        <v>131235.30270833333</v>
      </c>
      <c r="H44" s="104">
        <f t="shared" si="69"/>
        <v>128183.30270833334</v>
      </c>
      <c r="I44" s="104">
        <f t="shared" si="69"/>
        <v>124961.52270833334</v>
      </c>
      <c r="J44" s="104">
        <f t="shared" si="69"/>
        <v>121569.90270833333</v>
      </c>
      <c r="K44" s="104">
        <f t="shared" si="69"/>
        <v>118008.48270833334</v>
      </c>
      <c r="L44" s="104">
        <f t="shared" si="69"/>
        <v>114277.24270833333</v>
      </c>
      <c r="M44" s="104">
        <f t="shared" si="69"/>
        <v>110376.20270833334</v>
      </c>
      <c r="N44" s="104">
        <f t="shared" si="69"/>
        <v>106305.32270833333</v>
      </c>
      <c r="O44" s="104">
        <f t="shared" si="69"/>
        <v>385945.51364166668</v>
      </c>
      <c r="P44" s="104">
        <f t="shared" si="69"/>
        <v>103403.54270833333</v>
      </c>
      <c r="Q44" s="104">
        <f t="shared" si="69"/>
        <v>104742.42270833334</v>
      </c>
      <c r="R44" s="104">
        <f t="shared" si="69"/>
        <v>106081.30270833334</v>
      </c>
      <c r="S44" s="104">
        <f t="shared" si="69"/>
        <v>107420.18270833333</v>
      </c>
      <c r="T44" s="104">
        <f t="shared" si="69"/>
        <v>108759.06270833334</v>
      </c>
      <c r="U44" s="104">
        <f t="shared" si="69"/>
        <v>110097.94270833334</v>
      </c>
      <c r="V44" s="104">
        <f t="shared" si="69"/>
        <v>111436.82270833333</v>
      </c>
      <c r="W44" s="104">
        <f t="shared" si="69"/>
        <v>112775.70270833334</v>
      </c>
      <c r="X44" s="104">
        <f t="shared" si="69"/>
        <v>114114.58270833334</v>
      </c>
      <c r="Y44" s="104">
        <f t="shared" si="69"/>
        <v>115453.46270833333</v>
      </c>
      <c r="Z44" s="104">
        <f t="shared" si="69"/>
        <v>116792.34270833334</v>
      </c>
      <c r="AA44" s="104">
        <f t="shared" si="69"/>
        <v>311255.07364166668</v>
      </c>
      <c r="AB44" s="104">
        <f t="shared" si="69"/>
        <v>119470.10270833333</v>
      </c>
      <c r="AC44" s="104">
        <f t="shared" si="69"/>
        <v>120808.98270833334</v>
      </c>
      <c r="AD44" s="104">
        <f t="shared" si="69"/>
        <v>122147.86270833334</v>
      </c>
      <c r="AE44" s="104">
        <f t="shared" si="69"/>
        <v>123486.74270833333</v>
      </c>
      <c r="AF44" s="104">
        <f t="shared" si="69"/>
        <v>124825.62270833334</v>
      </c>
      <c r="AG44" s="104">
        <f t="shared" si="69"/>
        <v>126164.50270833334</v>
      </c>
      <c r="AH44" s="104">
        <f t="shared" si="69"/>
        <v>127503.38270833335</v>
      </c>
      <c r="AI44" s="104">
        <f t="shared" si="69"/>
        <v>128842.26270833334</v>
      </c>
      <c r="AJ44" s="104">
        <f t="shared" si="69"/>
        <v>130181.14270833334</v>
      </c>
      <c r="AK44" s="104">
        <f t="shared" si="69"/>
        <v>131520.02270833333</v>
      </c>
      <c r="AL44" s="104">
        <f t="shared" si="69"/>
        <v>132858.90270833333</v>
      </c>
      <c r="AM44" s="104">
        <f t="shared" si="69"/>
        <v>327321.63364166667</v>
      </c>
      <c r="AN44" s="104">
        <f t="shared" si="69"/>
        <v>135536.66270833334</v>
      </c>
      <c r="AO44" s="104">
        <f t="shared" si="69"/>
        <v>136875.54270833332</v>
      </c>
      <c r="AP44" s="104">
        <f t="shared" si="69"/>
        <v>138214.42270833332</v>
      </c>
      <c r="AQ44" s="104">
        <f t="shared" si="69"/>
        <v>139553.30270833333</v>
      </c>
      <c r="AR44" s="104">
        <f t="shared" si="69"/>
        <v>140892.18270833333</v>
      </c>
      <c r="AS44" s="104">
        <f t="shared" si="69"/>
        <v>142231.06270833334</v>
      </c>
      <c r="AT44" s="104">
        <f t="shared" si="69"/>
        <v>143569.94270833334</v>
      </c>
      <c r="AU44" s="104">
        <f t="shared" si="69"/>
        <v>144908.82270833335</v>
      </c>
      <c r="AV44" s="104">
        <f t="shared" si="69"/>
        <v>146247.70270833335</v>
      </c>
      <c r="AW44" s="104">
        <f t="shared" si="69"/>
        <v>147586.58270833333</v>
      </c>
      <c r="AX44" s="104">
        <f t="shared" si="69"/>
        <v>148925.46270833333</v>
      </c>
      <c r="AY44" s="104">
        <f t="shared" si="69"/>
        <v>343388.19364166667</v>
      </c>
      <c r="AZ44" s="104">
        <f t="shared" si="69"/>
        <v>138860.6</v>
      </c>
      <c r="BA44" s="104">
        <f t="shared" si="69"/>
        <v>140199.48000000001</v>
      </c>
      <c r="BB44" s="104">
        <f t="shared" si="69"/>
        <v>141538.36000000002</v>
      </c>
      <c r="BC44" s="104">
        <f t="shared" si="69"/>
        <v>142877.24</v>
      </c>
      <c r="BD44" s="104">
        <f t="shared" si="69"/>
        <v>144216.12</v>
      </c>
      <c r="BE44" s="104">
        <f t="shared" si="69"/>
        <v>145555</v>
      </c>
      <c r="BF44" s="104">
        <f t="shared" si="69"/>
        <v>146893.88</v>
      </c>
      <c r="BG44" s="104">
        <f t="shared" si="69"/>
        <v>148232.76</v>
      </c>
      <c r="BH44" s="104">
        <f t="shared" si="69"/>
        <v>149571.64000000001</v>
      </c>
      <c r="BI44" s="104">
        <f t="shared" si="69"/>
        <v>150910.51999999999</v>
      </c>
      <c r="BJ44" s="104">
        <f t="shared" si="69"/>
        <v>152249.4</v>
      </c>
      <c r="BK44" s="104">
        <f t="shared" si="69"/>
        <v>153588.28</v>
      </c>
    </row>
    <row r="45" spans="2:63" x14ac:dyDescent="0.25"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</row>
    <row r="46" spans="2:63" x14ac:dyDescent="0.25">
      <c r="B46" t="s">
        <v>310</v>
      </c>
      <c r="C46" s="75"/>
      <c r="D46" s="75">
        <f>+D33-D44</f>
        <v>27769.637291666673</v>
      </c>
      <c r="E46" s="75">
        <f t="shared" ref="E46:BK46" si="70">+E33-E44</f>
        <v>33312.177291666681</v>
      </c>
      <c r="F46" s="75">
        <f t="shared" si="70"/>
        <v>39024.537291666667</v>
      </c>
      <c r="G46" s="75">
        <f t="shared" si="70"/>
        <v>44906.697291666671</v>
      </c>
      <c r="H46" s="75">
        <f t="shared" si="70"/>
        <v>50958.697291666656</v>
      </c>
      <c r="I46" s="75">
        <f t="shared" si="70"/>
        <v>57180.477291666655</v>
      </c>
      <c r="J46" s="75">
        <f t="shared" si="70"/>
        <v>63572.097291666665</v>
      </c>
      <c r="K46" s="75">
        <f t="shared" si="70"/>
        <v>70133.517291666663</v>
      </c>
      <c r="L46" s="75">
        <f t="shared" si="70"/>
        <v>76864.757291666669</v>
      </c>
      <c r="M46" s="75">
        <f t="shared" si="70"/>
        <v>83765.797291666662</v>
      </c>
      <c r="N46" s="75">
        <f t="shared" si="70"/>
        <v>90836.677291666667</v>
      </c>
      <c r="O46" s="75">
        <f t="shared" si="70"/>
        <v>-185803.51364166668</v>
      </c>
      <c r="P46" s="75">
        <f t="shared" si="70"/>
        <v>99738.457291666666</v>
      </c>
      <c r="Q46" s="75">
        <f t="shared" si="70"/>
        <v>101399.57729166666</v>
      </c>
      <c r="R46" s="75">
        <f t="shared" si="70"/>
        <v>103060.69729166666</v>
      </c>
      <c r="S46" s="75">
        <f t="shared" si="70"/>
        <v>104721.81729166667</v>
      </c>
      <c r="T46" s="75">
        <f t="shared" si="70"/>
        <v>106382.93729166666</v>
      </c>
      <c r="U46" s="75">
        <f t="shared" si="70"/>
        <v>108044.05729166666</v>
      </c>
      <c r="V46" s="75">
        <f t="shared" si="70"/>
        <v>109705.17729166667</v>
      </c>
      <c r="W46" s="75">
        <f t="shared" si="70"/>
        <v>111366.29729166666</v>
      </c>
      <c r="X46" s="75">
        <f t="shared" si="70"/>
        <v>113027.41729166666</v>
      </c>
      <c r="Y46" s="75">
        <f t="shared" si="70"/>
        <v>114688.53729166667</v>
      </c>
      <c r="Z46" s="75">
        <f t="shared" si="70"/>
        <v>116349.65729166666</v>
      </c>
      <c r="AA46" s="75">
        <f t="shared" si="70"/>
        <v>-75113.073641666677</v>
      </c>
      <c r="AB46" s="75">
        <f t="shared" si="70"/>
        <v>119671.89729166667</v>
      </c>
      <c r="AC46" s="75">
        <f t="shared" si="70"/>
        <v>121333.01729166666</v>
      </c>
      <c r="AD46" s="75">
        <f t="shared" si="70"/>
        <v>122994.13729166666</v>
      </c>
      <c r="AE46" s="75">
        <f t="shared" si="70"/>
        <v>124655.25729166667</v>
      </c>
      <c r="AF46" s="75">
        <f t="shared" si="70"/>
        <v>126316.37729166666</v>
      </c>
      <c r="AG46" s="75">
        <f t="shared" si="70"/>
        <v>127977.49729166666</v>
      </c>
      <c r="AH46" s="75">
        <f t="shared" si="70"/>
        <v>129638.61729166665</v>
      </c>
      <c r="AI46" s="75">
        <f t="shared" si="70"/>
        <v>131299.73729166668</v>
      </c>
      <c r="AJ46" s="75">
        <f t="shared" si="70"/>
        <v>132960.85729166667</v>
      </c>
      <c r="AK46" s="75">
        <f t="shared" si="70"/>
        <v>134621.97729166667</v>
      </c>
      <c r="AL46" s="75">
        <f t="shared" si="70"/>
        <v>136283.09729166667</v>
      </c>
      <c r="AM46" s="75">
        <f t="shared" si="70"/>
        <v>-55179.633641666675</v>
      </c>
      <c r="AN46" s="75">
        <f t="shared" si="70"/>
        <v>139605.33729166666</v>
      </c>
      <c r="AO46" s="75">
        <f t="shared" si="70"/>
        <v>141266.45729166668</v>
      </c>
      <c r="AP46" s="75">
        <f t="shared" si="70"/>
        <v>142927.57729166668</v>
      </c>
      <c r="AQ46" s="75">
        <f t="shared" si="70"/>
        <v>144588.69729166667</v>
      </c>
      <c r="AR46" s="75">
        <f t="shared" si="70"/>
        <v>146249.81729166667</v>
      </c>
      <c r="AS46" s="75">
        <f t="shared" si="70"/>
        <v>147910.93729166666</v>
      </c>
      <c r="AT46" s="75">
        <f t="shared" si="70"/>
        <v>149572.05729166666</v>
      </c>
      <c r="AU46" s="75">
        <f t="shared" si="70"/>
        <v>151233.17729166665</v>
      </c>
      <c r="AV46" s="75">
        <f t="shared" si="70"/>
        <v>152894.29729166665</v>
      </c>
      <c r="AW46" s="75">
        <f t="shared" si="70"/>
        <v>154555.41729166667</v>
      </c>
      <c r="AX46" s="75">
        <f t="shared" si="70"/>
        <v>156216.53729166667</v>
      </c>
      <c r="AY46" s="75">
        <f t="shared" si="70"/>
        <v>-35246.193641666672</v>
      </c>
      <c r="AZ46" s="75">
        <f t="shared" si="70"/>
        <v>172281.4</v>
      </c>
      <c r="BA46" s="75">
        <f t="shared" si="70"/>
        <v>173942.52</v>
      </c>
      <c r="BB46" s="75">
        <f t="shared" si="70"/>
        <v>175603.63999999998</v>
      </c>
      <c r="BC46" s="75">
        <f t="shared" si="70"/>
        <v>177264.76</v>
      </c>
      <c r="BD46" s="75">
        <f t="shared" si="70"/>
        <v>178925.88</v>
      </c>
      <c r="BE46" s="75">
        <f t="shared" si="70"/>
        <v>180587</v>
      </c>
      <c r="BF46" s="75">
        <f t="shared" si="70"/>
        <v>182248.12</v>
      </c>
      <c r="BG46" s="75">
        <f t="shared" si="70"/>
        <v>183909.24</v>
      </c>
      <c r="BH46" s="75">
        <f t="shared" si="70"/>
        <v>185570.36</v>
      </c>
      <c r="BI46" s="75">
        <f t="shared" si="70"/>
        <v>187231.48</v>
      </c>
      <c r="BJ46" s="75">
        <f t="shared" si="70"/>
        <v>188892.6</v>
      </c>
      <c r="BK46" s="75">
        <f t="shared" si="70"/>
        <v>190553.72</v>
      </c>
    </row>
    <row r="47" spans="2:63" x14ac:dyDescent="0.25">
      <c r="B47" t="s">
        <v>57</v>
      </c>
      <c r="C47" s="75">
        <f>-C44</f>
        <v>-1200190.0899999999</v>
      </c>
      <c r="D47" s="75">
        <f>+D46+D42</f>
        <v>40512.260000000009</v>
      </c>
      <c r="E47" s="75">
        <f t="shared" ref="E47:BK47" si="71">+E46+E42</f>
        <v>46054.800000000017</v>
      </c>
      <c r="F47" s="75">
        <f t="shared" si="71"/>
        <v>51767.16</v>
      </c>
      <c r="G47" s="75">
        <f t="shared" si="71"/>
        <v>57649.320000000007</v>
      </c>
      <c r="H47" s="75">
        <f t="shared" si="71"/>
        <v>63701.319999999992</v>
      </c>
      <c r="I47" s="75">
        <f t="shared" si="71"/>
        <v>69923.099999999991</v>
      </c>
      <c r="J47" s="75">
        <f t="shared" si="71"/>
        <v>76314.720000000001</v>
      </c>
      <c r="K47" s="75">
        <f t="shared" si="71"/>
        <v>82876.14</v>
      </c>
      <c r="L47" s="75">
        <f t="shared" si="71"/>
        <v>89607.38</v>
      </c>
      <c r="M47" s="75">
        <f t="shared" si="71"/>
        <v>96508.42</v>
      </c>
      <c r="N47" s="75">
        <f t="shared" si="71"/>
        <v>103579.3</v>
      </c>
      <c r="O47" s="75">
        <f t="shared" si="71"/>
        <v>-173060.89093333334</v>
      </c>
      <c r="P47" s="75">
        <f t="shared" si="71"/>
        <v>112481.08</v>
      </c>
      <c r="Q47" s="75">
        <f t="shared" si="71"/>
        <v>114142.2</v>
      </c>
      <c r="R47" s="75">
        <f t="shared" si="71"/>
        <v>115803.31999999999</v>
      </c>
      <c r="S47" s="75">
        <f t="shared" si="71"/>
        <v>117464.44</v>
      </c>
      <c r="T47" s="75">
        <f t="shared" si="71"/>
        <v>119125.56</v>
      </c>
      <c r="U47" s="75">
        <f t="shared" si="71"/>
        <v>120786.68</v>
      </c>
      <c r="V47" s="75">
        <f t="shared" si="71"/>
        <v>122447.8</v>
      </c>
      <c r="W47" s="75">
        <f t="shared" si="71"/>
        <v>124108.92</v>
      </c>
      <c r="X47" s="75">
        <f t="shared" si="71"/>
        <v>125770.04</v>
      </c>
      <c r="Y47" s="75">
        <f t="shared" si="71"/>
        <v>127431.16</v>
      </c>
      <c r="Z47" s="75">
        <f t="shared" si="71"/>
        <v>129092.28</v>
      </c>
      <c r="AA47" s="75">
        <f t="shared" si="71"/>
        <v>-62370.450933333341</v>
      </c>
      <c r="AB47" s="75">
        <f t="shared" si="71"/>
        <v>132414.51999999999</v>
      </c>
      <c r="AC47" s="75">
        <f t="shared" si="71"/>
        <v>134075.63999999998</v>
      </c>
      <c r="AD47" s="75">
        <f t="shared" si="71"/>
        <v>135736.75999999998</v>
      </c>
      <c r="AE47" s="75">
        <f t="shared" si="71"/>
        <v>137397.88</v>
      </c>
      <c r="AF47" s="75">
        <f t="shared" si="71"/>
        <v>139059</v>
      </c>
      <c r="AG47" s="75">
        <f t="shared" si="71"/>
        <v>140720.12</v>
      </c>
      <c r="AH47" s="75">
        <f t="shared" si="71"/>
        <v>142381.24</v>
      </c>
      <c r="AI47" s="75">
        <f t="shared" si="71"/>
        <v>144042.36000000002</v>
      </c>
      <c r="AJ47" s="75">
        <f t="shared" si="71"/>
        <v>145703.48000000001</v>
      </c>
      <c r="AK47" s="75">
        <f t="shared" si="71"/>
        <v>147364.6</v>
      </c>
      <c r="AL47" s="75">
        <f t="shared" si="71"/>
        <v>149025.72</v>
      </c>
      <c r="AM47" s="75">
        <f t="shared" si="71"/>
        <v>-42437.010933333338</v>
      </c>
      <c r="AN47" s="75">
        <f t="shared" si="71"/>
        <v>152347.96</v>
      </c>
      <c r="AO47" s="75">
        <f t="shared" si="71"/>
        <v>154009.08000000002</v>
      </c>
      <c r="AP47" s="75">
        <f t="shared" si="71"/>
        <v>155670.20000000001</v>
      </c>
      <c r="AQ47" s="75">
        <f t="shared" si="71"/>
        <v>157331.32</v>
      </c>
      <c r="AR47" s="75">
        <f t="shared" si="71"/>
        <v>158992.44</v>
      </c>
      <c r="AS47" s="75">
        <f t="shared" si="71"/>
        <v>160653.56</v>
      </c>
      <c r="AT47" s="75">
        <f t="shared" si="71"/>
        <v>162314.68</v>
      </c>
      <c r="AU47" s="75">
        <f t="shared" si="71"/>
        <v>163975.79999999999</v>
      </c>
      <c r="AV47" s="75">
        <f t="shared" si="71"/>
        <v>165636.91999999998</v>
      </c>
      <c r="AW47" s="75">
        <f t="shared" si="71"/>
        <v>167298.04</v>
      </c>
      <c r="AX47" s="75">
        <f t="shared" si="71"/>
        <v>168959.16</v>
      </c>
      <c r="AY47" s="75">
        <f t="shared" si="71"/>
        <v>-22503.570933333336</v>
      </c>
      <c r="AZ47" s="75">
        <f t="shared" si="71"/>
        <v>172281.4</v>
      </c>
      <c r="BA47" s="75">
        <f t="shared" si="71"/>
        <v>173942.52</v>
      </c>
      <c r="BB47" s="75">
        <f t="shared" si="71"/>
        <v>175603.63999999998</v>
      </c>
      <c r="BC47" s="75">
        <f t="shared" si="71"/>
        <v>177264.76</v>
      </c>
      <c r="BD47" s="75">
        <f t="shared" si="71"/>
        <v>178925.88</v>
      </c>
      <c r="BE47" s="75">
        <f t="shared" si="71"/>
        <v>180587</v>
      </c>
      <c r="BF47" s="75">
        <f t="shared" si="71"/>
        <v>182248.12</v>
      </c>
      <c r="BG47" s="75">
        <f t="shared" si="71"/>
        <v>183909.24</v>
      </c>
      <c r="BH47" s="75">
        <f t="shared" si="71"/>
        <v>185570.36</v>
      </c>
      <c r="BI47" s="75">
        <f t="shared" si="71"/>
        <v>187231.48</v>
      </c>
      <c r="BJ47" s="75">
        <f t="shared" si="71"/>
        <v>188892.6</v>
      </c>
      <c r="BK47" s="75">
        <f t="shared" si="71"/>
        <v>190553.72</v>
      </c>
    </row>
    <row r="48" spans="2:63" x14ac:dyDescent="0.25">
      <c r="B48" t="s">
        <v>311</v>
      </c>
      <c r="C48" s="75">
        <f>+C47</f>
        <v>-1200190.0899999999</v>
      </c>
      <c r="D48" s="75">
        <f>+C48+D47</f>
        <v>-1159677.8299999998</v>
      </c>
      <c r="E48" s="75">
        <f t="shared" ref="E48:BK48" si="72">+D48+E47</f>
        <v>-1113623.0299999998</v>
      </c>
      <c r="F48" s="75">
        <f t="shared" si="72"/>
        <v>-1061855.8699999999</v>
      </c>
      <c r="G48" s="75">
        <f t="shared" si="72"/>
        <v>-1004206.5499999998</v>
      </c>
      <c r="H48" s="75">
        <f t="shared" si="72"/>
        <v>-940505.22999999986</v>
      </c>
      <c r="I48" s="75">
        <f t="shared" si="72"/>
        <v>-870582.12999999989</v>
      </c>
      <c r="J48" s="75">
        <f t="shared" si="72"/>
        <v>-794267.40999999992</v>
      </c>
      <c r="K48" s="75">
        <f t="shared" si="72"/>
        <v>-711391.2699999999</v>
      </c>
      <c r="L48" s="75">
        <f t="shared" si="72"/>
        <v>-621783.8899999999</v>
      </c>
      <c r="M48" s="75">
        <f t="shared" si="72"/>
        <v>-525275.46999999986</v>
      </c>
      <c r="N48" s="75">
        <f t="shared" si="72"/>
        <v>-421696.16999999987</v>
      </c>
      <c r="O48" s="75">
        <f t="shared" si="72"/>
        <v>-594757.06093333324</v>
      </c>
      <c r="P48" s="75">
        <f t="shared" si="72"/>
        <v>-482275.98093333322</v>
      </c>
      <c r="Q48" s="75">
        <f t="shared" si="72"/>
        <v>-368133.78093333321</v>
      </c>
      <c r="R48" s="75">
        <f t="shared" si="72"/>
        <v>-252330.4609333332</v>
      </c>
      <c r="S48" s="75">
        <f t="shared" si="72"/>
        <v>-134866.0209333332</v>
      </c>
      <c r="T48" s="75">
        <f t="shared" si="72"/>
        <v>-15740.460933333205</v>
      </c>
      <c r="U48" s="75">
        <f t="shared" si="72"/>
        <v>105046.21906666679</v>
      </c>
      <c r="V48" s="75">
        <f t="shared" si="72"/>
        <v>227494.01906666678</v>
      </c>
      <c r="W48" s="75">
        <f t="shared" si="72"/>
        <v>351602.93906666676</v>
      </c>
      <c r="X48" s="75">
        <f t="shared" si="72"/>
        <v>477372.97906666674</v>
      </c>
      <c r="Y48" s="75">
        <f t="shared" si="72"/>
        <v>604804.13906666671</v>
      </c>
      <c r="Z48" s="75">
        <f t="shared" si="72"/>
        <v>733896.41906666674</v>
      </c>
      <c r="AA48" s="75">
        <f t="shared" si="72"/>
        <v>671525.96813333337</v>
      </c>
      <c r="AB48" s="75">
        <f t="shared" si="72"/>
        <v>803940.48813333339</v>
      </c>
      <c r="AC48" s="75">
        <f t="shared" si="72"/>
        <v>938016.1281333334</v>
      </c>
      <c r="AD48" s="75">
        <f t="shared" si="72"/>
        <v>1073752.8881333333</v>
      </c>
      <c r="AE48" s="75">
        <f t="shared" si="72"/>
        <v>1211150.7681333334</v>
      </c>
      <c r="AF48" s="75">
        <f t="shared" si="72"/>
        <v>1350209.7681333334</v>
      </c>
      <c r="AG48" s="75">
        <f t="shared" si="72"/>
        <v>1490929.8881333335</v>
      </c>
      <c r="AH48" s="75">
        <f t="shared" si="72"/>
        <v>1633311.1281333335</v>
      </c>
      <c r="AI48" s="75">
        <f t="shared" si="72"/>
        <v>1777353.4881333336</v>
      </c>
      <c r="AJ48" s="75">
        <f t="shared" si="72"/>
        <v>1923056.9681333336</v>
      </c>
      <c r="AK48" s="75">
        <f t="shared" si="72"/>
        <v>2070421.5681333337</v>
      </c>
      <c r="AL48" s="75">
        <f t="shared" si="72"/>
        <v>2219447.2881333339</v>
      </c>
      <c r="AM48" s="75">
        <f t="shared" si="72"/>
        <v>2177010.2772000004</v>
      </c>
      <c r="AN48" s="75">
        <f t="shared" si="72"/>
        <v>2329358.2372000003</v>
      </c>
      <c r="AO48" s="75">
        <f t="shared" si="72"/>
        <v>2483367.3172000004</v>
      </c>
      <c r="AP48" s="75">
        <f t="shared" si="72"/>
        <v>2639037.5172000006</v>
      </c>
      <c r="AQ48" s="75">
        <f t="shared" si="72"/>
        <v>2796368.8372000004</v>
      </c>
      <c r="AR48" s="75">
        <f t="shared" si="72"/>
        <v>2955361.2772000004</v>
      </c>
      <c r="AS48" s="75">
        <f t="shared" si="72"/>
        <v>3116014.8372000004</v>
      </c>
      <c r="AT48" s="75">
        <f t="shared" si="72"/>
        <v>3278329.5172000006</v>
      </c>
      <c r="AU48" s="75">
        <f t="shared" si="72"/>
        <v>3442305.3172000004</v>
      </c>
      <c r="AV48" s="75">
        <f t="shared" si="72"/>
        <v>3607942.2372000003</v>
      </c>
      <c r="AW48" s="75">
        <f t="shared" si="72"/>
        <v>3775240.2772000004</v>
      </c>
      <c r="AX48" s="75">
        <f t="shared" si="72"/>
        <v>3944199.4372000005</v>
      </c>
      <c r="AY48" s="75">
        <f t="shared" si="72"/>
        <v>3921695.8662666674</v>
      </c>
      <c r="AZ48" s="75">
        <f t="shared" si="72"/>
        <v>4093977.2662666673</v>
      </c>
      <c r="BA48" s="75">
        <f t="shared" si="72"/>
        <v>4267919.7862666668</v>
      </c>
      <c r="BB48" s="75">
        <f t="shared" si="72"/>
        <v>4443523.4262666665</v>
      </c>
      <c r="BC48" s="75">
        <f t="shared" si="72"/>
        <v>4620788.1862666663</v>
      </c>
      <c r="BD48" s="75">
        <f t="shared" si="72"/>
        <v>4799714.0662666662</v>
      </c>
      <c r="BE48" s="75">
        <f t="shared" si="72"/>
        <v>4980301.0662666662</v>
      </c>
      <c r="BF48" s="75">
        <f t="shared" si="72"/>
        <v>5162549.1862666663</v>
      </c>
      <c r="BG48" s="75">
        <f t="shared" si="72"/>
        <v>5346458.4262666665</v>
      </c>
      <c r="BH48" s="75">
        <f t="shared" si="72"/>
        <v>5532028.7862666668</v>
      </c>
      <c r="BI48" s="75">
        <f t="shared" si="72"/>
        <v>5719260.2662666673</v>
      </c>
      <c r="BJ48" s="75">
        <f t="shared" si="72"/>
        <v>5908152.8662666669</v>
      </c>
      <c r="BK48" s="75">
        <f t="shared" si="72"/>
        <v>6098706.5862666667</v>
      </c>
    </row>
    <row r="49" spans="2:63" x14ac:dyDescent="0.25"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</row>
    <row r="50" spans="2:63" x14ac:dyDescent="0.25">
      <c r="B50" t="s">
        <v>63</v>
      </c>
      <c r="C50" s="19">
        <f>+IRR(C47:BK47)*12</f>
        <v>0.82310594179468222</v>
      </c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</row>
    <row r="51" spans="2:63" x14ac:dyDescent="0.25">
      <c r="B51" t="s">
        <v>312</v>
      </c>
      <c r="C51" s="75">
        <f>+NPV(C52/12,D47:BK47)+C47</f>
        <v>2977881.4144075066</v>
      </c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</row>
    <row r="52" spans="2:63" x14ac:dyDescent="0.25">
      <c r="B52" t="s">
        <v>313</v>
      </c>
      <c r="C52" s="19">
        <v>0.19950000000000001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</row>
    <row r="53" spans="2:63" x14ac:dyDescent="0.25">
      <c r="B53" t="s">
        <v>314</v>
      </c>
      <c r="C53" s="105">
        <f>+BK57</f>
        <v>4878478.68</v>
      </c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</row>
    <row r="54" spans="2:63" x14ac:dyDescent="0.25"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</row>
    <row r="55" spans="2:63" x14ac:dyDescent="0.25"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</row>
    <row r="56" spans="2:63" x14ac:dyDescent="0.25">
      <c r="B56" t="s">
        <v>239</v>
      </c>
      <c r="C56" s="75"/>
      <c r="D56" s="75">
        <f>+D37-D38</f>
        <v>4730.4999999999854</v>
      </c>
      <c r="E56" s="75">
        <f t="shared" ref="E56:O56" si="73">+E37-E38</f>
        <v>9630.8000000000029</v>
      </c>
      <c r="F56" s="75">
        <f t="shared" si="73"/>
        <v>14700.920000000013</v>
      </c>
      <c r="G56" s="75">
        <f t="shared" si="73"/>
        <v>19940.839999999982</v>
      </c>
      <c r="H56" s="75">
        <f t="shared" si="73"/>
        <v>25350.599999999991</v>
      </c>
      <c r="I56" s="75">
        <f t="shared" si="73"/>
        <v>30930.14</v>
      </c>
      <c r="J56" s="75">
        <f t="shared" si="73"/>
        <v>36679.520000000019</v>
      </c>
      <c r="K56" s="75">
        <f t="shared" si="73"/>
        <v>42598.7</v>
      </c>
      <c r="L56" s="75">
        <f t="shared" si="73"/>
        <v>48687.700000000012</v>
      </c>
      <c r="M56" s="75">
        <f t="shared" si="73"/>
        <v>54946.500000000015</v>
      </c>
      <c r="N56" s="75">
        <f t="shared" si="73"/>
        <v>61375.14</v>
      </c>
      <c r="O56" s="75">
        <f t="shared" si="73"/>
        <v>67973.56</v>
      </c>
      <c r="P56" s="75">
        <f t="shared" ref="P56" si="74">+P37-P38</f>
        <v>68992.440000000017</v>
      </c>
      <c r="Q56" s="75">
        <f t="shared" ref="Q56" si="75">+Q37-Q38</f>
        <v>70011.319999999992</v>
      </c>
      <c r="R56" s="75">
        <f t="shared" ref="R56" si="76">+R37-R38</f>
        <v>71030.2</v>
      </c>
      <c r="S56" s="75">
        <f t="shared" ref="S56" si="77">+S37-S38</f>
        <v>72049.080000000016</v>
      </c>
      <c r="T56" s="75">
        <f t="shared" ref="T56" si="78">+T37-T38</f>
        <v>73067.959999999992</v>
      </c>
      <c r="U56" s="75">
        <f t="shared" ref="U56" si="79">+U37-U38</f>
        <v>74086.84</v>
      </c>
      <c r="V56" s="75">
        <f t="shared" ref="V56" si="80">+V37-V38</f>
        <v>75105.720000000016</v>
      </c>
      <c r="W56" s="75">
        <f t="shared" ref="W56" si="81">+W37-W38</f>
        <v>76124.599999999991</v>
      </c>
      <c r="X56" s="75">
        <f t="shared" ref="X56" si="82">+X37-X38</f>
        <v>77143.48</v>
      </c>
      <c r="Y56" s="75">
        <f t="shared" ref="Y56" si="83">+Y37-Y38</f>
        <v>78162.360000000015</v>
      </c>
      <c r="Z56" s="75">
        <f t="shared" ref="Z56" si="84">+Z37-Z38</f>
        <v>79181.239999999991</v>
      </c>
      <c r="AA56" s="75">
        <f t="shared" ref="AA56" si="85">+AA37-AA38</f>
        <v>80200.12</v>
      </c>
      <c r="AB56" s="75">
        <f t="shared" ref="AB56" si="86">+AB37-AB38</f>
        <v>81219.000000000015</v>
      </c>
      <c r="AC56" s="75">
        <f t="shared" ref="AC56" si="87">+AC37-AC38</f>
        <v>82237.87999999999</v>
      </c>
      <c r="AD56" s="75">
        <f t="shared" ref="AD56" si="88">+AD37-AD38</f>
        <v>83256.759999999995</v>
      </c>
      <c r="AE56" s="75">
        <f t="shared" ref="AE56" si="89">+AE37-AE38</f>
        <v>84275.640000000014</v>
      </c>
      <c r="AF56" s="75">
        <f t="shared" ref="AF56" si="90">+AF37-AF38</f>
        <v>85294.520000000019</v>
      </c>
      <c r="AG56" s="75">
        <f t="shared" ref="AG56" si="91">+AG37-AG38</f>
        <v>86313.4</v>
      </c>
      <c r="AH56" s="75">
        <f t="shared" ref="AH56" si="92">+AH37-AH38</f>
        <v>87332.28</v>
      </c>
      <c r="AI56" s="75">
        <f t="shared" ref="AI56" si="93">+AI37-AI38</f>
        <v>88351.160000000018</v>
      </c>
      <c r="AJ56" s="75">
        <f t="shared" ref="AJ56" si="94">+AJ37-AJ38</f>
        <v>89370.04</v>
      </c>
      <c r="AK56" s="75">
        <f t="shared" ref="AK56" si="95">+AK37-AK38</f>
        <v>90388.92</v>
      </c>
      <c r="AL56" s="75">
        <f t="shared" ref="AL56" si="96">+AL37-AL38</f>
        <v>91407.800000000017</v>
      </c>
      <c r="AM56" s="75">
        <f t="shared" ref="AM56" si="97">+AM37-AM38</f>
        <v>92426.68</v>
      </c>
      <c r="AN56" s="75">
        <f t="shared" ref="AN56" si="98">+AN37-AN38</f>
        <v>93445.56</v>
      </c>
      <c r="AO56" s="75">
        <f t="shared" ref="AO56" si="99">+AO37-AO38</f>
        <v>94464.440000000017</v>
      </c>
      <c r="AP56" s="75">
        <f t="shared" ref="AP56" si="100">+AP37-AP38</f>
        <v>95483.319999999992</v>
      </c>
      <c r="AQ56" s="75">
        <f t="shared" ref="AQ56" si="101">+AQ37-AQ38</f>
        <v>96502.2</v>
      </c>
      <c r="AR56" s="75">
        <f t="shared" ref="AR56" si="102">+AR37-AR38</f>
        <v>97521.080000000016</v>
      </c>
      <c r="AS56" s="75">
        <f t="shared" ref="AS56" si="103">+AS37-AS38</f>
        <v>98539.959999999992</v>
      </c>
      <c r="AT56" s="75">
        <f t="shared" ref="AT56" si="104">+AT37-AT38</f>
        <v>99558.84</v>
      </c>
      <c r="AU56" s="75">
        <f t="shared" ref="AU56" si="105">+AU37-AU38</f>
        <v>100577.72</v>
      </c>
      <c r="AV56" s="75">
        <f t="shared" ref="AV56" si="106">+AV37-AV38</f>
        <v>101596.59999999998</v>
      </c>
      <c r="AW56" s="75">
        <f t="shared" ref="AW56" si="107">+AW37-AW38</f>
        <v>102615.48000000001</v>
      </c>
      <c r="AX56" s="75">
        <f t="shared" ref="AX56" si="108">+AX37-AX38</f>
        <v>103634.36000000002</v>
      </c>
      <c r="AY56" s="75">
        <f t="shared" ref="AY56" si="109">+AY37-AY38</f>
        <v>104653.23999999999</v>
      </c>
      <c r="AZ56" s="75">
        <f t="shared" ref="AZ56" si="110">+AZ37-AZ38</f>
        <v>105672.12</v>
      </c>
      <c r="BA56" s="75">
        <f t="shared" ref="BA56" si="111">+BA37-BA38</f>
        <v>106691</v>
      </c>
      <c r="BB56" s="75">
        <f t="shared" ref="BB56" si="112">+BB37-BB38</f>
        <v>107709.87999999998</v>
      </c>
      <c r="BC56" s="75">
        <f t="shared" ref="BC56" si="113">+BC37-BC38</f>
        <v>108728.76000000001</v>
      </c>
      <c r="BD56" s="75">
        <f t="shared" ref="BD56" si="114">+BD37-BD38</f>
        <v>109747.64000000001</v>
      </c>
      <c r="BE56" s="75">
        <f t="shared" ref="BE56" si="115">+BE37-BE38</f>
        <v>110766.52000000002</v>
      </c>
      <c r="BF56" s="75">
        <f t="shared" ref="BF56" si="116">+BF37-BF38</f>
        <v>111785.4</v>
      </c>
      <c r="BG56" s="75">
        <f t="shared" ref="BG56" si="117">+BG37-BG38</f>
        <v>112804.28</v>
      </c>
      <c r="BH56" s="75">
        <f t="shared" ref="BH56" si="118">+BH37-BH38</f>
        <v>113823.15999999997</v>
      </c>
      <c r="BI56" s="75">
        <f t="shared" ref="BI56" si="119">+BI37-BI38</f>
        <v>114842.04000000001</v>
      </c>
      <c r="BJ56" s="75">
        <f t="shared" ref="BJ56" si="120">+BJ37-BJ38</f>
        <v>115860.92000000001</v>
      </c>
      <c r="BK56" s="75">
        <f t="shared" ref="BK56" si="121">+BK37-BK38</f>
        <v>116879.80000000002</v>
      </c>
    </row>
    <row r="57" spans="2:63" x14ac:dyDescent="0.25">
      <c r="B57" t="s">
        <v>240</v>
      </c>
      <c r="C57" s="75"/>
      <c r="D57" s="75">
        <f>+D56</f>
        <v>4730.4999999999854</v>
      </c>
      <c r="E57" s="75">
        <f>+D57+E56</f>
        <v>14361.299999999988</v>
      </c>
      <c r="F57" s="75">
        <f t="shared" ref="F57:O57" si="122">+E57+F56</f>
        <v>29062.22</v>
      </c>
      <c r="G57" s="75">
        <f t="shared" si="122"/>
        <v>49003.059999999983</v>
      </c>
      <c r="H57" s="75">
        <f t="shared" si="122"/>
        <v>74353.659999999974</v>
      </c>
      <c r="I57" s="75">
        <f t="shared" si="122"/>
        <v>105283.79999999997</v>
      </c>
      <c r="J57" s="75">
        <f t="shared" si="122"/>
        <v>141963.32</v>
      </c>
      <c r="K57" s="75">
        <f t="shared" si="122"/>
        <v>184562.02000000002</v>
      </c>
      <c r="L57" s="75">
        <f t="shared" si="122"/>
        <v>233249.72000000003</v>
      </c>
      <c r="M57" s="75">
        <f t="shared" si="122"/>
        <v>288196.22000000003</v>
      </c>
      <c r="N57" s="75">
        <f t="shared" si="122"/>
        <v>349571.36000000004</v>
      </c>
      <c r="O57" s="75">
        <f t="shared" si="122"/>
        <v>417544.92000000004</v>
      </c>
      <c r="P57" s="75">
        <f t="shared" ref="P57" si="123">+O57+P56</f>
        <v>486537.36000000004</v>
      </c>
      <c r="Q57" s="75">
        <f t="shared" ref="Q57" si="124">+P57+Q56</f>
        <v>556548.68000000005</v>
      </c>
      <c r="R57" s="75">
        <f t="shared" ref="R57" si="125">+Q57+R56</f>
        <v>627578.88</v>
      </c>
      <c r="S57" s="75">
        <f t="shared" ref="S57" si="126">+R57+S56</f>
        <v>699627.96</v>
      </c>
      <c r="T57" s="75">
        <f t="shared" ref="T57" si="127">+S57+T56</f>
        <v>772695.91999999993</v>
      </c>
      <c r="U57" s="75">
        <f t="shared" ref="U57" si="128">+T57+U56</f>
        <v>846782.75999999989</v>
      </c>
      <c r="V57" s="75">
        <f t="shared" ref="V57" si="129">+U57+V56</f>
        <v>921888.47999999986</v>
      </c>
      <c r="W57" s="75">
        <f t="shared" ref="W57" si="130">+V57+W56</f>
        <v>998013.07999999984</v>
      </c>
      <c r="X57" s="75">
        <f t="shared" ref="X57" si="131">+W57+X56</f>
        <v>1075156.5599999998</v>
      </c>
      <c r="Y57" s="75">
        <f t="shared" ref="Y57" si="132">+X57+Y56</f>
        <v>1153318.92</v>
      </c>
      <c r="Z57" s="75">
        <f t="shared" ref="Z57" si="133">+Y57+Z56</f>
        <v>1232500.1599999999</v>
      </c>
      <c r="AA57" s="75">
        <f t="shared" ref="AA57" si="134">+Z57+AA56</f>
        <v>1312700.2799999998</v>
      </c>
      <c r="AB57" s="75">
        <f t="shared" ref="AB57" si="135">+AA57+AB56</f>
        <v>1393919.2799999998</v>
      </c>
      <c r="AC57" s="75">
        <f t="shared" ref="AC57" si="136">+AB57+AC56</f>
        <v>1476157.1599999997</v>
      </c>
      <c r="AD57" s="75">
        <f t="shared" ref="AD57" si="137">+AC57+AD56</f>
        <v>1559413.9199999997</v>
      </c>
      <c r="AE57" s="75">
        <f t="shared" ref="AE57" si="138">+AD57+AE56</f>
        <v>1643689.5599999996</v>
      </c>
      <c r="AF57" s="75">
        <f t="shared" ref="AF57" si="139">+AE57+AF56</f>
        <v>1728984.0799999996</v>
      </c>
      <c r="AG57" s="75">
        <f t="shared" ref="AG57" si="140">+AF57+AG56</f>
        <v>1815297.4799999995</v>
      </c>
      <c r="AH57" s="75">
        <f t="shared" ref="AH57" si="141">+AG57+AH56</f>
        <v>1902629.7599999995</v>
      </c>
      <c r="AI57" s="75">
        <f t="shared" ref="AI57" si="142">+AH57+AI56</f>
        <v>1990980.9199999995</v>
      </c>
      <c r="AJ57" s="75">
        <f t="shared" ref="AJ57" si="143">+AI57+AJ56</f>
        <v>2080350.9599999995</v>
      </c>
      <c r="AK57" s="75">
        <f t="shared" ref="AK57" si="144">+AJ57+AK56</f>
        <v>2170739.8799999994</v>
      </c>
      <c r="AL57" s="75">
        <f t="shared" ref="AL57" si="145">+AK57+AL56</f>
        <v>2262147.6799999992</v>
      </c>
      <c r="AM57" s="75">
        <f t="shared" ref="AM57" si="146">+AL57+AM56</f>
        <v>2354574.3599999994</v>
      </c>
      <c r="AN57" s="75">
        <f t="shared" ref="AN57" si="147">+AM57+AN56</f>
        <v>2448019.9199999995</v>
      </c>
      <c r="AO57" s="75">
        <f t="shared" ref="AO57" si="148">+AN57+AO56</f>
        <v>2542484.3599999994</v>
      </c>
      <c r="AP57" s="75">
        <f t="shared" ref="AP57" si="149">+AO57+AP56</f>
        <v>2637967.6799999992</v>
      </c>
      <c r="AQ57" s="75">
        <f t="shared" ref="AQ57" si="150">+AP57+AQ56</f>
        <v>2734469.8799999994</v>
      </c>
      <c r="AR57" s="75">
        <f t="shared" ref="AR57" si="151">+AQ57+AR56</f>
        <v>2831990.9599999995</v>
      </c>
      <c r="AS57" s="75">
        <f t="shared" ref="AS57" si="152">+AR57+AS56</f>
        <v>2930530.9199999995</v>
      </c>
      <c r="AT57" s="75">
        <f t="shared" ref="AT57" si="153">+AS57+AT56</f>
        <v>3030089.7599999993</v>
      </c>
      <c r="AU57" s="75">
        <f t="shared" ref="AU57" si="154">+AT57+AU56</f>
        <v>3130667.4799999995</v>
      </c>
      <c r="AV57" s="75">
        <f t="shared" ref="AV57" si="155">+AU57+AV56</f>
        <v>3232264.0799999996</v>
      </c>
      <c r="AW57" s="75">
        <f t="shared" ref="AW57" si="156">+AV57+AW56</f>
        <v>3334879.5599999996</v>
      </c>
      <c r="AX57" s="75">
        <f t="shared" ref="AX57" si="157">+AW57+AX56</f>
        <v>3438513.9199999995</v>
      </c>
      <c r="AY57" s="75">
        <f t="shared" ref="AY57" si="158">+AX57+AY56</f>
        <v>3543167.1599999992</v>
      </c>
      <c r="AZ57" s="75">
        <f t="shared" ref="AZ57" si="159">+AY57+AZ56</f>
        <v>3648839.2799999993</v>
      </c>
      <c r="BA57" s="75">
        <f t="shared" ref="BA57" si="160">+AZ57+BA56</f>
        <v>3755530.2799999993</v>
      </c>
      <c r="BB57" s="75">
        <f t="shared" ref="BB57" si="161">+BA57+BB56</f>
        <v>3863240.1599999992</v>
      </c>
      <c r="BC57" s="75">
        <f t="shared" ref="BC57" si="162">+BB57+BC56</f>
        <v>3971968.919999999</v>
      </c>
      <c r="BD57" s="75">
        <f t="shared" ref="BD57" si="163">+BC57+BD56</f>
        <v>4081716.5599999991</v>
      </c>
      <c r="BE57" s="75">
        <f t="shared" ref="BE57" si="164">+BD57+BE56</f>
        <v>4192483.0799999991</v>
      </c>
      <c r="BF57" s="75">
        <f t="shared" ref="BF57" si="165">+BE57+BF56</f>
        <v>4304268.4799999995</v>
      </c>
      <c r="BG57" s="75">
        <f t="shared" ref="BG57" si="166">+BF57+BG56</f>
        <v>4417072.76</v>
      </c>
      <c r="BH57" s="75">
        <f t="shared" ref="BH57" si="167">+BG57+BH56</f>
        <v>4530895.92</v>
      </c>
      <c r="BI57" s="75">
        <f t="shared" ref="BI57" si="168">+BH57+BI56</f>
        <v>4645737.96</v>
      </c>
      <c r="BJ57" s="75">
        <f t="shared" ref="BJ57" si="169">+BI57+BJ56</f>
        <v>4761598.88</v>
      </c>
      <c r="BK57" s="75">
        <f t="shared" ref="BK57" si="170">+BJ57+BK56</f>
        <v>4878478.68</v>
      </c>
    </row>
    <row r="58" spans="2:63" x14ac:dyDescent="0.25">
      <c r="C58" s="75"/>
    </row>
    <row r="59" spans="2:63" x14ac:dyDescent="0.25">
      <c r="C59" s="75"/>
    </row>
    <row r="60" spans="2:63" x14ac:dyDescent="0.25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</row>
    <row r="61" spans="2:63" x14ac:dyDescent="0.25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</row>
    <row r="62" spans="2:63" x14ac:dyDescent="0.25">
      <c r="C62" s="75"/>
    </row>
    <row r="63" spans="2:63" x14ac:dyDescent="0.25">
      <c r="C63" s="75"/>
    </row>
    <row r="64" spans="2:63" x14ac:dyDescent="0.25">
      <c r="C64" s="75"/>
    </row>
    <row r="65" spans="3:3" x14ac:dyDescent="0.25">
      <c r="C65" s="75"/>
    </row>
    <row r="66" spans="3:3" x14ac:dyDescent="0.25">
      <c r="C66" s="7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8"/>
  <sheetViews>
    <sheetView workbookViewId="0">
      <selection activeCell="C5" sqref="C5"/>
    </sheetView>
  </sheetViews>
  <sheetFormatPr baseColWidth="10" defaultRowHeight="15" x14ac:dyDescent="0.25"/>
  <cols>
    <col min="3" max="3" width="15.140625" bestFit="1" customWidth="1"/>
    <col min="6" max="7" width="13.28515625" customWidth="1"/>
    <col min="8" max="8" width="14.42578125" hidden="1" customWidth="1"/>
    <col min="9" max="9" width="18.42578125" hidden="1" customWidth="1"/>
  </cols>
  <sheetData>
    <row r="3" spans="2:11" x14ac:dyDescent="0.25">
      <c r="B3" s="12" t="s">
        <v>316</v>
      </c>
      <c r="F3" t="s">
        <v>54</v>
      </c>
      <c r="G3" t="s">
        <v>394</v>
      </c>
      <c r="H3" t="s">
        <v>320</v>
      </c>
      <c r="I3" t="s">
        <v>321</v>
      </c>
    </row>
    <row r="4" spans="2:11" x14ac:dyDescent="0.25">
      <c r="E4" t="s">
        <v>68</v>
      </c>
      <c r="F4" s="2">
        <f>+'CN (Dana) 1'!D31</f>
        <v>227716080</v>
      </c>
      <c r="G4" s="2">
        <f>F4/12</f>
        <v>18976340</v>
      </c>
      <c r="H4" s="5">
        <f>+($C$5*$B$5+(F4-$C$5)*$B$6)*1.12</f>
        <v>237633.60768000002</v>
      </c>
      <c r="I4" s="5">
        <f>H4/12</f>
        <v>19802.800640000001</v>
      </c>
    </row>
    <row r="5" spans="2:11" x14ac:dyDescent="0.25">
      <c r="B5">
        <v>1E-3</v>
      </c>
      <c r="C5" s="2">
        <v>150000000</v>
      </c>
      <c r="E5" t="s">
        <v>69</v>
      </c>
      <c r="F5" s="2">
        <f>+'CN (Dana) 1'!P31</f>
        <v>272356080</v>
      </c>
      <c r="G5" s="2">
        <f t="shared" ref="G5:G8" si="0">F5/12</f>
        <v>22696340</v>
      </c>
      <c r="H5" s="5">
        <f t="shared" ref="H5:H8" si="1">+($C$5*$B$5+(F5-$C$5)*$B$6)*1.12</f>
        <v>277631.04768000002</v>
      </c>
      <c r="I5" s="5">
        <f t="shared" ref="I5:I8" si="2">H5/12</f>
        <v>23135.92064</v>
      </c>
      <c r="J5" s="19">
        <f>G5/G4-1</f>
        <v>0.19603358708792107</v>
      </c>
    </row>
    <row r="6" spans="2:11" x14ac:dyDescent="0.25">
      <c r="B6">
        <v>8.0000000000000004E-4</v>
      </c>
      <c r="C6" t="s">
        <v>317</v>
      </c>
      <c r="E6" t="s">
        <v>70</v>
      </c>
      <c r="F6" s="2">
        <f>+'CN (Dana) 1'!AB31</f>
        <v>316996080</v>
      </c>
      <c r="G6" s="2">
        <f t="shared" si="0"/>
        <v>26416340</v>
      </c>
      <c r="H6" s="5">
        <f t="shared" si="1"/>
        <v>317628.48768000002</v>
      </c>
      <c r="I6" s="5">
        <f t="shared" si="2"/>
        <v>26469.040640000003</v>
      </c>
      <c r="J6" s="19">
        <f t="shared" ref="J6:J8" si="3">G6/G5-1</f>
        <v>0.1639030786461606</v>
      </c>
    </row>
    <row r="7" spans="2:11" x14ac:dyDescent="0.25">
      <c r="E7" t="s">
        <v>318</v>
      </c>
      <c r="F7" s="2">
        <f>+'CN (Dana) 1'!AN31</f>
        <v>354196080</v>
      </c>
      <c r="G7" s="2">
        <f t="shared" si="0"/>
        <v>29516340</v>
      </c>
      <c r="H7" s="5">
        <f t="shared" si="1"/>
        <v>350959.68768000003</v>
      </c>
      <c r="I7" s="5">
        <f t="shared" si="2"/>
        <v>29246.640640000001</v>
      </c>
      <c r="J7" s="19">
        <f t="shared" si="3"/>
        <v>0.11735160889055796</v>
      </c>
    </row>
    <row r="8" spans="2:11" x14ac:dyDescent="0.25">
      <c r="E8" t="s">
        <v>319</v>
      </c>
      <c r="F8" s="2">
        <f>+'CN (Dana) 1'!AZ31</f>
        <v>398836080</v>
      </c>
      <c r="G8" s="2">
        <f t="shared" si="0"/>
        <v>33236340</v>
      </c>
      <c r="H8" s="5">
        <f t="shared" si="1"/>
        <v>390957.12768000003</v>
      </c>
      <c r="I8" s="5">
        <f t="shared" si="2"/>
        <v>32579.760640000004</v>
      </c>
      <c r="J8" s="19">
        <f t="shared" si="3"/>
        <v>0.12603188606717497</v>
      </c>
      <c r="K8">
        <f>F8/F4-1</f>
        <v>0.75146208383703073</v>
      </c>
    </row>
    <row r="9" spans="2:11" x14ac:dyDescent="0.25">
      <c r="F9" s="2"/>
      <c r="G9" s="2"/>
      <c r="H9" s="5"/>
      <c r="I9" s="5"/>
    </row>
    <row r="11" spans="2:11" x14ac:dyDescent="0.25">
      <c r="B11" t="s">
        <v>322</v>
      </c>
    </row>
    <row r="12" spans="2:11" x14ac:dyDescent="0.25">
      <c r="B12" t="s">
        <v>323</v>
      </c>
      <c r="C12" s="5">
        <v>20250</v>
      </c>
      <c r="E12" t="s">
        <v>68</v>
      </c>
      <c r="F12" s="3">
        <f>+F4</f>
        <v>227716080</v>
      </c>
      <c r="G12" s="2">
        <f>F12/12</f>
        <v>18976340</v>
      </c>
      <c r="H12" s="5">
        <f>+($C$12*12)*1.12</f>
        <v>272160</v>
      </c>
    </row>
    <row r="13" spans="2:11" x14ac:dyDescent="0.25">
      <c r="E13" t="s">
        <v>69</v>
      </c>
      <c r="F13" s="3">
        <f>+F5</f>
        <v>272356080</v>
      </c>
      <c r="G13" s="2">
        <f t="shared" ref="G13:G16" si="4">F13/12</f>
        <v>22696340</v>
      </c>
      <c r="H13" s="5">
        <f t="shared" ref="H13:H16" si="5">+($C$12*12)*1.12</f>
        <v>272160</v>
      </c>
    </row>
    <row r="14" spans="2:11" x14ac:dyDescent="0.25">
      <c r="E14" t="s">
        <v>70</v>
      </c>
      <c r="F14" s="3">
        <f>+F6</f>
        <v>316996080</v>
      </c>
      <c r="G14" s="2">
        <f t="shared" si="4"/>
        <v>26416340</v>
      </c>
      <c r="H14" s="5">
        <f t="shared" si="5"/>
        <v>272160</v>
      </c>
    </row>
    <row r="15" spans="2:11" x14ac:dyDescent="0.25">
      <c r="E15" t="s">
        <v>318</v>
      </c>
      <c r="F15" s="3">
        <f>+F7</f>
        <v>354196080</v>
      </c>
      <c r="G15" s="2">
        <f t="shared" si="4"/>
        <v>29516340</v>
      </c>
      <c r="H15" s="5">
        <f t="shared" si="5"/>
        <v>272160</v>
      </c>
    </row>
    <row r="16" spans="2:11" x14ac:dyDescent="0.25">
      <c r="E16" t="s">
        <v>319</v>
      </c>
      <c r="F16" s="3">
        <f>+F8</f>
        <v>398836080</v>
      </c>
      <c r="G16" s="2">
        <f t="shared" si="4"/>
        <v>33236340</v>
      </c>
      <c r="H16" s="5">
        <f t="shared" si="5"/>
        <v>272160</v>
      </c>
      <c r="I16" s="2"/>
    </row>
    <row r="17" spans="2:7" x14ac:dyDescent="0.25">
      <c r="B17" t="s">
        <v>324</v>
      </c>
    </row>
    <row r="18" spans="2:7" x14ac:dyDescent="0.25">
      <c r="C18">
        <v>250000</v>
      </c>
      <c r="F18" s="5">
        <f>(200000+(80000*0.0008))*1.12</f>
        <v>224071.68000000002</v>
      </c>
      <c r="G1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topLeftCell="A13" zoomScale="85" zoomScaleNormal="85" workbookViewId="0">
      <selection activeCell="D35" sqref="D35"/>
    </sheetView>
  </sheetViews>
  <sheetFormatPr baseColWidth="10" defaultRowHeight="15" x14ac:dyDescent="0.25"/>
  <cols>
    <col min="2" max="2" width="17.140625" customWidth="1"/>
    <col min="3" max="3" width="31.5703125" customWidth="1"/>
    <col min="4" max="4" width="14" customWidth="1"/>
    <col min="5" max="5" width="12.85546875" customWidth="1"/>
    <col min="6" max="6" width="12.5703125" bestFit="1" customWidth="1"/>
    <col min="10" max="10" width="13.140625" bestFit="1" customWidth="1"/>
  </cols>
  <sheetData>
    <row r="1" spans="2:13" x14ac:dyDescent="0.25">
      <c r="D1" t="s">
        <v>343</v>
      </c>
      <c r="E1">
        <v>0</v>
      </c>
    </row>
    <row r="4" spans="2:13" x14ac:dyDescent="0.25">
      <c r="B4" s="76" t="s">
        <v>341</v>
      </c>
      <c r="C4" s="76" t="s">
        <v>342</v>
      </c>
      <c r="D4" s="76" t="s">
        <v>283</v>
      </c>
      <c r="E4" s="76" t="s">
        <v>335</v>
      </c>
      <c r="F4" s="76" t="s">
        <v>294</v>
      </c>
    </row>
    <row r="5" spans="2:13" x14ac:dyDescent="0.25">
      <c r="B5" t="s">
        <v>67</v>
      </c>
      <c r="C5" t="s">
        <v>299</v>
      </c>
      <c r="D5" s="5">
        <v>92858</v>
      </c>
      <c r="E5" s="5">
        <f>+D5*$E$1</f>
        <v>0</v>
      </c>
      <c r="F5" s="5">
        <f>+D5+E5</f>
        <v>92858</v>
      </c>
    </row>
    <row r="6" spans="2:13" x14ac:dyDescent="0.25">
      <c r="B6" t="s">
        <v>67</v>
      </c>
      <c r="C6" t="s">
        <v>395</v>
      </c>
      <c r="D6" s="5">
        <v>246498</v>
      </c>
      <c r="E6" s="5">
        <f>+D6*$E$1</f>
        <v>0</v>
      </c>
      <c r="F6" s="5">
        <f>+D6+E6</f>
        <v>246498</v>
      </c>
    </row>
    <row r="7" spans="2:13" x14ac:dyDescent="0.25">
      <c r="B7" s="128"/>
      <c r="C7" s="128"/>
      <c r="D7" s="129">
        <f>SUM(D5:D6)</f>
        <v>339356</v>
      </c>
      <c r="E7" s="129">
        <f>SUM(E5:E6)</f>
        <v>0</v>
      </c>
      <c r="F7" s="129">
        <f>SUM(F5:F6)</f>
        <v>339356</v>
      </c>
    </row>
    <row r="8" spans="2:13" x14ac:dyDescent="0.25">
      <c r="B8" t="s">
        <v>344</v>
      </c>
      <c r="C8" t="s">
        <v>336</v>
      </c>
      <c r="D8" s="5">
        <v>6570</v>
      </c>
      <c r="E8" s="5">
        <f t="shared" ref="E8:E15" si="0">+D8*$E$1</f>
        <v>0</v>
      </c>
      <c r="F8" s="6">
        <f>+D8+E8</f>
        <v>6570</v>
      </c>
    </row>
    <row r="9" spans="2:13" x14ac:dyDescent="0.25">
      <c r="B9" t="s">
        <v>344</v>
      </c>
      <c r="C9" t="s">
        <v>345</v>
      </c>
      <c r="D9" s="5">
        <v>30817</v>
      </c>
      <c r="E9" s="5">
        <f t="shared" si="0"/>
        <v>0</v>
      </c>
      <c r="F9" s="6">
        <f t="shared" ref="F9:F12" si="1">+D9+E9</f>
        <v>30817</v>
      </c>
      <c r="J9" s="2"/>
    </row>
    <row r="10" spans="2:13" x14ac:dyDescent="0.25">
      <c r="B10" t="s">
        <v>344</v>
      </c>
      <c r="C10" t="s">
        <v>338</v>
      </c>
      <c r="D10" s="5">
        <v>4106</v>
      </c>
      <c r="E10" s="5">
        <f t="shared" si="0"/>
        <v>0</v>
      </c>
      <c r="F10" s="6">
        <f t="shared" si="1"/>
        <v>4106</v>
      </c>
      <c r="K10" s="3"/>
    </row>
    <row r="11" spans="2:13" x14ac:dyDescent="0.25">
      <c r="B11" t="s">
        <v>344</v>
      </c>
      <c r="C11" t="s">
        <v>346</v>
      </c>
      <c r="D11" s="5">
        <v>6688</v>
      </c>
      <c r="E11" s="5">
        <f t="shared" si="0"/>
        <v>0</v>
      </c>
      <c r="F11" s="6">
        <f t="shared" si="1"/>
        <v>6688</v>
      </c>
      <c r="J11" s="3"/>
    </row>
    <row r="12" spans="2:13" x14ac:dyDescent="0.25">
      <c r="B12" t="s">
        <v>344</v>
      </c>
      <c r="C12" t="s">
        <v>347</v>
      </c>
      <c r="D12" s="5">
        <v>10187</v>
      </c>
      <c r="E12" s="5">
        <f t="shared" si="0"/>
        <v>0</v>
      </c>
      <c r="F12" s="6">
        <f t="shared" si="1"/>
        <v>10187</v>
      </c>
    </row>
    <row r="13" spans="2:13" x14ac:dyDescent="0.25">
      <c r="B13" s="128"/>
      <c r="C13" s="128"/>
      <c r="D13" s="129">
        <f>SUM(D8:D12)</f>
        <v>58368</v>
      </c>
      <c r="E13" s="129">
        <f t="shared" ref="E13:F13" si="2">SUM(E8:E12)</f>
        <v>0</v>
      </c>
      <c r="F13" s="129">
        <f t="shared" si="2"/>
        <v>58368</v>
      </c>
      <c r="M13" s="3"/>
    </row>
    <row r="14" spans="2:13" x14ac:dyDescent="0.25">
      <c r="B14" t="s">
        <v>60</v>
      </c>
      <c r="C14" t="s">
        <v>299</v>
      </c>
      <c r="D14" s="5">
        <v>27513</v>
      </c>
      <c r="E14" s="5">
        <f t="shared" si="0"/>
        <v>0</v>
      </c>
      <c r="F14" s="6">
        <f t="shared" ref="F14:F15" si="3">+D14+E14</f>
        <v>27513</v>
      </c>
      <c r="M14" s="3"/>
    </row>
    <row r="15" spans="2:13" x14ac:dyDescent="0.25">
      <c r="B15" t="s">
        <v>60</v>
      </c>
      <c r="C15" t="s">
        <v>395</v>
      </c>
      <c r="D15" s="5">
        <v>73036</v>
      </c>
      <c r="E15" s="5">
        <f t="shared" si="0"/>
        <v>0</v>
      </c>
      <c r="F15" s="6">
        <f t="shared" si="3"/>
        <v>73036</v>
      </c>
    </row>
    <row r="16" spans="2:13" x14ac:dyDescent="0.25">
      <c r="B16" s="128"/>
      <c r="C16" s="128"/>
      <c r="D16" s="129">
        <f>SUM(D14:D15)</f>
        <v>100549</v>
      </c>
      <c r="E16" s="129">
        <f>SUM(E14:E15)</f>
        <v>0</v>
      </c>
      <c r="F16" s="129">
        <f>SUM(F14:F15)</f>
        <v>100549</v>
      </c>
    </row>
    <row r="17" spans="2:6" x14ac:dyDescent="0.25">
      <c r="C17" s="13" t="s">
        <v>348</v>
      </c>
      <c r="D17" s="17">
        <f t="shared" ref="D17:E17" si="4">+D7+D13+D16</f>
        <v>498273</v>
      </c>
      <c r="E17" s="17">
        <f t="shared" si="4"/>
        <v>0</v>
      </c>
      <c r="F17" s="17">
        <f>+F7+F13+F16</f>
        <v>498273</v>
      </c>
    </row>
    <row r="18" spans="2:6" x14ac:dyDescent="0.25">
      <c r="D18" s="5"/>
      <c r="E18" s="5"/>
      <c r="F18" s="6"/>
    </row>
    <row r="21" spans="2:6" x14ac:dyDescent="0.25">
      <c r="C21" s="12" t="s">
        <v>398</v>
      </c>
    </row>
    <row r="22" spans="2:6" x14ac:dyDescent="0.25">
      <c r="D22" s="149">
        <v>27</v>
      </c>
      <c r="E22" s="149">
        <v>33</v>
      </c>
      <c r="F22" s="149">
        <v>39</v>
      </c>
    </row>
    <row r="23" spans="2:6" x14ac:dyDescent="0.25">
      <c r="C23" t="s">
        <v>397</v>
      </c>
      <c r="D23">
        <v>64684</v>
      </c>
      <c r="E23">
        <v>48752</v>
      </c>
      <c r="F23">
        <v>44325</v>
      </c>
    </row>
    <row r="24" spans="2:6" x14ac:dyDescent="0.25">
      <c r="C24" t="s">
        <v>347</v>
      </c>
      <c r="D24">
        <v>13137</v>
      </c>
      <c r="E24">
        <v>13137</v>
      </c>
      <c r="F24">
        <v>13137</v>
      </c>
    </row>
    <row r="25" spans="2:6" x14ac:dyDescent="0.25">
      <c r="C25" t="s">
        <v>396</v>
      </c>
      <c r="D25">
        <v>12936</v>
      </c>
      <c r="E25">
        <v>9750</v>
      </c>
      <c r="F25">
        <v>8865</v>
      </c>
    </row>
    <row r="26" spans="2:6" x14ac:dyDescent="0.25">
      <c r="D26" s="148">
        <f>+SUM(D23:D25)</f>
        <v>90757</v>
      </c>
      <c r="E26" s="148">
        <f>+SUM(E23:E25)</f>
        <v>71639</v>
      </c>
      <c r="F26" s="148">
        <f>+SUM(F23:F25)</f>
        <v>66327</v>
      </c>
    </row>
    <row r="30" spans="2:6" x14ac:dyDescent="0.25">
      <c r="B30" t="s">
        <v>405</v>
      </c>
    </row>
    <row r="31" spans="2:6" x14ac:dyDescent="0.25">
      <c r="C31" t="s">
        <v>282</v>
      </c>
      <c r="D31">
        <v>160127</v>
      </c>
    </row>
    <row r="32" spans="2:6" x14ac:dyDescent="0.25">
      <c r="C32" t="s">
        <v>406</v>
      </c>
      <c r="D32">
        <v>13541</v>
      </c>
    </row>
    <row r="33" spans="3:4" x14ac:dyDescent="0.25">
      <c r="C33" t="s">
        <v>396</v>
      </c>
      <c r="D33">
        <v>32025</v>
      </c>
    </row>
    <row r="34" spans="3:4" x14ac:dyDescent="0.25">
      <c r="D34">
        <f>SUM(D31:D33)</f>
        <v>205693</v>
      </c>
    </row>
  </sheetData>
  <pageMargins left="0.7" right="0.7" top="0.75" bottom="0.75" header="0.3" footer="0.3"/>
  <pageSetup orientation="portrait" r:id="rId1"/>
  <ignoredErrors>
    <ignoredError sqref="E7:F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I21"/>
  <sheetViews>
    <sheetView workbookViewId="0">
      <selection activeCell="C2" sqref="C2:J21"/>
    </sheetView>
  </sheetViews>
  <sheetFormatPr baseColWidth="10" defaultRowHeight="15" x14ac:dyDescent="0.25"/>
  <cols>
    <col min="2" max="2" width="7.85546875" customWidth="1"/>
    <col min="3" max="3" width="28.42578125" customWidth="1"/>
    <col min="4" max="4" width="13.7109375" customWidth="1"/>
    <col min="5" max="5" width="13.42578125" customWidth="1"/>
    <col min="7" max="7" width="24.140625" customWidth="1"/>
  </cols>
  <sheetData>
    <row r="2" spans="3:9" x14ac:dyDescent="0.25">
      <c r="C2" s="12" t="s">
        <v>67</v>
      </c>
      <c r="G2" t="s">
        <v>60</v>
      </c>
    </row>
    <row r="3" spans="3:9" x14ac:dyDescent="0.25">
      <c r="C3" t="s">
        <v>299</v>
      </c>
      <c r="D3" s="5">
        <v>144189.06</v>
      </c>
      <c r="G3" t="s">
        <v>304</v>
      </c>
      <c r="H3" s="5">
        <v>28857.81</v>
      </c>
    </row>
    <row r="4" spans="3:9" x14ac:dyDescent="0.25">
      <c r="C4" t="s">
        <v>300</v>
      </c>
      <c r="D4" s="5">
        <v>361326.93</v>
      </c>
      <c r="G4" t="s">
        <v>305</v>
      </c>
      <c r="H4" s="5">
        <v>72265.39</v>
      </c>
    </row>
    <row r="5" spans="3:9" x14ac:dyDescent="0.25">
      <c r="D5" s="5">
        <f>+D3+D4</f>
        <v>505515.99</v>
      </c>
      <c r="E5" s="17">
        <f>D5*1.12</f>
        <v>566177.90880000009</v>
      </c>
      <c r="H5" s="5">
        <f>+SUM(H3:H4)</f>
        <v>101123.2</v>
      </c>
      <c r="I5" s="17">
        <f>+H5*1.12</f>
        <v>113257.98400000001</v>
      </c>
    </row>
    <row r="6" spans="3:9" x14ac:dyDescent="0.25">
      <c r="D6" s="5"/>
      <c r="H6" s="5"/>
    </row>
    <row r="7" spans="3:9" x14ac:dyDescent="0.25">
      <c r="C7" s="12" t="s">
        <v>301</v>
      </c>
      <c r="D7" s="5"/>
      <c r="H7" s="5"/>
    </row>
    <row r="8" spans="3:9" x14ac:dyDescent="0.25">
      <c r="C8" t="s">
        <v>336</v>
      </c>
      <c r="D8" s="5">
        <v>16426.669999999998</v>
      </c>
      <c r="G8" t="s">
        <v>315</v>
      </c>
      <c r="H8" s="127">
        <v>41822.92</v>
      </c>
      <c r="I8" s="17">
        <f>+H8*1.12</f>
        <v>46841.670400000003</v>
      </c>
    </row>
    <row r="9" spans="3:9" x14ac:dyDescent="0.25">
      <c r="C9" t="s">
        <v>337</v>
      </c>
      <c r="D9" s="5">
        <v>70994.22</v>
      </c>
      <c r="G9" t="s">
        <v>60</v>
      </c>
      <c r="H9" s="5">
        <v>5534.38</v>
      </c>
      <c r="I9" s="17">
        <f>+H9*1.12</f>
        <v>6198.5056000000004</v>
      </c>
    </row>
    <row r="10" spans="3:9" x14ac:dyDescent="0.25">
      <c r="D10" s="5">
        <f>+D8+D9</f>
        <v>87420.89</v>
      </c>
      <c r="E10" s="17">
        <f>D10*1.12</f>
        <v>97911.396800000002</v>
      </c>
      <c r="H10" s="5"/>
    </row>
    <row r="11" spans="3:9" x14ac:dyDescent="0.25">
      <c r="D11" s="5"/>
      <c r="G11" t="s">
        <v>334</v>
      </c>
      <c r="H11" s="127">
        <f>125570+4840</f>
        <v>130410</v>
      </c>
      <c r="I11" s="17">
        <f>+H11*1.12</f>
        <v>146059.20000000001</v>
      </c>
    </row>
    <row r="12" spans="3:9" x14ac:dyDescent="0.25">
      <c r="C12" s="12" t="s">
        <v>302</v>
      </c>
      <c r="D12" s="5"/>
      <c r="G12" t="s">
        <v>60</v>
      </c>
      <c r="H12" s="5">
        <v>25114</v>
      </c>
      <c r="I12" s="17">
        <f>+H12*1.12</f>
        <v>28127.680000000004</v>
      </c>
    </row>
    <row r="13" spans="3:9" x14ac:dyDescent="0.25">
      <c r="C13" t="s">
        <v>303</v>
      </c>
      <c r="D13" s="5">
        <v>16720</v>
      </c>
      <c r="E13" s="17">
        <f>+D13*1.12</f>
        <v>18726.400000000001</v>
      </c>
      <c r="H13" s="5"/>
    </row>
    <row r="14" spans="3:9" x14ac:dyDescent="0.25">
      <c r="D14" s="5"/>
      <c r="H14" s="5"/>
    </row>
    <row r="15" spans="3:9" x14ac:dyDescent="0.25">
      <c r="C15" s="12" t="s">
        <v>307</v>
      </c>
      <c r="D15" s="5">
        <v>23351.53</v>
      </c>
      <c r="E15" s="17">
        <f>+D15*1.12</f>
        <v>26153.713600000003</v>
      </c>
      <c r="H15" s="5"/>
    </row>
    <row r="16" spans="3:9" x14ac:dyDescent="0.25">
      <c r="C16" t="s">
        <v>338</v>
      </c>
      <c r="D16" s="5">
        <v>10266.67</v>
      </c>
      <c r="E16" s="17">
        <f>+D16*1.12</f>
        <v>11498.670400000001</v>
      </c>
      <c r="H16" s="5"/>
    </row>
    <row r="17" spans="4:8" x14ac:dyDescent="0.25">
      <c r="D17" s="126">
        <f>+D15+D13+D10+D5+D16</f>
        <v>643275.08000000007</v>
      </c>
      <c r="E17" s="106">
        <f>+SUM(E5:E16)</f>
        <v>720468.08960000006</v>
      </c>
      <c r="H17" s="5"/>
    </row>
    <row r="18" spans="4:8" x14ac:dyDescent="0.25">
      <c r="D18" s="5"/>
    </row>
    <row r="19" spans="4:8" x14ac:dyDescent="0.25">
      <c r="D19" s="5" t="s">
        <v>326</v>
      </c>
      <c r="E19" s="4">
        <f>+E17*0.05</f>
        <v>36023.404480000005</v>
      </c>
    </row>
    <row r="20" spans="4:8" x14ac:dyDescent="0.25">
      <c r="D20" s="5" t="s">
        <v>335</v>
      </c>
    </row>
    <row r="21" spans="4:8" x14ac:dyDescent="0.25">
      <c r="D21" s="5" t="s">
        <v>287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5</vt:i4>
      </vt:variant>
    </vt:vector>
  </HeadingPairs>
  <TitlesOfParts>
    <vt:vector size="24" baseType="lpstr">
      <vt:lpstr>CN (Desarrollo interno)</vt:lpstr>
      <vt:lpstr>CN (Latinia CLoud)</vt:lpstr>
      <vt:lpstr>INversion desarrollo interno</vt:lpstr>
      <vt:lpstr>CN (Dana) 1</vt:lpstr>
      <vt:lpstr>Caso de Negocio</vt:lpstr>
      <vt:lpstr>CN (Latinia)</vt:lpstr>
      <vt:lpstr>Propuesta Sybven</vt:lpstr>
      <vt:lpstr>Propuesta Latinia (2)</vt:lpstr>
      <vt:lpstr>Propuesta Latinia</vt:lpstr>
      <vt:lpstr>Consolidado Sybven</vt:lpstr>
      <vt:lpstr>Consolidado Latinia</vt:lpstr>
      <vt:lpstr>Infraestructura Latinia</vt:lpstr>
      <vt:lpstr>Recursos Adicionales</vt:lpstr>
      <vt:lpstr>Hoja1</vt:lpstr>
      <vt:lpstr>SUSCRIPCIONES</vt:lpstr>
      <vt:lpstr>RESUMEN</vt:lpstr>
      <vt:lpstr>Calculos </vt:lpstr>
      <vt:lpstr>Caso de Negocio BM2</vt:lpstr>
      <vt:lpstr>Caso de Negocio Solo ST</vt:lpstr>
      <vt:lpstr>Cantidad_de_Mensajes</vt:lpstr>
      <vt:lpstr>Costos</vt:lpstr>
      <vt:lpstr>Ingresos_Totales</vt:lpstr>
      <vt:lpstr>Suscripciones_Activas</vt:lpstr>
      <vt:lpstr>Utilidad_Neta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Romero M.</dc:creator>
  <cp:lastModifiedBy>Ronald Romero Morán</cp:lastModifiedBy>
  <dcterms:created xsi:type="dcterms:W3CDTF">2017-07-20T17:21:47Z</dcterms:created>
  <dcterms:modified xsi:type="dcterms:W3CDTF">2019-02-19T16:37:15Z</dcterms:modified>
</cp:coreProperties>
</file>