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ctorP\Proyectos\2019\Nuevo Avisos24\"/>
    </mc:Choice>
  </mc:AlternateContent>
  <bookViews>
    <workbookView xWindow="0" yWindow="0" windowWidth="20400" windowHeight="7620" activeTab="1"/>
  </bookViews>
  <sheets>
    <sheet name="Consolidado" sheetId="1" r:id="rId1"/>
    <sheet name="Costo Banco" sheetId="2" r:id="rId2"/>
    <sheet name="HW &amp; SW B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3" i="3" l="1"/>
  <c r="D12" i="3"/>
  <c r="D11" i="3"/>
  <c r="D10" i="3"/>
  <c r="D9" i="3"/>
  <c r="P3" i="3" s="1"/>
  <c r="D7" i="3"/>
  <c r="Q5" i="3"/>
  <c r="O5" i="3"/>
  <c r="N5" i="3"/>
  <c r="K4" i="3"/>
  <c r="J4" i="3"/>
  <c r="M3" i="3"/>
  <c r="M5" i="3" s="1"/>
  <c r="K3" i="3"/>
  <c r="J3" i="3"/>
  <c r="P5" i="3" l="1"/>
  <c r="L3" i="3"/>
  <c r="R3" i="3" s="1"/>
  <c r="L4" i="3"/>
  <c r="R4" i="3" s="1"/>
  <c r="L5" i="3" l="1"/>
  <c r="P6" i="3"/>
  <c r="R5" i="3"/>
  <c r="C17" i="2" s="1"/>
  <c r="C19" i="2" l="1"/>
  <c r="D25" i="1"/>
  <c r="D21" i="1"/>
  <c r="D23" i="1" s="1"/>
  <c r="D9" i="1"/>
  <c r="D26" i="1"/>
  <c r="E21" i="1"/>
  <c r="E23" i="1" s="1"/>
  <c r="E28" i="1" s="1"/>
  <c r="F20" i="1"/>
  <c r="D27" i="1"/>
  <c r="D13" i="1"/>
  <c r="D12" i="1"/>
  <c r="E7" i="1"/>
  <c r="F7" i="1" s="1"/>
  <c r="E6" i="1"/>
  <c r="G7" i="1" l="1"/>
  <c r="G9" i="1" s="1"/>
  <c r="G14" i="1" s="1"/>
  <c r="F9" i="1"/>
  <c r="F14" i="1" s="1"/>
  <c r="D28" i="1"/>
  <c r="F21" i="1"/>
  <c r="G21" i="1" s="1"/>
  <c r="G23" i="1" s="1"/>
  <c r="G28" i="1" s="1"/>
  <c r="F23" i="1" l="1"/>
  <c r="F28" i="1" s="1"/>
  <c r="E9" i="1" l="1"/>
  <c r="E14" i="1" s="1"/>
  <c r="E5" i="2"/>
  <c r="G5" i="2" s="1"/>
  <c r="E4" i="2"/>
  <c r="G4" i="2" s="1"/>
  <c r="G6" i="2"/>
  <c r="D10" i="1" s="1"/>
  <c r="D14" i="1" l="1"/>
</calcChain>
</file>

<file path=xl/sharedStrings.xml><?xml version="1.0" encoding="utf-8"?>
<sst xmlns="http://schemas.openxmlformats.org/spreadsheetml/2006/main" count="96" uniqueCount="70">
  <si>
    <t>AÑO 0</t>
  </si>
  <si>
    <t>AÑO 1</t>
  </si>
  <si>
    <t>SUBTOTAL</t>
  </si>
  <si>
    <t>Servicios Profesionales Banco</t>
  </si>
  <si>
    <t>CONCEPTO</t>
  </si>
  <si>
    <t>TOTAL</t>
  </si>
  <si>
    <t>Servicios de Implantación</t>
  </si>
  <si>
    <t>Mantenimiento Anual</t>
  </si>
  <si>
    <t>COSTOS DE RECURSO HUMANO EXTERNO</t>
  </si>
  <si>
    <t>GRUPO</t>
  </si>
  <si>
    <t>DESCRIPCIÓN</t>
  </si>
  <si>
    <t>CANTIDAD</t>
  </si>
  <si>
    <t>COSTO UNITARIO</t>
  </si>
  <si>
    <t>MESES</t>
  </si>
  <si>
    <t>COSTO TOTAL</t>
  </si>
  <si>
    <t>DESARROLLO</t>
  </si>
  <si>
    <t>Recurso Senior</t>
  </si>
  <si>
    <t>TESTING</t>
  </si>
  <si>
    <t>Analista Junior</t>
  </si>
  <si>
    <t>TOTAL RECURSO HUMANO</t>
  </si>
  <si>
    <t>Hardware / Cloud</t>
  </si>
  <si>
    <t>COSTOS LATINIA</t>
  </si>
  <si>
    <t>Cloud (HW y SW)</t>
  </si>
  <si>
    <t xml:space="preserve"> $   49.647,07 </t>
  </si>
  <si>
    <t>SW IBM en AWS</t>
  </si>
  <si>
    <t>16.005,15</t>
  </si>
  <si>
    <t>65.652,22</t>
  </si>
  <si>
    <t>esto fue enviado por Miguel Behr.</t>
  </si>
  <si>
    <t>Licencias (alert y motor 20 TPS)</t>
  </si>
  <si>
    <t>Inversion Next Best Actions</t>
  </si>
  <si>
    <t>AÑO 2</t>
  </si>
  <si>
    <t>AÑO 3</t>
  </si>
  <si>
    <t>Licencias Ibm</t>
  </si>
  <si>
    <t>LATINIA SIN IMPUESTOS</t>
  </si>
  <si>
    <t>Licencias (alert y motor 27 TPS)</t>
  </si>
  <si>
    <t>Viaticos Aproximados</t>
  </si>
  <si>
    <t>CONTRAPROPUESTA BANCO SIN IMPUESTOS</t>
  </si>
  <si>
    <t>Ambiente</t>
  </si>
  <si>
    <t>Nombre</t>
  </si>
  <si>
    <t>Descripción</t>
  </si>
  <si>
    <t>Fisico / Virtual</t>
  </si>
  <si>
    <t>CPUs</t>
  </si>
  <si>
    <t>COREs</t>
  </si>
  <si>
    <t>Memory GB</t>
  </si>
  <si>
    <t>Disco GB</t>
  </si>
  <si>
    <t>SO_Versión/ Aplicaciones</t>
  </si>
  <si>
    <t>Costo Memoria</t>
  </si>
  <si>
    <t>Costo Disco</t>
  </si>
  <si>
    <t>Costo Hardware</t>
  </si>
  <si>
    <t>Monitoreo/ Antivirus/ Imagen</t>
  </si>
  <si>
    <t>IBM WebSphere</t>
  </si>
  <si>
    <t>IBM MQ</t>
  </si>
  <si>
    <t>SQL Server 2016</t>
  </si>
  <si>
    <t>Suscripción Linux</t>
  </si>
  <si>
    <t>Total Server</t>
  </si>
  <si>
    <t>PRODUCCIÓN</t>
  </si>
  <si>
    <t>Virtual</t>
  </si>
  <si>
    <t>Windows Server 2016 Standard</t>
  </si>
  <si>
    <t>Servidor de BD</t>
  </si>
  <si>
    <t>Servidor de Base de datos</t>
  </si>
  <si>
    <t>Licencia</t>
  </si>
  <si>
    <t>Costo</t>
  </si>
  <si>
    <t>IBM WebSphere por PVU + SW Suscription &amp; Support 12 Months</t>
  </si>
  <si>
    <t>SQL Server 2014 Estandar + IVA</t>
  </si>
  <si>
    <t>Oracle Standard Edition 12 c por Procesador</t>
  </si>
  <si>
    <t xml:space="preserve"> </t>
  </si>
  <si>
    <t>Software Update License &amp; Support Oracle</t>
  </si>
  <si>
    <t>Costo de MQ por PVU + SW Suscription &amp; Support 12 Months</t>
  </si>
  <si>
    <t>HW &amp; SW BB</t>
  </si>
  <si>
    <t>Hardware On Premise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</si>
</sst>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\ * #,##0.00_);_(&quot;$&quot;\ * \(#,##0.00\);_(&quot;$&quot;\ 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3" xfId="0" applyNumberFormat="1" applyBorder="1"/>
    <xf numFmtId="0" fontId="2" fillId="3" borderId="7" xfId="0" applyFont="1" applyFill="1" applyBorder="1"/>
    <xf numFmtId="0" fontId="2" fillId="3" borderId="1" xfId="0" applyFont="1" applyFill="1" applyBorder="1"/>
    <xf numFmtId="0" fontId="2" fillId="3" borderId="8" xfId="0" applyFont="1" applyFill="1" applyBorder="1"/>
    <xf numFmtId="0" fontId="0" fillId="0" borderId="7" xfId="0" applyBorder="1"/>
    <xf numFmtId="4" fontId="0" fillId="0" borderId="8" xfId="0" applyNumberFormat="1" applyBorder="1"/>
    <xf numFmtId="4" fontId="3" fillId="0" borderId="11" xfId="0" applyNumberFormat="1" applyFont="1" applyBorder="1"/>
    <xf numFmtId="0" fontId="3" fillId="0" borderId="12" xfId="0" applyFont="1" applyFill="1" applyBorder="1"/>
    <xf numFmtId="4" fontId="0" fillId="0" borderId="13" xfId="0" applyNumberFormat="1" applyBorder="1"/>
    <xf numFmtId="0" fontId="2" fillId="3" borderId="10" xfId="0" applyFont="1" applyFill="1" applyBorder="1" applyAlignment="1">
      <alignment horizontal="center"/>
    </xf>
    <xf numFmtId="4" fontId="4" fillId="0" borderId="2" xfId="0" applyNumberFormat="1" applyFont="1" applyBorder="1"/>
    <xf numFmtId="43" fontId="0" fillId="0" borderId="13" xfId="1" applyFont="1" applyBorder="1"/>
    <xf numFmtId="43" fontId="0" fillId="0" borderId="1" xfId="1" applyFont="1" applyBorder="1"/>
    <xf numFmtId="9" fontId="0" fillId="0" borderId="0" xfId="2" applyFont="1"/>
    <xf numFmtId="43" fontId="0" fillId="0" borderId="0" xfId="0" applyNumberFormat="1"/>
    <xf numFmtId="4" fontId="0" fillId="0" borderId="16" xfId="0" applyNumberFormat="1" applyBorder="1"/>
    <xf numFmtId="4" fontId="3" fillId="0" borderId="14" xfId="0" applyNumberFormat="1" applyFont="1" applyBorder="1"/>
    <xf numFmtId="43" fontId="0" fillId="0" borderId="16" xfId="1" applyFont="1" applyBorder="1"/>
    <xf numFmtId="0" fontId="2" fillId="3" borderId="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43" fontId="11" fillId="5" borderId="1" xfId="1" applyFont="1" applyFill="1" applyBorder="1" applyAlignment="1">
      <alignment horizontal="center" vertical="center" wrapText="1"/>
    </xf>
    <xf numFmtId="44" fontId="11" fillId="5" borderId="1" xfId="3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43" fontId="11" fillId="5" borderId="1" xfId="1" applyFont="1" applyFill="1" applyBorder="1" applyAlignment="1">
      <alignment horizontal="center" wrapText="1"/>
    </xf>
    <xf numFmtId="1" fontId="0" fillId="0" borderId="0" xfId="0" applyNumberFormat="1"/>
    <xf numFmtId="2" fontId="0" fillId="0" borderId="0" xfId="0" applyNumberFormat="1"/>
    <xf numFmtId="44" fontId="3" fillId="5" borderId="15" xfId="3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1" fillId="0" borderId="17" xfId="0" applyFont="1" applyBorder="1"/>
    <xf numFmtId="43" fontId="11" fillId="6" borderId="17" xfId="1" applyFont="1" applyFill="1" applyBorder="1"/>
    <xf numFmtId="43" fontId="0" fillId="0" borderId="0" xfId="1" applyFont="1"/>
    <xf numFmtId="0" fontId="10" fillId="5" borderId="16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  <xf numFmtId="0" fontId="0" fillId="0" borderId="18" xfId="0" applyBorder="1"/>
    <xf numFmtId="43" fontId="0" fillId="0" borderId="19" xfId="1" applyFont="1" applyBorder="1"/>
    <xf numFmtId="43" fontId="0" fillId="0" borderId="8" xfId="1" applyFont="1" applyBorder="1"/>
    <xf numFmtId="43" fontId="0" fillId="0" borderId="20" xfId="1" applyFont="1" applyBorder="1"/>
    <xf numFmtId="0" fontId="4" fillId="0" borderId="7" xfId="0" applyFont="1" applyBorder="1"/>
    <xf numFmtId="4" fontId="4" fillId="0" borderId="21" xfId="0" applyNumberFormat="1" applyFont="1" applyBorder="1"/>
    <xf numFmtId="0" fontId="0" fillId="0" borderId="22" xfId="0" applyBorder="1"/>
    <xf numFmtId="4" fontId="0" fillId="0" borderId="23" xfId="0" applyNumberFormat="1" applyBorder="1"/>
    <xf numFmtId="4" fontId="3" fillId="0" borderId="24" xfId="0" applyNumberFormat="1" applyFont="1" applyBorder="1"/>
    <xf numFmtId="0" fontId="0" fillId="0" borderId="8" xfId="0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8"/>
  <sheetViews>
    <sheetView topLeftCell="A3" workbookViewId="0">
      <selection activeCell="C3" sqref="C3:E14"/>
    </sheetView>
  </sheetViews>
  <sheetFormatPr baseColWidth="10" defaultRowHeight="15" x14ac:dyDescent="0.25"/>
  <cols>
    <col min="2" max="2" width="9" customWidth="1"/>
    <col min="3" max="3" width="27.5703125" bestFit="1" customWidth="1"/>
    <col min="4" max="4" width="14.7109375" customWidth="1"/>
  </cols>
  <sheetData>
    <row r="1" spans="3:7" ht="15.75" thickBot="1" x14ac:dyDescent="0.3"/>
    <row r="2" spans="3:7" x14ac:dyDescent="0.25">
      <c r="C2" s="64" t="s">
        <v>33</v>
      </c>
      <c r="D2" s="65"/>
      <c r="E2" s="65"/>
      <c r="F2" s="65"/>
      <c r="G2" s="66"/>
    </row>
    <row r="3" spans="3:7" ht="15.75" thickBot="1" x14ac:dyDescent="0.3">
      <c r="C3" s="22" t="s">
        <v>4</v>
      </c>
      <c r="D3" s="13" t="s">
        <v>0</v>
      </c>
      <c r="E3" s="13" t="s">
        <v>1</v>
      </c>
      <c r="F3" s="13" t="s">
        <v>30</v>
      </c>
      <c r="G3" s="23" t="s">
        <v>31</v>
      </c>
    </row>
    <row r="4" spans="3:7" x14ac:dyDescent="0.25">
      <c r="C4" s="54" t="s">
        <v>28</v>
      </c>
      <c r="D4" s="12">
        <v>339357.75</v>
      </c>
      <c r="E4" s="2">
        <v>64684.480000000003</v>
      </c>
      <c r="F4" s="1">
        <v>48752.85</v>
      </c>
      <c r="G4" s="63">
        <v>44325.11</v>
      </c>
    </row>
    <row r="5" spans="3:7" x14ac:dyDescent="0.25">
      <c r="C5" s="54" t="s">
        <v>29</v>
      </c>
      <c r="D5" s="15">
        <v>0</v>
      </c>
      <c r="E5" s="2">
        <v>160127</v>
      </c>
      <c r="F5" s="16">
        <v>0</v>
      </c>
      <c r="G5" s="56">
        <v>0</v>
      </c>
    </row>
    <row r="6" spans="3:7" x14ac:dyDescent="0.25">
      <c r="C6" s="8" t="s">
        <v>6</v>
      </c>
      <c r="D6" s="2">
        <v>58370.64</v>
      </c>
      <c r="E6" s="2">
        <f xml:space="preserve"> 13541 + 13137.68</f>
        <v>26678.68</v>
      </c>
      <c r="F6" s="1">
        <v>13137.68</v>
      </c>
      <c r="G6" s="63">
        <v>13137.68</v>
      </c>
    </row>
    <row r="7" spans="3:7" x14ac:dyDescent="0.25">
      <c r="C7" s="8" t="s">
        <v>7</v>
      </c>
      <c r="D7" s="2">
        <v>100550.44</v>
      </c>
      <c r="E7" s="2">
        <f>100550.44+32025.68+12936.9</f>
        <v>145513.01999999999</v>
      </c>
      <c r="F7" s="2">
        <f xml:space="preserve"> E7+9750.57</f>
        <v>155263.59</v>
      </c>
      <c r="G7" s="9">
        <f>F7+8865.02</f>
        <v>164128.60999999999</v>
      </c>
    </row>
    <row r="8" spans="3:7" ht="15.75" thickBot="1" x14ac:dyDescent="0.3">
      <c r="C8" s="8" t="s">
        <v>35</v>
      </c>
      <c r="D8" s="19">
        <v>20000</v>
      </c>
      <c r="E8" s="21">
        <v>0</v>
      </c>
      <c r="F8" s="21">
        <v>0</v>
      </c>
      <c r="G8" s="57">
        <v>0</v>
      </c>
    </row>
    <row r="9" spans="3:7" ht="15.75" thickTop="1" x14ac:dyDescent="0.25">
      <c r="C9" s="58" t="s">
        <v>2</v>
      </c>
      <c r="D9" s="14">
        <f>SUM(D4:D8)</f>
        <v>518278.83</v>
      </c>
      <c r="E9" s="14">
        <f>SUM(E4:E7)</f>
        <v>397003.18</v>
      </c>
      <c r="F9" s="14">
        <f>SUM(F4:F8)</f>
        <v>217154.12</v>
      </c>
      <c r="G9" s="59">
        <f>SUM(G4:G8)</f>
        <v>221591.4</v>
      </c>
    </row>
    <row r="10" spans="3:7" x14ac:dyDescent="0.25">
      <c r="C10" s="8" t="s">
        <v>3</v>
      </c>
      <c r="D10" s="2">
        <f>'Costo Banco'!G6/1.12</f>
        <v>46568</v>
      </c>
      <c r="E10" s="16">
        <v>0</v>
      </c>
      <c r="F10" s="16">
        <v>0</v>
      </c>
      <c r="G10" s="56">
        <v>0</v>
      </c>
    </row>
    <row r="11" spans="3:7" x14ac:dyDescent="0.25">
      <c r="C11" s="8" t="s">
        <v>69</v>
      </c>
      <c r="D11" s="2">
        <f>'HW &amp; SW BB'!R5</f>
        <v>8706.08</v>
      </c>
      <c r="E11" s="16">
        <v>0</v>
      </c>
      <c r="F11" s="16">
        <v>0</v>
      </c>
      <c r="G11" s="56">
        <v>0</v>
      </c>
    </row>
    <row r="12" spans="3:7" x14ac:dyDescent="0.25">
      <c r="C12" s="8" t="s">
        <v>20</v>
      </c>
      <c r="D12" s="2">
        <f xml:space="preserve"> 49647.07</f>
        <v>49647.07</v>
      </c>
      <c r="E12" s="2">
        <v>49647.07</v>
      </c>
      <c r="F12" s="2">
        <v>49647.07</v>
      </c>
      <c r="G12" s="9">
        <v>49647.07</v>
      </c>
    </row>
    <row r="13" spans="3:7" ht="15.75" thickBot="1" x14ac:dyDescent="0.3">
      <c r="C13" s="60" t="s">
        <v>32</v>
      </c>
      <c r="D13" s="4">
        <f xml:space="preserve"> 80025.74</f>
        <v>80025.740000000005</v>
      </c>
      <c r="E13" s="4">
        <v>16005.15</v>
      </c>
      <c r="F13" s="4">
        <v>16005.15</v>
      </c>
      <c r="G13" s="61">
        <v>16005.15</v>
      </c>
    </row>
    <row r="14" spans="3:7" ht="16.5" thickTop="1" thickBot="1" x14ac:dyDescent="0.3">
      <c r="C14" s="11" t="s">
        <v>5</v>
      </c>
      <c r="D14" s="20">
        <f>SUM(D9:D13)</f>
        <v>703225.72</v>
      </c>
      <c r="E14" s="20">
        <f>SUM(E9:E13)</f>
        <v>462655.4</v>
      </c>
      <c r="F14" s="20">
        <f>SUM(F9:F13)</f>
        <v>282806.34000000003</v>
      </c>
      <c r="G14" s="62">
        <f>SUM(G9:G13)</f>
        <v>287243.62</v>
      </c>
    </row>
    <row r="15" spans="3:7" ht="9.75" customHeight="1" thickBot="1" x14ac:dyDescent="0.3"/>
    <row r="16" spans="3:7" x14ac:dyDescent="0.25">
      <c r="C16" s="64" t="s">
        <v>36</v>
      </c>
      <c r="D16" s="65"/>
      <c r="E16" s="65"/>
      <c r="F16" s="65"/>
      <c r="G16" s="66"/>
    </row>
    <row r="17" spans="3:11" ht="15.75" thickBot="1" x14ac:dyDescent="0.3">
      <c r="C17" s="22" t="s">
        <v>4</v>
      </c>
      <c r="D17" s="13" t="s">
        <v>0</v>
      </c>
      <c r="E17" s="13" t="s">
        <v>1</v>
      </c>
      <c r="F17" s="13" t="s">
        <v>30</v>
      </c>
      <c r="G17" s="23" t="s">
        <v>31</v>
      </c>
    </row>
    <row r="18" spans="3:11" x14ac:dyDescent="0.25">
      <c r="C18" s="54" t="s">
        <v>34</v>
      </c>
      <c r="D18" s="12">
        <v>300000</v>
      </c>
      <c r="E18" s="15">
        <v>0</v>
      </c>
      <c r="F18" s="12">
        <v>48752.85</v>
      </c>
      <c r="G18" s="55">
        <v>0</v>
      </c>
    </row>
    <row r="19" spans="3:11" x14ac:dyDescent="0.25">
      <c r="C19" s="54" t="s">
        <v>29</v>
      </c>
      <c r="D19" s="15">
        <v>0</v>
      </c>
      <c r="E19" s="15">
        <v>0</v>
      </c>
      <c r="F19" s="12">
        <v>160127</v>
      </c>
      <c r="G19" s="56">
        <v>0</v>
      </c>
    </row>
    <row r="20" spans="3:11" x14ac:dyDescent="0.25">
      <c r="C20" s="8" t="s">
        <v>6</v>
      </c>
      <c r="D20" s="2">
        <v>50000</v>
      </c>
      <c r="E20" s="16">
        <v>0</v>
      </c>
      <c r="F20" s="12">
        <f xml:space="preserve"> 13541+13137.68</f>
        <v>26678.68</v>
      </c>
      <c r="G20" s="56">
        <v>0</v>
      </c>
    </row>
    <row r="21" spans="3:11" x14ac:dyDescent="0.25">
      <c r="C21" s="8" t="s">
        <v>7</v>
      </c>
      <c r="D21" s="2">
        <f xml:space="preserve"> D18*0.18</f>
        <v>54000</v>
      </c>
      <c r="E21" s="2">
        <f>D21</f>
        <v>54000</v>
      </c>
      <c r="F21" s="2">
        <f xml:space="preserve"> E21+9750.57+32025.58</f>
        <v>95776.15</v>
      </c>
      <c r="G21" s="9">
        <f>F21</f>
        <v>95776.15</v>
      </c>
      <c r="J21" s="17"/>
      <c r="K21" s="18"/>
    </row>
    <row r="22" spans="3:11" ht="15.75" thickBot="1" x14ac:dyDescent="0.3">
      <c r="C22" s="8" t="s">
        <v>35</v>
      </c>
      <c r="D22" s="19">
        <v>20000</v>
      </c>
      <c r="E22" s="21">
        <v>0</v>
      </c>
      <c r="F22" s="21">
        <v>0</v>
      </c>
      <c r="G22" s="57">
        <v>0</v>
      </c>
      <c r="J22" s="17"/>
      <c r="K22" s="18"/>
    </row>
    <row r="23" spans="3:11" ht="15.75" thickTop="1" x14ac:dyDescent="0.25">
      <c r="C23" s="58" t="s">
        <v>2</v>
      </c>
      <c r="D23" s="14">
        <f>SUM(D18:D22)</f>
        <v>424000</v>
      </c>
      <c r="E23" s="14">
        <f>SUM(E18:E21)</f>
        <v>54000</v>
      </c>
      <c r="F23" s="14">
        <f>SUM(F18:F21)</f>
        <v>331334.68</v>
      </c>
      <c r="G23" s="59">
        <f>SUM(G18:G22)</f>
        <v>95776.15</v>
      </c>
    </row>
    <row r="24" spans="3:11" x14ac:dyDescent="0.25">
      <c r="C24" s="8" t="s">
        <v>3</v>
      </c>
      <c r="D24" s="2">
        <v>46568</v>
      </c>
      <c r="E24" s="16">
        <v>0</v>
      </c>
      <c r="F24" s="16">
        <v>0</v>
      </c>
      <c r="G24" s="56">
        <v>0</v>
      </c>
    </row>
    <row r="25" spans="3:11" x14ac:dyDescent="0.25">
      <c r="C25" s="8" t="s">
        <v>69</v>
      </c>
      <c r="D25" s="2">
        <f>'Costo Banco'!C17</f>
        <v>8706.08</v>
      </c>
      <c r="E25" s="16">
        <v>0</v>
      </c>
      <c r="F25" s="16">
        <v>0</v>
      </c>
      <c r="G25" s="56">
        <v>0</v>
      </c>
    </row>
    <row r="26" spans="3:11" x14ac:dyDescent="0.25">
      <c r="C26" s="8" t="s">
        <v>20</v>
      </c>
      <c r="D26" s="2">
        <f xml:space="preserve"> 49647.07</f>
        <v>49647.07</v>
      </c>
      <c r="E26" s="2">
        <v>49647.07</v>
      </c>
      <c r="F26" s="2">
        <v>49647.07</v>
      </c>
      <c r="G26" s="9">
        <v>49647.07</v>
      </c>
    </row>
    <row r="27" spans="3:11" ht="15.75" thickBot="1" x14ac:dyDescent="0.3">
      <c r="C27" s="60" t="s">
        <v>32</v>
      </c>
      <c r="D27" s="4">
        <f xml:space="preserve"> 80025.74</f>
        <v>80025.740000000005</v>
      </c>
      <c r="E27" s="4">
        <v>16005.15</v>
      </c>
      <c r="F27" s="4">
        <v>16005.15</v>
      </c>
      <c r="G27" s="61">
        <v>16005.15</v>
      </c>
    </row>
    <row r="28" spans="3:11" ht="16.5" thickTop="1" thickBot="1" x14ac:dyDescent="0.3">
      <c r="C28" s="11" t="s">
        <v>5</v>
      </c>
      <c r="D28" s="20">
        <f>SUM(D23:D27)</f>
        <v>608946.89</v>
      </c>
      <c r="E28" s="20">
        <f>SUM(E23:E27)</f>
        <v>119652.22</v>
      </c>
      <c r="F28" s="20">
        <f>SUM(F23:F27)</f>
        <v>396986.9</v>
      </c>
      <c r="G28" s="62">
        <f>SUM(G23:G27)</f>
        <v>161428.37</v>
      </c>
    </row>
  </sheetData>
  <mergeCells count="2">
    <mergeCell ref="C16:G16"/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J12" sqref="J12"/>
    </sheetView>
  </sheetViews>
  <sheetFormatPr baseColWidth="10" defaultRowHeight="15" x14ac:dyDescent="0.25"/>
  <cols>
    <col min="2" max="2" width="15.85546875" bestFit="1" customWidth="1"/>
    <col min="3" max="3" width="15.28515625" bestFit="1" customWidth="1"/>
    <col min="4" max="4" width="10.28515625" bestFit="1" customWidth="1"/>
    <col min="7" max="7" width="13" bestFit="1" customWidth="1"/>
  </cols>
  <sheetData>
    <row r="1" spans="2:7" ht="15.75" thickBot="1" x14ac:dyDescent="0.3"/>
    <row r="2" spans="2:7" x14ac:dyDescent="0.25">
      <c r="B2" s="64" t="s">
        <v>8</v>
      </c>
      <c r="C2" s="65"/>
      <c r="D2" s="65"/>
      <c r="E2" s="65"/>
      <c r="F2" s="65"/>
      <c r="G2" s="66"/>
    </row>
    <row r="3" spans="2:7" x14ac:dyDescent="0.25">
      <c r="B3" s="5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14</v>
      </c>
    </row>
    <row r="4" spans="2:7" x14ac:dyDescent="0.25">
      <c r="B4" s="8" t="s">
        <v>15</v>
      </c>
      <c r="C4" s="1" t="s">
        <v>16</v>
      </c>
      <c r="D4" s="1">
        <v>3</v>
      </c>
      <c r="E4" s="2">
        <f>2176*1.12</f>
        <v>2437.1200000000003</v>
      </c>
      <c r="F4" s="1">
        <v>6</v>
      </c>
      <c r="G4" s="9">
        <f t="shared" ref="G4:G5" si="0">D4*E4*F4</f>
        <v>43868.160000000003</v>
      </c>
    </row>
    <row r="5" spans="2:7" x14ac:dyDescent="0.25">
      <c r="B5" s="8" t="s">
        <v>17</v>
      </c>
      <c r="C5" s="1" t="s">
        <v>18</v>
      </c>
      <c r="D5" s="1">
        <v>1</v>
      </c>
      <c r="E5" s="2">
        <f>1850*1.12</f>
        <v>2072</v>
      </c>
      <c r="F5" s="1">
        <v>4</v>
      </c>
      <c r="G5" s="9">
        <f t="shared" si="0"/>
        <v>8288</v>
      </c>
    </row>
    <row r="6" spans="2:7" ht="15.75" thickBot="1" x14ac:dyDescent="0.3">
      <c r="B6" s="67" t="s">
        <v>19</v>
      </c>
      <c r="C6" s="68"/>
      <c r="D6" s="68"/>
      <c r="E6" s="68"/>
      <c r="F6" s="68"/>
      <c r="G6" s="10">
        <f>SUM(G4:G5)</f>
        <v>52156.160000000003</v>
      </c>
    </row>
    <row r="13" spans="2:7" x14ac:dyDescent="0.25">
      <c r="B13" t="s">
        <v>27</v>
      </c>
    </row>
    <row r="14" spans="2:7" x14ac:dyDescent="0.25">
      <c r="B14" s="69" t="s">
        <v>21</v>
      </c>
      <c r="C14" s="69"/>
      <c r="D14" s="69"/>
    </row>
    <row r="15" spans="2:7" x14ac:dyDescent="0.25">
      <c r="B15" s="47" t="s">
        <v>4</v>
      </c>
      <c r="C15" s="47" t="s">
        <v>0</v>
      </c>
      <c r="D15" s="47" t="s">
        <v>1</v>
      </c>
    </row>
    <row r="16" spans="2:7" x14ac:dyDescent="0.25">
      <c r="B16" s="48" t="s">
        <v>22</v>
      </c>
      <c r="C16" s="49">
        <v>49647.07</v>
      </c>
      <c r="D16" s="50" t="s">
        <v>23</v>
      </c>
    </row>
    <row r="17" spans="2:4" x14ac:dyDescent="0.25">
      <c r="B17" s="48" t="s">
        <v>68</v>
      </c>
      <c r="C17" s="49">
        <f>'HW &amp; SW BB'!R5</f>
        <v>8706.08</v>
      </c>
      <c r="D17" s="50"/>
    </row>
    <row r="18" spans="2:4" x14ac:dyDescent="0.25">
      <c r="B18" s="48" t="s">
        <v>24</v>
      </c>
      <c r="C18" s="49">
        <v>80025.740000000005</v>
      </c>
      <c r="D18" s="50" t="s">
        <v>25</v>
      </c>
    </row>
    <row r="19" spans="2:4" x14ac:dyDescent="0.25">
      <c r="B19" s="51" t="s">
        <v>5</v>
      </c>
      <c r="C19" s="53">
        <f>SUM(C16:C18)</f>
        <v>138378.89000000001</v>
      </c>
      <c r="D19" s="52" t="s">
        <v>26</v>
      </c>
    </row>
  </sheetData>
  <mergeCells count="3">
    <mergeCell ref="B2:G2"/>
    <mergeCell ref="B6:F6"/>
    <mergeCell ref="B14:D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topLeftCell="E1" workbookViewId="0">
      <selection activeCell="P5" sqref="P5"/>
    </sheetView>
  </sheetViews>
  <sheetFormatPr baseColWidth="10" defaultColWidth="9.140625" defaultRowHeight="15" x14ac:dyDescent="0.25"/>
  <cols>
    <col min="1" max="1" width="11.5703125" bestFit="1" customWidth="1"/>
    <col min="2" max="2" width="19.5703125" customWidth="1"/>
    <col min="3" max="3" width="25.7109375" customWidth="1"/>
    <col min="4" max="4" width="11.42578125" bestFit="1" customWidth="1"/>
    <col min="5" max="5" width="5.42578125" style="37" customWidth="1"/>
    <col min="6" max="6" width="6" style="37" customWidth="1"/>
    <col min="7" max="8" width="7.140625" style="37" customWidth="1"/>
    <col min="9" max="9" width="13.7109375" customWidth="1"/>
    <col min="10" max="10" width="9.5703125" style="38" bestFit="1" customWidth="1"/>
    <col min="11" max="11" width="9.85546875" style="38" bestFit="1" customWidth="1"/>
    <col min="12" max="12" width="12" style="38" bestFit="1" customWidth="1"/>
    <col min="13" max="13" width="10.5703125" style="35" bestFit="1" customWidth="1"/>
    <col min="14" max="14" width="10.5703125" style="35" customWidth="1"/>
    <col min="15" max="15" width="10.5703125" style="35" bestFit="1" customWidth="1"/>
    <col min="16" max="16" width="11.28515625" style="38" customWidth="1"/>
    <col min="17" max="17" width="10.5703125" style="38" bestFit="1" customWidth="1"/>
    <col min="18" max="18" width="12" style="38" bestFit="1" customWidth="1"/>
    <col min="19" max="19" width="47" customWidth="1"/>
  </cols>
  <sheetData>
    <row r="2" spans="1:19" ht="38.25" x14ac:dyDescent="0.25">
      <c r="A2" s="24" t="s">
        <v>37</v>
      </c>
      <c r="B2" s="24" t="s">
        <v>38</v>
      </c>
      <c r="C2" s="25" t="s">
        <v>39</v>
      </c>
      <c r="D2" s="25" t="s">
        <v>40</v>
      </c>
      <c r="E2" s="26" t="s">
        <v>41</v>
      </c>
      <c r="F2" s="26" t="s">
        <v>42</v>
      </c>
      <c r="G2" s="26" t="s">
        <v>43</v>
      </c>
      <c r="H2" s="26" t="s">
        <v>44</v>
      </c>
      <c r="I2" s="25" t="s">
        <v>45</v>
      </c>
      <c r="J2" s="27" t="s">
        <v>46</v>
      </c>
      <c r="K2" s="27" t="s">
        <v>47</v>
      </c>
      <c r="L2" s="27" t="s">
        <v>48</v>
      </c>
      <c r="M2" s="27" t="s">
        <v>49</v>
      </c>
      <c r="N2" s="27" t="s">
        <v>50</v>
      </c>
      <c r="O2" s="27" t="s">
        <v>51</v>
      </c>
      <c r="P2" s="28" t="s">
        <v>52</v>
      </c>
      <c r="Q2" s="28" t="s">
        <v>53</v>
      </c>
      <c r="R2" s="27" t="s">
        <v>54</v>
      </c>
    </row>
    <row r="3" spans="1:19" ht="25.5" x14ac:dyDescent="0.25">
      <c r="A3" s="45" t="s">
        <v>55</v>
      </c>
      <c r="B3" s="29" t="s">
        <v>58</v>
      </c>
      <c r="C3" s="29" t="s">
        <v>59</v>
      </c>
      <c r="D3" s="30" t="s">
        <v>56</v>
      </c>
      <c r="E3" s="31">
        <v>1</v>
      </c>
      <c r="F3" s="31">
        <v>4</v>
      </c>
      <c r="G3" s="31">
        <v>16</v>
      </c>
      <c r="H3" s="31">
        <v>500</v>
      </c>
      <c r="I3" s="32" t="s">
        <v>57</v>
      </c>
      <c r="J3" s="36">
        <f t="shared" ref="J3" si="0">((448*G3)/6)</f>
        <v>1194.6666666666667</v>
      </c>
      <c r="K3" s="36">
        <f t="shared" ref="K3" si="1">(H3*488)/100</f>
        <v>2440</v>
      </c>
      <c r="L3" s="36">
        <f t="shared" ref="L3" si="2">J3+K3</f>
        <v>3634.666666666667</v>
      </c>
      <c r="M3" s="36">
        <f>$D$8</f>
        <v>1676</v>
      </c>
      <c r="N3" s="36">
        <v>0</v>
      </c>
      <c r="O3" s="36">
        <v>0</v>
      </c>
      <c r="P3" s="36">
        <f>D9</f>
        <v>1578.0800000000002</v>
      </c>
      <c r="Q3" s="33">
        <v>0</v>
      </c>
      <c r="R3" s="34">
        <f t="shared" ref="R3:R4" si="3">SUM(L3:Q3)</f>
        <v>6888.7466666666669</v>
      </c>
      <c r="S3" s="35"/>
    </row>
    <row r="4" spans="1:19" ht="25.5" x14ac:dyDescent="0.25">
      <c r="A4" s="46" t="s">
        <v>15</v>
      </c>
      <c r="B4" s="29" t="s">
        <v>58</v>
      </c>
      <c r="C4" s="29" t="s">
        <v>59</v>
      </c>
      <c r="D4" s="30" t="s">
        <v>56</v>
      </c>
      <c r="E4" s="31">
        <v>1</v>
      </c>
      <c r="F4" s="31">
        <v>2</v>
      </c>
      <c r="G4" s="31">
        <v>8</v>
      </c>
      <c r="H4" s="31">
        <v>250</v>
      </c>
      <c r="I4" s="32" t="s">
        <v>57</v>
      </c>
      <c r="J4" s="36">
        <f t="shared" ref="J4" si="4">((448*G4)/6)</f>
        <v>597.33333333333337</v>
      </c>
      <c r="K4" s="36">
        <f t="shared" ref="K4" si="5">(H4*488)/100</f>
        <v>1220</v>
      </c>
      <c r="L4" s="36">
        <f t="shared" ref="L4" si="6">J4+K4</f>
        <v>1817.3333333333335</v>
      </c>
      <c r="M4" s="36"/>
      <c r="N4" s="36">
        <v>0</v>
      </c>
      <c r="O4" s="36">
        <v>0</v>
      </c>
      <c r="P4" s="36">
        <v>0</v>
      </c>
      <c r="Q4" s="33"/>
      <c r="R4" s="34">
        <f t="shared" si="3"/>
        <v>1817.3333333333335</v>
      </c>
    </row>
    <row r="5" spans="1:19" ht="15.75" thickBot="1" x14ac:dyDescent="0.3">
      <c r="L5" s="33">
        <f t="shared" ref="L5:R5" si="7">SUM(L3:L4)</f>
        <v>5452</v>
      </c>
      <c r="M5" s="33">
        <f t="shared" si="7"/>
        <v>1676</v>
      </c>
      <c r="N5" s="33">
        <f t="shared" si="7"/>
        <v>0</v>
      </c>
      <c r="O5" s="33">
        <f t="shared" si="7"/>
        <v>0</v>
      </c>
      <c r="P5" s="33">
        <f t="shared" si="7"/>
        <v>1578.0800000000002</v>
      </c>
      <c r="Q5" s="33">
        <f t="shared" si="7"/>
        <v>0</v>
      </c>
      <c r="R5" s="39">
        <f t="shared" si="7"/>
        <v>8706.08</v>
      </c>
    </row>
    <row r="6" spans="1:19" x14ac:dyDescent="0.25">
      <c r="C6" s="40" t="s">
        <v>60</v>
      </c>
      <c r="D6" s="41" t="s">
        <v>61</v>
      </c>
      <c r="P6" s="33">
        <f>SUM(N5:P5)</f>
        <v>1578.0800000000002</v>
      </c>
      <c r="Q6" s="33"/>
    </row>
    <row r="7" spans="1:19" x14ac:dyDescent="0.25">
      <c r="C7" s="42" t="s">
        <v>62</v>
      </c>
      <c r="D7" s="43">
        <f>196.08*1.12</f>
        <v>219.60960000000003</v>
      </c>
    </row>
    <row r="8" spans="1:19" x14ac:dyDescent="0.25">
      <c r="C8" s="42" t="s">
        <v>49</v>
      </c>
      <c r="D8" s="43">
        <v>1676</v>
      </c>
    </row>
    <row r="9" spans="1:19" x14ac:dyDescent="0.25">
      <c r="C9" s="42" t="s">
        <v>63</v>
      </c>
      <c r="D9" s="43">
        <f>(1409 * 1.12)</f>
        <v>1578.0800000000002</v>
      </c>
    </row>
    <row r="10" spans="1:19" x14ac:dyDescent="0.25">
      <c r="C10" s="42" t="s">
        <v>64</v>
      </c>
      <c r="D10" s="43">
        <f>17500*1.12</f>
        <v>19600.000000000004</v>
      </c>
      <c r="G10" s="44" t="s">
        <v>65</v>
      </c>
    </row>
    <row r="11" spans="1:19" x14ac:dyDescent="0.25">
      <c r="C11" s="42" t="s">
        <v>66</v>
      </c>
      <c r="D11" s="43">
        <f>3850*1.12</f>
        <v>4312</v>
      </c>
    </row>
    <row r="12" spans="1:19" x14ac:dyDescent="0.25">
      <c r="C12" s="42" t="s">
        <v>53</v>
      </c>
      <c r="D12" s="43">
        <f>1020*1.12</f>
        <v>1142.4000000000001</v>
      </c>
      <c r="L12" s="3"/>
      <c r="M12" s="3"/>
    </row>
    <row r="13" spans="1:19" x14ac:dyDescent="0.25">
      <c r="C13" s="42" t="s">
        <v>67</v>
      </c>
      <c r="D13" s="43">
        <f>77.76*1.12</f>
        <v>87.091200000000015</v>
      </c>
      <c r="L13" s="3"/>
      <c r="M13" s="3"/>
    </row>
    <row r="14" spans="1:19" x14ac:dyDescent="0.25">
      <c r="L14" s="3"/>
      <c r="M14" s="3"/>
    </row>
    <row r="15" spans="1:19" x14ac:dyDescent="0.25">
      <c r="L15" s="3"/>
      <c r="M15" s="3"/>
    </row>
    <row r="16" spans="1:19" x14ac:dyDescent="0.25">
      <c r="L16" s="3"/>
      <c r="M16" s="3"/>
    </row>
    <row r="17" spans="13:13" x14ac:dyDescent="0.25">
      <c r="M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</vt:lpstr>
      <vt:lpstr>Costo Banco</vt:lpstr>
      <vt:lpstr>HW &amp; SW BB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2019-02-19T20:53:43Z</dcterms:created>
  <dcterms:modified xsi:type="dcterms:W3CDTF">2019-02-21T15:47:34Z</dcterms:modified>
</cp:coreProperties>
</file>