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sto HW &amp; SW" sheetId="5" r:id="rId1"/>
    <sheet name="Consolidado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7" l="1"/>
  <c r="E18" i="7"/>
  <c r="E17" i="7"/>
  <c r="E16" i="7"/>
  <c r="E13" i="7"/>
  <c r="E12" i="7"/>
  <c r="E14" i="7" l="1"/>
  <c r="F14" i="7" s="1"/>
  <c r="E4" i="7"/>
  <c r="G4" i="7"/>
  <c r="E5" i="7"/>
  <c r="G5" i="7" s="1"/>
  <c r="G6" i="7" l="1"/>
  <c r="E15" i="7"/>
  <c r="F15" i="7"/>
  <c r="F19" i="7" s="1"/>
  <c r="E19" i="7" l="1"/>
  <c r="L18" i="5" l="1"/>
  <c r="M18" i="5"/>
  <c r="M17" i="5"/>
  <c r="M16" i="5" l="1"/>
  <c r="M15" i="5"/>
  <c r="M14" i="5"/>
  <c r="D15" i="5" l="1"/>
  <c r="D9" i="5"/>
  <c r="J5" i="5" l="1"/>
  <c r="K5" i="5"/>
  <c r="J6" i="5"/>
  <c r="K6" i="5"/>
  <c r="D11" i="5"/>
  <c r="O7" i="5"/>
  <c r="D14" i="5"/>
  <c r="D13" i="5"/>
  <c r="D12" i="5"/>
  <c r="M4" i="5"/>
  <c r="K4" i="5"/>
  <c r="J4" i="5"/>
  <c r="N7" i="5"/>
  <c r="M3" i="5"/>
  <c r="K3" i="5"/>
  <c r="J3" i="5"/>
  <c r="P6" i="5" l="1"/>
  <c r="P4" i="5"/>
  <c r="M7" i="5"/>
  <c r="L3" i="5"/>
  <c r="L6" i="5"/>
  <c r="L4" i="5"/>
  <c r="L5" i="5"/>
  <c r="Q7" i="5" l="1"/>
  <c r="L7" i="5"/>
  <c r="P7" i="5"/>
  <c r="P8" i="5" s="1"/>
  <c r="R5" i="5"/>
  <c r="R3" i="5"/>
  <c r="R4" i="5"/>
  <c r="R6" i="5"/>
  <c r="Q8" i="5" l="1"/>
  <c r="R7" i="5"/>
</calcChain>
</file>

<file path=xl/sharedStrings.xml><?xml version="1.0" encoding="utf-8"?>
<sst xmlns="http://schemas.openxmlformats.org/spreadsheetml/2006/main" count="69" uniqueCount="57">
  <si>
    <t>Ambiente</t>
  </si>
  <si>
    <t>Fisico / Virtual</t>
  </si>
  <si>
    <t>CPUs</t>
  </si>
  <si>
    <t>Virtual</t>
  </si>
  <si>
    <t>Nombre</t>
  </si>
  <si>
    <t>Descripción</t>
  </si>
  <si>
    <t>IBM WebSphere</t>
  </si>
  <si>
    <t>Costo Hardware</t>
  </si>
  <si>
    <t>Total Server</t>
  </si>
  <si>
    <t>Memory GB</t>
  </si>
  <si>
    <t>Disco GB</t>
  </si>
  <si>
    <t>Costo Memoria</t>
  </si>
  <si>
    <t>Costo Disco</t>
  </si>
  <si>
    <t>SO_Versión/ Aplicaciones</t>
  </si>
  <si>
    <t>Monitoreo/ Antivirus/ Imagen</t>
  </si>
  <si>
    <t>Licencia</t>
  </si>
  <si>
    <t>Costo</t>
  </si>
  <si>
    <t>SQL Server 2014 Estandar + IVA</t>
  </si>
  <si>
    <t>Servidor de Base de datos</t>
  </si>
  <si>
    <t xml:space="preserve"> </t>
  </si>
  <si>
    <t>Servidor Aplicación</t>
  </si>
  <si>
    <t>PRODUCCIÓN</t>
  </si>
  <si>
    <t>Suscripción Linux</t>
  </si>
  <si>
    <t>IBM MQ</t>
  </si>
  <si>
    <t>COREs</t>
  </si>
  <si>
    <t>DESARROLLO</t>
  </si>
  <si>
    <t>Oracle Standard Edition 12 c por Procesador</t>
  </si>
  <si>
    <t>Software Update License &amp; Support Oracle</t>
  </si>
  <si>
    <t>Costo de MQ por PVU + SW Suscription &amp; Support 12 Months</t>
  </si>
  <si>
    <t>IBM WebSphere por PVU + SW Suscription &amp; Support 12 Months</t>
  </si>
  <si>
    <t>Servidor de Aplicación</t>
  </si>
  <si>
    <t>SQL Server 2016</t>
  </si>
  <si>
    <t>Windows Server 2016 Standard</t>
  </si>
  <si>
    <t>Hardware y Software</t>
  </si>
  <si>
    <t>Para manejador de colas y Microservicios</t>
  </si>
  <si>
    <t>Servidor de BD</t>
  </si>
  <si>
    <t>CONCEPTO</t>
  </si>
  <si>
    <t>AÑO 0</t>
  </si>
  <si>
    <t>AÑO 1</t>
  </si>
  <si>
    <t>Mantenimiento Anual</t>
  </si>
  <si>
    <t>SUBTOTAL</t>
  </si>
  <si>
    <t>Servicios Profesionales Banco</t>
  </si>
  <si>
    <t>TOTAL</t>
  </si>
  <si>
    <t>COSTOS DE RECURSO HUMANO EXTERNO</t>
  </si>
  <si>
    <t>GRUPO</t>
  </si>
  <si>
    <t>DESCRIPCIÓN</t>
  </si>
  <si>
    <t>CANTIDAD</t>
  </si>
  <si>
    <t>COSTO UNITARIO</t>
  </si>
  <si>
    <t>MESES</t>
  </si>
  <si>
    <t>COSTO TOTAL</t>
  </si>
  <si>
    <t>Recurso Senior</t>
  </si>
  <si>
    <t>TESTING</t>
  </si>
  <si>
    <t>Analista Junior</t>
  </si>
  <si>
    <t>TOTAL RECURSO HUMANO</t>
  </si>
  <si>
    <t>Desarrollo HITO 1</t>
  </si>
  <si>
    <t>Desarrollo HITO 2</t>
  </si>
  <si>
    <t>Notificaciones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</si>
</sst>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\ * #,##0.00_);_(&quot;$&quot;\ * \(#,##0.00\);_(&quot;$&quot;\ * &quot;-&quot;??_);_(@_)"/>
    <numFmt numFmtId="164" formatCode="_-* #,##0.00\ _$_-;\-* #,##0.00\ _$_-;_-* &quot;-&quot;??\ _$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/>
    <xf numFmtId="0" fontId="5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5" fillId="5" borderId="1" xfId="1" applyFont="1" applyFill="1" applyBorder="1"/>
    <xf numFmtId="44" fontId="0" fillId="0" borderId="0" xfId="0" applyNumberFormat="1"/>
    <xf numFmtId="44" fontId="7" fillId="4" borderId="3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1" applyFont="1" applyFill="1" applyBorder="1" applyAlignment="1">
      <alignment horizontal="center" vertical="center" wrapText="1"/>
    </xf>
    <xf numFmtId="44" fontId="5" fillId="4" borderId="2" xfId="2" applyFont="1" applyFill="1" applyBorder="1" applyAlignment="1">
      <alignment horizontal="center" vertical="center" wrapText="1"/>
    </xf>
    <xf numFmtId="164" fontId="0" fillId="0" borderId="0" xfId="1" applyFont="1"/>
    <xf numFmtId="164" fontId="5" fillId="4" borderId="2" xfId="1" applyFont="1" applyFill="1" applyBorder="1" applyAlignment="1">
      <alignment horizontal="center" wrapText="1"/>
    </xf>
    <xf numFmtId="4" fontId="0" fillId="0" borderId="0" xfId="0" applyNumberFormat="1"/>
    <xf numFmtId="0" fontId="0" fillId="0" borderId="2" xfId="0" applyBorder="1"/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center"/>
    </xf>
    <xf numFmtId="0" fontId="0" fillId="0" borderId="9" xfId="0" applyBorder="1"/>
    <xf numFmtId="4" fontId="0" fillId="0" borderId="6" xfId="0" applyNumberFormat="1" applyBorder="1"/>
    <xf numFmtId="4" fontId="0" fillId="0" borderId="2" xfId="0" applyNumberFormat="1" applyBorder="1"/>
    <xf numFmtId="0" fontId="0" fillId="0" borderId="10" xfId="0" applyBorder="1"/>
    <xf numFmtId="0" fontId="9" fillId="0" borderId="10" xfId="0" applyFont="1" applyBorder="1"/>
    <xf numFmtId="4" fontId="9" fillId="0" borderId="11" xfId="0" applyNumberFormat="1" applyFont="1" applyBorder="1"/>
    <xf numFmtId="164" fontId="0" fillId="0" borderId="2" xfId="1" applyFont="1" applyBorder="1"/>
    <xf numFmtId="0" fontId="7" fillId="0" borderId="12" xfId="0" applyFont="1" applyFill="1" applyBorder="1"/>
    <xf numFmtId="4" fontId="7" fillId="0" borderId="13" xfId="0" applyNumberFormat="1" applyFont="1" applyBorder="1"/>
    <xf numFmtId="0" fontId="8" fillId="3" borderId="10" xfId="0" applyFont="1" applyFill="1" applyBorder="1"/>
    <xf numFmtId="0" fontId="8" fillId="3" borderId="2" xfId="0" applyFont="1" applyFill="1" applyBorder="1"/>
    <xf numFmtId="0" fontId="8" fillId="3" borderId="17" xfId="0" applyFont="1" applyFill="1" applyBorder="1"/>
    <xf numFmtId="4" fontId="0" fillId="0" borderId="17" xfId="0" applyNumberFormat="1" applyBorder="1"/>
    <xf numFmtId="4" fontId="7" fillId="0" borderId="18" xfId="0" applyNumberFormat="1" applyFont="1" applyBorder="1"/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topLeftCell="A2" workbookViewId="0">
      <pane xSplit="2" ySplit="1" topLeftCell="D3" activePane="bottomRight" state="frozen"/>
      <selection activeCell="A2" sqref="A2"/>
      <selection pane="topRight" activeCell="C2" sqref="C2"/>
      <selection pane="bottomLeft" activeCell="A3" sqref="A3"/>
      <selection pane="bottomRight" activeCell="G5" sqref="G5"/>
    </sheetView>
  </sheetViews>
  <sheetFormatPr baseColWidth="10" defaultColWidth="9.140625" defaultRowHeight="15" x14ac:dyDescent="0.25"/>
  <cols>
    <col min="1" max="1" width="11.5703125" bestFit="1" customWidth="1"/>
    <col min="2" max="2" width="19.5703125" customWidth="1"/>
    <col min="3" max="3" width="25.7109375" customWidth="1"/>
    <col min="4" max="4" width="11.42578125" bestFit="1" customWidth="1"/>
    <col min="5" max="5" width="5.42578125" style="3" customWidth="1"/>
    <col min="6" max="6" width="6" style="3" customWidth="1"/>
    <col min="7" max="8" width="7.140625" style="3" customWidth="1"/>
    <col min="9" max="9" width="13.7109375" customWidth="1"/>
    <col min="10" max="10" width="9.5703125" style="1" bestFit="1" customWidth="1"/>
    <col min="11" max="11" width="9.85546875" style="1" bestFit="1" customWidth="1"/>
    <col min="12" max="12" width="12" style="1" bestFit="1" customWidth="1"/>
    <col min="13" max="13" width="10.5703125" style="2" bestFit="1" customWidth="1"/>
    <col min="14" max="14" width="10.5703125" style="2" customWidth="1"/>
    <col min="15" max="15" width="10.5703125" style="2" bestFit="1" customWidth="1"/>
    <col min="16" max="16" width="11.28515625" style="1" customWidth="1"/>
    <col min="17" max="17" width="10.5703125" style="1" bestFit="1" customWidth="1"/>
    <col min="18" max="18" width="12" style="1" bestFit="1" customWidth="1"/>
    <col min="19" max="19" width="47" customWidth="1"/>
  </cols>
  <sheetData>
    <row r="2" spans="1:19" ht="38.25" x14ac:dyDescent="0.25">
      <c r="A2" s="10" t="s">
        <v>0</v>
      </c>
      <c r="B2" s="10" t="s">
        <v>4</v>
      </c>
      <c r="C2" s="11" t="s">
        <v>5</v>
      </c>
      <c r="D2" s="11" t="s">
        <v>1</v>
      </c>
      <c r="E2" s="12" t="s">
        <v>2</v>
      </c>
      <c r="F2" s="12" t="s">
        <v>24</v>
      </c>
      <c r="G2" s="12" t="s">
        <v>9</v>
      </c>
      <c r="H2" s="12" t="s">
        <v>10</v>
      </c>
      <c r="I2" s="11" t="s">
        <v>13</v>
      </c>
      <c r="J2" s="13" t="s">
        <v>11</v>
      </c>
      <c r="K2" s="13" t="s">
        <v>12</v>
      </c>
      <c r="L2" s="13" t="s">
        <v>7</v>
      </c>
      <c r="M2" s="13" t="s">
        <v>14</v>
      </c>
      <c r="N2" s="13" t="s">
        <v>6</v>
      </c>
      <c r="O2" s="13" t="s">
        <v>23</v>
      </c>
      <c r="P2" s="14" t="s">
        <v>31</v>
      </c>
      <c r="Q2" s="14" t="s">
        <v>22</v>
      </c>
      <c r="R2" s="13" t="s">
        <v>8</v>
      </c>
    </row>
    <row r="3" spans="1:19" ht="25.5" x14ac:dyDescent="0.25">
      <c r="A3" s="41" t="s">
        <v>21</v>
      </c>
      <c r="B3" s="15" t="s">
        <v>30</v>
      </c>
      <c r="C3" s="15" t="s">
        <v>34</v>
      </c>
      <c r="D3" s="16" t="s">
        <v>3</v>
      </c>
      <c r="E3" s="17">
        <v>1</v>
      </c>
      <c r="F3" s="17">
        <v>4</v>
      </c>
      <c r="G3" s="17">
        <v>24</v>
      </c>
      <c r="H3" s="17">
        <v>500</v>
      </c>
      <c r="I3" s="18" t="s">
        <v>32</v>
      </c>
      <c r="J3" s="19">
        <f>((448*G3)/6)</f>
        <v>1792</v>
      </c>
      <c r="K3" s="19">
        <f>(H3*488)/100</f>
        <v>2440</v>
      </c>
      <c r="L3" s="19">
        <f>J3+K3</f>
        <v>4232</v>
      </c>
      <c r="M3" s="19">
        <f>$D$10</f>
        <v>1676</v>
      </c>
      <c r="N3" s="19">
        <v>0</v>
      </c>
      <c r="O3" s="19">
        <v>0</v>
      </c>
      <c r="P3" s="19">
        <v>0</v>
      </c>
      <c r="Q3" s="19">
        <v>0</v>
      </c>
      <c r="R3" s="20">
        <f t="shared" ref="R3:R6" si="0">SUM(L3:Q3)</f>
        <v>5908</v>
      </c>
      <c r="S3" s="2"/>
    </row>
    <row r="4" spans="1:19" ht="25.5" x14ac:dyDescent="0.25">
      <c r="A4" s="42"/>
      <c r="B4" s="15" t="s">
        <v>35</v>
      </c>
      <c r="C4" s="15" t="s">
        <v>18</v>
      </c>
      <c r="D4" s="16" t="s">
        <v>3</v>
      </c>
      <c r="E4" s="17">
        <v>1</v>
      </c>
      <c r="F4" s="17">
        <v>4</v>
      </c>
      <c r="G4" s="17">
        <v>24</v>
      </c>
      <c r="H4" s="17">
        <v>500</v>
      </c>
      <c r="I4" s="18" t="s">
        <v>32</v>
      </c>
      <c r="J4" s="22">
        <f t="shared" ref="J4" si="1">((448*G4)/6)</f>
        <v>1792</v>
      </c>
      <c r="K4" s="22">
        <f t="shared" ref="K4" si="2">(H4*488)/100</f>
        <v>2440</v>
      </c>
      <c r="L4" s="22">
        <f t="shared" ref="L4" si="3">J4+K4</f>
        <v>4232</v>
      </c>
      <c r="M4" s="22">
        <f>$D$10</f>
        <v>1676</v>
      </c>
      <c r="N4" s="22">
        <v>0</v>
      </c>
      <c r="O4" s="22">
        <v>0</v>
      </c>
      <c r="P4" s="22">
        <f>D11</f>
        <v>1578.0800000000002</v>
      </c>
      <c r="Q4" s="19">
        <v>0</v>
      </c>
      <c r="R4" s="20">
        <f t="shared" si="0"/>
        <v>7486.08</v>
      </c>
      <c r="S4" s="2"/>
    </row>
    <row r="5" spans="1:19" ht="25.5" x14ac:dyDescent="0.25">
      <c r="A5" s="41" t="s">
        <v>25</v>
      </c>
      <c r="B5" s="15" t="s">
        <v>20</v>
      </c>
      <c r="C5" s="15" t="s">
        <v>34</v>
      </c>
      <c r="D5" s="16" t="s">
        <v>3</v>
      </c>
      <c r="E5" s="17">
        <v>1</v>
      </c>
      <c r="F5" s="17">
        <v>2</v>
      </c>
      <c r="G5" s="17">
        <v>8</v>
      </c>
      <c r="H5" s="17">
        <v>250</v>
      </c>
      <c r="I5" s="18" t="s">
        <v>32</v>
      </c>
      <c r="J5" s="19">
        <f>((448*G5)/6)</f>
        <v>597.33333333333337</v>
      </c>
      <c r="K5" s="19">
        <f>(H5*488)/100</f>
        <v>1220</v>
      </c>
      <c r="L5" s="19">
        <f>J5+K5</f>
        <v>1817.3333333333335</v>
      </c>
      <c r="M5" s="19"/>
      <c r="N5" s="19"/>
      <c r="O5" s="19"/>
      <c r="P5" s="19">
        <v>0</v>
      </c>
      <c r="Q5" s="19"/>
      <c r="R5" s="20">
        <f t="shared" si="0"/>
        <v>1817.3333333333335</v>
      </c>
      <c r="S5" s="8"/>
    </row>
    <row r="6" spans="1:19" ht="25.5" x14ac:dyDescent="0.25">
      <c r="A6" s="43"/>
      <c r="B6" s="15" t="s">
        <v>35</v>
      </c>
      <c r="C6" s="15" t="s">
        <v>18</v>
      </c>
      <c r="D6" s="16" t="s">
        <v>3</v>
      </c>
      <c r="E6" s="17">
        <v>1</v>
      </c>
      <c r="F6" s="17">
        <v>2</v>
      </c>
      <c r="G6" s="17">
        <v>8</v>
      </c>
      <c r="H6" s="17">
        <v>250</v>
      </c>
      <c r="I6" s="18" t="s">
        <v>32</v>
      </c>
      <c r="J6" s="22">
        <f t="shared" ref="J6" si="4">((448*G6)/6)</f>
        <v>597.33333333333337</v>
      </c>
      <c r="K6" s="22">
        <f t="shared" ref="K6" si="5">(H6*488)/100</f>
        <v>1220</v>
      </c>
      <c r="L6" s="22">
        <f t="shared" ref="L6" si="6">J6+K6</f>
        <v>1817.3333333333335</v>
      </c>
      <c r="M6" s="22"/>
      <c r="N6" s="22">
        <v>0</v>
      </c>
      <c r="O6" s="22">
        <v>0</v>
      </c>
      <c r="P6" s="22">
        <f>D11</f>
        <v>1578.0800000000002</v>
      </c>
      <c r="Q6" s="19"/>
      <c r="R6" s="20">
        <f t="shared" si="0"/>
        <v>3395.4133333333339</v>
      </c>
    </row>
    <row r="7" spans="1:19" ht="15.75" thickBot="1" x14ac:dyDescent="0.3">
      <c r="L7" s="19">
        <f>SUM(L3:L6)</f>
        <v>12098.666666666668</v>
      </c>
      <c r="M7" s="19">
        <f t="shared" ref="M7:P7" si="7">SUM(M3:M6)</f>
        <v>3352</v>
      </c>
      <c r="N7" s="19">
        <f t="shared" si="7"/>
        <v>0</v>
      </c>
      <c r="O7" s="19">
        <f t="shared" si="7"/>
        <v>0</v>
      </c>
      <c r="P7" s="19">
        <f t="shared" si="7"/>
        <v>3156.1600000000003</v>
      </c>
      <c r="Q7" s="19">
        <f>SUM(Q3:Q6)</f>
        <v>0</v>
      </c>
      <c r="R7" s="9">
        <f>SUM(R3:R6)</f>
        <v>18606.826666666668</v>
      </c>
    </row>
    <row r="8" spans="1:19" x14ac:dyDescent="0.25">
      <c r="C8" s="5" t="s">
        <v>15</v>
      </c>
      <c r="D8" s="6" t="s">
        <v>16</v>
      </c>
      <c r="P8" s="19">
        <f>SUM(N7:P7)</f>
        <v>3156.1600000000003</v>
      </c>
      <c r="Q8" s="19">
        <f>SUM(M7:Q7)</f>
        <v>6508.16</v>
      </c>
    </row>
    <row r="9" spans="1:19" x14ac:dyDescent="0.25">
      <c r="C9" s="4" t="s">
        <v>29</v>
      </c>
      <c r="D9" s="7">
        <f>196.08*1.12</f>
        <v>219.60960000000003</v>
      </c>
    </row>
    <row r="10" spans="1:19" x14ac:dyDescent="0.25">
      <c r="C10" s="4" t="s">
        <v>14</v>
      </c>
      <c r="D10" s="7">
        <v>1676</v>
      </c>
    </row>
    <row r="11" spans="1:19" x14ac:dyDescent="0.25">
      <c r="C11" s="4" t="s">
        <v>17</v>
      </c>
      <c r="D11" s="7">
        <f>(1409 * 1.12)</f>
        <v>1578.0800000000002</v>
      </c>
    </row>
    <row r="12" spans="1:19" x14ac:dyDescent="0.25">
      <c r="C12" s="4" t="s">
        <v>26</v>
      </c>
      <c r="D12" s="7">
        <f>17500*1.12</f>
        <v>19600.000000000004</v>
      </c>
      <c r="G12" s="21" t="s">
        <v>19</v>
      </c>
    </row>
    <row r="13" spans="1:19" x14ac:dyDescent="0.25">
      <c r="C13" s="4" t="s">
        <v>27</v>
      </c>
      <c r="D13" s="7">
        <f>3850*1.12</f>
        <v>4312</v>
      </c>
    </row>
    <row r="14" spans="1:19" x14ac:dyDescent="0.25">
      <c r="C14" s="4" t="s">
        <v>22</v>
      </c>
      <c r="D14" s="7">
        <f>1020*1.12</f>
        <v>1142.4000000000001</v>
      </c>
      <c r="L14" s="23">
        <v>13200</v>
      </c>
      <c r="M14" s="23">
        <f>L14*1.12</f>
        <v>14784.000000000002</v>
      </c>
    </row>
    <row r="15" spans="1:19" x14ac:dyDescent="0.25">
      <c r="C15" s="4" t="s">
        <v>28</v>
      </c>
      <c r="D15" s="7">
        <f>77.76*1.12</f>
        <v>87.091200000000015</v>
      </c>
      <c r="L15" s="23">
        <v>106470</v>
      </c>
      <c r="M15" s="23">
        <f>L15*1.12</f>
        <v>119246.40000000001</v>
      </c>
    </row>
    <row r="16" spans="1:19" x14ac:dyDescent="0.25">
      <c r="L16" s="23">
        <v>19000</v>
      </c>
      <c r="M16" s="23">
        <f>L16</f>
        <v>19000</v>
      </c>
    </row>
    <row r="17" spans="12:13" x14ac:dyDescent="0.25">
      <c r="L17" s="23">
        <v>24600</v>
      </c>
      <c r="M17" s="23">
        <f>L17*1.12</f>
        <v>27552.000000000004</v>
      </c>
    </row>
    <row r="18" spans="12:13" x14ac:dyDescent="0.25">
      <c r="L18" s="23">
        <f>SUM(L14:L17)</f>
        <v>163270</v>
      </c>
      <c r="M18" s="23">
        <f>SUM(M14:M17)</f>
        <v>180582.40000000002</v>
      </c>
    </row>
    <row r="19" spans="12:13" x14ac:dyDescent="0.25">
      <c r="M19" s="23"/>
    </row>
  </sheetData>
  <mergeCells count="2">
    <mergeCell ref="A3:A4"/>
    <mergeCell ref="A5:A6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H17" sqref="H17"/>
    </sheetView>
  </sheetViews>
  <sheetFormatPr baseColWidth="10" defaultRowHeight="15" x14ac:dyDescent="0.25"/>
  <cols>
    <col min="2" max="2" width="12.42578125" bestFit="1" customWidth="1"/>
    <col min="3" max="3" width="14.140625" bestFit="1" customWidth="1"/>
    <col min="4" max="4" width="28.5703125" bestFit="1" customWidth="1"/>
    <col min="5" max="5" width="13" bestFit="1" customWidth="1"/>
    <col min="6" max="6" width="14.85546875" customWidth="1"/>
    <col min="7" max="11" width="10.7109375" customWidth="1"/>
  </cols>
  <sheetData>
    <row r="1" spans="2:8" ht="15.75" thickBot="1" x14ac:dyDescent="0.3"/>
    <row r="2" spans="2:8" x14ac:dyDescent="0.25">
      <c r="B2" s="44" t="s">
        <v>43</v>
      </c>
      <c r="C2" s="45"/>
      <c r="D2" s="45"/>
      <c r="E2" s="45"/>
      <c r="F2" s="45"/>
      <c r="G2" s="46"/>
      <c r="H2" s="23"/>
    </row>
    <row r="3" spans="2:8" x14ac:dyDescent="0.25">
      <c r="B3" s="36" t="s">
        <v>44</v>
      </c>
      <c r="C3" s="37" t="s">
        <v>45</v>
      </c>
      <c r="D3" s="37" t="s">
        <v>46</v>
      </c>
      <c r="E3" s="37" t="s">
        <v>47</v>
      </c>
      <c r="F3" s="37" t="s">
        <v>48</v>
      </c>
      <c r="G3" s="38" t="s">
        <v>49</v>
      </c>
      <c r="H3" s="23"/>
    </row>
    <row r="4" spans="2:8" x14ac:dyDescent="0.25">
      <c r="B4" s="30" t="s">
        <v>25</v>
      </c>
      <c r="C4" s="24" t="s">
        <v>50</v>
      </c>
      <c r="D4" s="24">
        <v>3</v>
      </c>
      <c r="E4" s="29">
        <f>2176*1.12</f>
        <v>2437.1200000000003</v>
      </c>
      <c r="F4" s="24">
        <v>6</v>
      </c>
      <c r="G4" s="39">
        <f t="shared" ref="G4:G5" si="0">D4*E4*F4</f>
        <v>43868.160000000003</v>
      </c>
      <c r="H4" s="23"/>
    </row>
    <row r="5" spans="2:8" x14ac:dyDescent="0.25">
      <c r="B5" s="30" t="s">
        <v>51</v>
      </c>
      <c r="C5" s="24" t="s">
        <v>52</v>
      </c>
      <c r="D5" s="24">
        <v>1</v>
      </c>
      <c r="E5" s="29">
        <f>1850*1.12</f>
        <v>2072</v>
      </c>
      <c r="F5" s="24">
        <v>4</v>
      </c>
      <c r="G5" s="39">
        <f t="shared" si="0"/>
        <v>8288</v>
      </c>
    </row>
    <row r="6" spans="2:8" ht="15.75" thickBot="1" x14ac:dyDescent="0.3">
      <c r="B6" s="47" t="s">
        <v>53</v>
      </c>
      <c r="C6" s="48"/>
      <c r="D6" s="48"/>
      <c r="E6" s="48"/>
      <c r="F6" s="48"/>
      <c r="G6" s="40">
        <f>SUM(G4:G5)</f>
        <v>52156.160000000003</v>
      </c>
    </row>
    <row r="7" spans="2:8" x14ac:dyDescent="0.25">
      <c r="F7" s="23"/>
    </row>
    <row r="11" spans="2:8" ht="15.75" thickBot="1" x14ac:dyDescent="0.3">
      <c r="D11" s="25" t="s">
        <v>36</v>
      </c>
      <c r="E11" s="26" t="s">
        <v>37</v>
      </c>
      <c r="F11" s="26" t="s">
        <v>38</v>
      </c>
    </row>
    <row r="12" spans="2:8" x14ac:dyDescent="0.25">
      <c r="D12" s="27" t="s">
        <v>54</v>
      </c>
      <c r="E12" s="28">
        <f>13200*1.12</f>
        <v>14784.000000000002</v>
      </c>
      <c r="F12" s="29">
        <v>0</v>
      </c>
    </row>
    <row r="13" spans="2:8" x14ac:dyDescent="0.25">
      <c r="D13" s="27" t="s">
        <v>55</v>
      </c>
      <c r="E13" s="28">
        <f>106470*1.12</f>
        <v>119246.40000000001</v>
      </c>
      <c r="F13" s="29">
        <v>0</v>
      </c>
    </row>
    <row r="14" spans="2:8" ht="15.75" thickBot="1" x14ac:dyDescent="0.3">
      <c r="D14" s="30" t="s">
        <v>39</v>
      </c>
      <c r="E14" s="29">
        <f>(E12+E13)*0.2</f>
        <v>26806.080000000005</v>
      </c>
      <c r="F14" s="29">
        <f>E14</f>
        <v>26806.080000000005</v>
      </c>
    </row>
    <row r="15" spans="2:8" ht="15.75" thickTop="1" x14ac:dyDescent="0.25">
      <c r="D15" s="31" t="s">
        <v>40</v>
      </c>
      <c r="E15" s="32">
        <f>SUM(E12:E14)</f>
        <v>160836.48000000004</v>
      </c>
      <c r="F15" s="32">
        <f>SUM(F12:F14)</f>
        <v>26806.080000000005</v>
      </c>
    </row>
    <row r="16" spans="2:8" x14ac:dyDescent="0.25">
      <c r="D16" s="30" t="s">
        <v>41</v>
      </c>
      <c r="E16" s="29">
        <f>G6</f>
        <v>52156.160000000003</v>
      </c>
      <c r="F16" s="33">
        <v>0</v>
      </c>
    </row>
    <row r="17" spans="4:6" x14ac:dyDescent="0.25">
      <c r="D17" s="30" t="s">
        <v>33</v>
      </c>
      <c r="E17" s="29">
        <f>'Costo HW &amp; SW'!R7</f>
        <v>18606.826666666668</v>
      </c>
      <c r="F17" s="33">
        <v>0</v>
      </c>
    </row>
    <row r="18" spans="4:6" ht="15.75" thickBot="1" x14ac:dyDescent="0.3">
      <c r="D18" s="30" t="s">
        <v>56</v>
      </c>
      <c r="E18" s="29">
        <f>24600*1.12</f>
        <v>27552.000000000004</v>
      </c>
      <c r="F18" s="29">
        <f>E18*0.2</f>
        <v>5510.4000000000015</v>
      </c>
    </row>
    <row r="19" spans="4:6" ht="16.5" thickTop="1" thickBot="1" x14ac:dyDescent="0.3">
      <c r="D19" s="34" t="s">
        <v>42</v>
      </c>
      <c r="E19" s="35">
        <f>SUM(E15:E18)</f>
        <v>259151.4666666667</v>
      </c>
      <c r="F19" s="35">
        <f>SUM(F15:F18)</f>
        <v>32316.480000000007</v>
      </c>
    </row>
  </sheetData>
  <mergeCells count="2">
    <mergeCell ref="B2:G2"/>
    <mergeCell ref="B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 HW &amp; SW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2019-02-21T16:46:00Z</dcterms:modified>
</cp:coreProperties>
</file>