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AquestLlibreDeTreball" defaultThemeVersion="164011"/>
  <bookViews>
    <workbookView xWindow="0" yWindow="0" windowWidth="20400" windowHeight="7620" firstSheet="1" activeTab="1"/>
  </bookViews>
  <sheets>
    <sheet name="w" sheetId="8" state="hidden" r:id="rId1"/>
    <sheet name="Costo HW &amp; SW PostGre SQL" sheetId="12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2" l="1"/>
  <c r="H23" i="12"/>
  <c r="G27" i="12"/>
  <c r="H27" i="12" s="1"/>
  <c r="E27" i="12"/>
  <c r="F27" i="12"/>
  <c r="D27" i="12"/>
  <c r="G26" i="12"/>
  <c r="H26" i="12" s="1"/>
  <c r="E26" i="12"/>
  <c r="F26" i="12"/>
  <c r="D26" i="12"/>
  <c r="G20" i="12" l="1"/>
  <c r="G25" i="12"/>
  <c r="H25" i="12" l="1"/>
  <c r="F25" i="12"/>
  <c r="E25" i="12"/>
  <c r="J36" i="12"/>
  <c r="D25" i="12" s="1"/>
  <c r="E21" i="12"/>
  <c r="E22" i="12"/>
  <c r="D22" i="12"/>
  <c r="D21" i="12"/>
  <c r="E20" i="12"/>
  <c r="D20" i="12"/>
  <c r="G35" i="12"/>
  <c r="G30" i="12"/>
  <c r="R4" i="12" l="1"/>
  <c r="R5" i="12"/>
  <c r="R6" i="12"/>
  <c r="R7" i="12"/>
  <c r="R8" i="12"/>
  <c r="R14" i="12"/>
  <c r="F21" i="12" s="1"/>
  <c r="R15" i="12"/>
  <c r="R16" i="12"/>
  <c r="R17" i="12"/>
  <c r="R3" i="12"/>
  <c r="Q17" i="12"/>
  <c r="P17" i="12"/>
  <c r="Q16" i="12"/>
  <c r="P16" i="12"/>
  <c r="Q15" i="12"/>
  <c r="P15" i="12"/>
  <c r="S15" i="12" s="1"/>
  <c r="Q14" i="12"/>
  <c r="P14" i="12"/>
  <c r="Q8" i="12"/>
  <c r="P8" i="12"/>
  <c r="Q7" i="12"/>
  <c r="P7" i="12"/>
  <c r="Q6" i="12"/>
  <c r="P6" i="12"/>
  <c r="Q5" i="12"/>
  <c r="P5" i="12"/>
  <c r="S5" i="12" s="1"/>
  <c r="Q4" i="12"/>
  <c r="P4" i="12"/>
  <c r="S4" i="12" s="1"/>
  <c r="Q3" i="12"/>
  <c r="P3" i="12"/>
  <c r="A25" i="12"/>
  <c r="B25" i="12" s="1"/>
  <c r="B21" i="12"/>
  <c r="S14" i="12" l="1"/>
  <c r="G21" i="12" s="1"/>
  <c r="H21" i="12" s="1"/>
  <c r="F22" i="12"/>
  <c r="F20" i="12"/>
  <c r="S6" i="12"/>
  <c r="S7" i="12"/>
  <c r="S16" i="12"/>
  <c r="G22" i="12" s="1"/>
  <c r="H22" i="12" s="1"/>
  <c r="S8" i="12"/>
  <c r="H20" i="12" s="1"/>
  <c r="I25" i="12" s="1"/>
  <c r="S17" i="12"/>
  <c r="S3" i="12"/>
  <c r="D24" i="8" l="1"/>
  <c r="O5" i="8" s="1"/>
  <c r="D23" i="8"/>
  <c r="Q3" i="8" s="1"/>
  <c r="D22" i="8"/>
  <c r="D21" i="8"/>
  <c r="D20" i="8"/>
  <c r="D18" i="8"/>
  <c r="N6" i="8" s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O11" i="8"/>
  <c r="Q4" i="8"/>
  <c r="Q12" i="8"/>
  <c r="J3" i="8"/>
  <c r="K3" i="8"/>
  <c r="J4" i="8"/>
  <c r="K4" i="8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J15" i="8"/>
  <c r="K15" i="8"/>
  <c r="O14" i="8" l="1"/>
  <c r="P9" i="8"/>
  <c r="Q8" i="8"/>
  <c r="P8" i="8"/>
  <c r="N14" i="8"/>
  <c r="L15" i="8"/>
  <c r="L14" i="8"/>
  <c r="L13" i="8"/>
  <c r="L12" i="8"/>
  <c r="L11" i="8"/>
  <c r="L10" i="8"/>
  <c r="L9" i="8"/>
  <c r="L8" i="8"/>
  <c r="L7" i="8"/>
  <c r="L6" i="8"/>
  <c r="L5" i="8"/>
  <c r="L4" i="8"/>
  <c r="R4" i="8" s="1"/>
  <c r="L3" i="8"/>
  <c r="R3" i="8" s="1"/>
  <c r="Q14" i="8"/>
  <c r="Q10" i="8"/>
  <c r="Q6" i="8"/>
  <c r="P13" i="8"/>
  <c r="O16" i="8"/>
  <c r="N7" i="8"/>
  <c r="Q15" i="8"/>
  <c r="Q13" i="8"/>
  <c r="R13" i="8" s="1"/>
  <c r="Q11" i="8"/>
  <c r="Q9" i="8"/>
  <c r="R9" i="8" s="1"/>
  <c r="Q7" i="8"/>
  <c r="Q5" i="8"/>
  <c r="R5" i="8" s="1"/>
  <c r="P15" i="8"/>
  <c r="N12" i="8"/>
  <c r="R12" i="8" s="1"/>
  <c r="R15" i="8" l="1"/>
  <c r="R7" i="8"/>
  <c r="R11" i="8"/>
  <c r="L16" i="8"/>
  <c r="R8" i="8"/>
  <c r="R10" i="8"/>
  <c r="R6" i="8"/>
  <c r="R16" i="8" s="1"/>
  <c r="R14" i="8"/>
  <c r="N16" i="8"/>
  <c r="Q16" i="8"/>
  <c r="P16" i="8"/>
  <c r="Q17" i="8" s="1"/>
  <c r="P17" i="8" l="1"/>
</calcChain>
</file>

<file path=xl/sharedStrings.xml><?xml version="1.0" encoding="utf-8"?>
<sst xmlns="http://schemas.openxmlformats.org/spreadsheetml/2006/main" count="269" uniqueCount="92">
  <si>
    <t>Ambiente</t>
  </si>
  <si>
    <t>Fisico / Virtual</t>
  </si>
  <si>
    <t>CPUs</t>
  </si>
  <si>
    <t>Virtual</t>
  </si>
  <si>
    <t>Nombre</t>
  </si>
  <si>
    <t>Descripción</t>
  </si>
  <si>
    <t>IBM WebSphere</t>
  </si>
  <si>
    <t>Costo Hardware</t>
  </si>
  <si>
    <t>Total Server</t>
  </si>
  <si>
    <t>Memory GB</t>
  </si>
  <si>
    <t>Disco GB</t>
  </si>
  <si>
    <t>Costo Memoria</t>
  </si>
  <si>
    <t>Costo Disco</t>
  </si>
  <si>
    <t>SO_Versión/ Aplicaciones</t>
  </si>
  <si>
    <t>Monitoreo/ Antivirus/ Imagen</t>
  </si>
  <si>
    <t>Licencia</t>
  </si>
  <si>
    <t>Costo</t>
  </si>
  <si>
    <t>SQL Server 2014 Estandar + IVA</t>
  </si>
  <si>
    <t>Servidor BD</t>
  </si>
  <si>
    <t>Servidor de Base de datos</t>
  </si>
  <si>
    <t xml:space="preserve"> </t>
  </si>
  <si>
    <t>Servidor Aplicación</t>
  </si>
  <si>
    <t>PRODUCCIÓN</t>
  </si>
  <si>
    <t>Servidor Aplicación HD</t>
  </si>
  <si>
    <t>RedHat Enterprise Linux 7</t>
  </si>
  <si>
    <t>Suscripción Linux</t>
  </si>
  <si>
    <t>IBM MQ</t>
  </si>
  <si>
    <t>COREs</t>
  </si>
  <si>
    <t>DESARROLLO</t>
  </si>
  <si>
    <t>Servidor Mensajeria</t>
  </si>
  <si>
    <t>Servidor  MQ IBM</t>
  </si>
  <si>
    <t>Servidor de Base de datos HD</t>
  </si>
  <si>
    <t>Servidor BD HD</t>
  </si>
  <si>
    <t>Oracle Standard Edition 12 c por Procesador</t>
  </si>
  <si>
    <t>Software Update License &amp; Support Oracle</t>
  </si>
  <si>
    <t>Oracle Standard 12c</t>
  </si>
  <si>
    <t>Servidor de Aplicación Alert Engine</t>
  </si>
  <si>
    <t>Servidor de Aplicación SDP + COLAS</t>
  </si>
  <si>
    <t>DRP</t>
  </si>
  <si>
    <t>Servidor de Aplicación AE + SDP + COLAS</t>
  </si>
  <si>
    <t>IBM WebSphere por PVU + SW Suscription &amp; Support 12 Months</t>
  </si>
  <si>
    <t>Costo de MQ por PVU + SW Suscription &amp; Support 12 Months</t>
  </si>
  <si>
    <t>20 msg/s</t>
  </si>
  <si>
    <t>800Mil</t>
  </si>
  <si>
    <t>pico</t>
  </si>
  <si>
    <t>mensajes / mes</t>
  </si>
  <si>
    <t>DDBB POstGre SQL</t>
  </si>
  <si>
    <t>X</t>
  </si>
  <si>
    <t>Unit Lic/Hours</t>
  </si>
  <si>
    <t>Storage</t>
  </si>
  <si>
    <t>Test</t>
  </si>
  <si>
    <t xml:space="preserve">Hours/Day </t>
  </si>
  <si>
    <t>Hours/Month</t>
  </si>
  <si>
    <t>TEST</t>
  </si>
  <si>
    <t>Backup</t>
  </si>
  <si>
    <t>US East (Ohio)</t>
  </si>
  <si>
    <t>DEV Disaster Recovery</t>
  </si>
  <si>
    <t>Network</t>
  </si>
  <si>
    <t>Amazon VPC</t>
  </si>
  <si>
    <t>1 VPN Connection Site to Site 7 x 24</t>
  </si>
  <si>
    <t xml:space="preserve">Each 1 GB/ Month Data Transfer Out </t>
  </si>
  <si>
    <t>DESARROLLO / TEST OTHER</t>
  </si>
  <si>
    <t>Total Month</t>
  </si>
  <si>
    <t>Unit Storage</t>
  </si>
  <si>
    <t>Total Lic/Hours</t>
  </si>
  <si>
    <t>Total Compute</t>
  </si>
  <si>
    <t>Unit Compute</t>
  </si>
  <si>
    <t>Total Storage</t>
  </si>
  <si>
    <t>PRODUCCION</t>
  </si>
  <si>
    <t>AMBIENTE</t>
  </si>
  <si>
    <t>Each 1 GB/Month Intra-Region Data Transfer</t>
  </si>
  <si>
    <t>2 CMK - 2 claves para encriptar discos y RDS</t>
  </si>
  <si>
    <t>1 Hosted Zone, 5M Standard Queries, 5M  Latency Based Routing Queries, 1 HTTPS Checks Within AWS</t>
  </si>
  <si>
    <t>WAF - 1 ACL</t>
  </si>
  <si>
    <t>WAF -1 Rule</t>
  </si>
  <si>
    <t>WAF - each 1M Requests</t>
  </si>
  <si>
    <t>AWS Config each rule</t>
  </si>
  <si>
    <t>AWS Config each Element</t>
  </si>
  <si>
    <t>Management S3 10 GB Cloud Trail Logs and audit</t>
  </si>
  <si>
    <t>$2.70 por cada 100,000 eventos de administración al mes</t>
  </si>
  <si>
    <t>Security</t>
  </si>
  <si>
    <t>AWS Key Management Service</t>
  </si>
  <si>
    <t>Route 53</t>
  </si>
  <si>
    <t>AWS WAF</t>
  </si>
  <si>
    <t>Management</t>
  </si>
  <si>
    <t>AWS Config</t>
  </si>
  <si>
    <t>S3</t>
  </si>
  <si>
    <t>AWS Cloud Trail</t>
  </si>
  <si>
    <t>2 ELB CLASSIC</t>
  </si>
  <si>
    <t>Total Año</t>
  </si>
  <si>
    <t>Upfront Licencias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</si>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</sst>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\ * #,##0.00_);_(&quot;$&quot;\ * \(#,##0.00\);_(&quot;$&quot;\ * &quot;-&quot;??_);_(@_)"/>
    <numFmt numFmtId="164" formatCode="_-* #,##0.00\ _$_-;\-* #,##0.00\ _$_-;_-* &quot;-&quot;??\ _$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/>
    <xf numFmtId="0" fontId="5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5" fillId="5" borderId="1" xfId="1" applyFont="1" applyFill="1" applyBorder="1"/>
    <xf numFmtId="44" fontId="0" fillId="0" borderId="0" xfId="0" applyNumberFormat="1"/>
    <xf numFmtId="44" fontId="7" fillId="4" borderId="3" xfId="2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164" fontId="5" fillId="4" borderId="2" xfId="1" applyFont="1" applyFill="1" applyBorder="1" applyAlignment="1">
      <alignment horizontal="center" vertical="center" wrapText="1"/>
    </xf>
    <xf numFmtId="44" fontId="5" fillId="4" borderId="2" xfId="2" applyFont="1" applyFill="1" applyBorder="1" applyAlignment="1">
      <alignment horizontal="center" vertical="center" wrapText="1"/>
    </xf>
    <xf numFmtId="164" fontId="0" fillId="0" borderId="0" xfId="1" applyFont="1"/>
    <xf numFmtId="164" fontId="5" fillId="4" borderId="2" xfId="1" applyFont="1" applyFill="1" applyBorder="1" applyAlignment="1">
      <alignment horizontal="center" wrapText="1"/>
    </xf>
    <xf numFmtId="1" fontId="5" fillId="6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 wrapText="1"/>
    </xf>
    <xf numFmtId="1" fontId="5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/>
    <xf numFmtId="0" fontId="0" fillId="7" borderId="2" xfId="0" applyFill="1" applyBorder="1"/>
    <xf numFmtId="44" fontId="0" fillId="0" borderId="0" xfId="2" applyFont="1"/>
    <xf numFmtId="0" fontId="7" fillId="0" borderId="0" xfId="0" applyFont="1"/>
    <xf numFmtId="44" fontId="0" fillId="7" borderId="0" xfId="2" applyFont="1" applyFill="1"/>
    <xf numFmtId="44" fontId="5" fillId="4" borderId="0" xfId="2" applyFont="1" applyFill="1" applyBorder="1" applyAlignment="1">
      <alignment horizontal="center" vertical="center" wrapText="1"/>
    </xf>
    <xf numFmtId="44" fontId="5" fillId="4" borderId="0" xfId="2" applyFont="1" applyFill="1" applyBorder="1" applyAlignment="1">
      <alignment horizontal="center" wrapText="1"/>
    </xf>
    <xf numFmtId="9" fontId="0" fillId="0" borderId="0" xfId="3" applyFont="1"/>
    <xf numFmtId="44" fontId="7" fillId="0" borderId="0" xfId="2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7" fillId="0" borderId="2" xfId="0" applyFont="1" applyBorder="1"/>
    <xf numFmtId="1" fontId="7" fillId="0" borderId="2" xfId="0" applyNumberFormat="1" applyFont="1" applyBorder="1" applyAlignment="1">
      <alignment wrapText="1"/>
    </xf>
    <xf numFmtId="0" fontId="0" fillId="0" borderId="2" xfId="0" applyBorder="1"/>
    <xf numFmtId="44" fontId="0" fillId="0" borderId="2" xfId="2" applyFont="1" applyBorder="1"/>
    <xf numFmtId="44" fontId="7" fillId="0" borderId="2" xfId="2" applyFont="1" applyBorder="1"/>
    <xf numFmtId="1" fontId="7" fillId="0" borderId="0" xfId="0" applyNumberFormat="1" applyFo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opLeftCell="A2" zoomScale="115" zoomScaleNormal="115" workbookViewId="0">
      <pane xSplit="2" ySplit="1" topLeftCell="I6" activePane="bottomRight" state="frozen"/>
      <selection activeCell="A2" sqref="A2"/>
      <selection pane="topRight" activeCell="C2" sqref="C2"/>
      <selection pane="bottomLeft" activeCell="A3" sqref="A3"/>
      <selection pane="bottomRight" activeCell="N9" sqref="N9"/>
    </sheetView>
  </sheetViews>
  <sheetFormatPr baseColWidth="10" defaultColWidth="9.140625" defaultRowHeight="15" x14ac:dyDescent="0.25"/>
  <cols>
    <col min="1" max="1" width="10.7109375" bestFit="1" customWidth="1"/>
    <col min="2" max="2" width="18.85546875" hidden="1" customWidth="1"/>
    <col min="3" max="3" width="39.28515625" customWidth="1"/>
    <col min="4" max="4" width="11.140625" bestFit="1" customWidth="1"/>
    <col min="5" max="5" width="4.7109375" style="3" bestFit="1" customWidth="1"/>
    <col min="6" max="6" width="5.42578125" style="3" bestFit="1" customWidth="1"/>
    <col min="7" max="7" width="9.28515625" style="3" bestFit="1" customWidth="1"/>
    <col min="8" max="8" width="7.140625" style="3" bestFit="1" customWidth="1"/>
    <col min="9" max="9" width="19.28515625" bestFit="1" customWidth="1"/>
    <col min="10" max="10" width="8.7109375" style="1" bestFit="1" customWidth="1"/>
    <col min="11" max="11" width="9.28515625" style="1" bestFit="1" customWidth="1"/>
    <col min="12" max="12" width="9.7109375" style="1" bestFit="1" customWidth="1"/>
    <col min="13" max="13" width="9.7109375" style="2" bestFit="1" customWidth="1"/>
    <col min="14" max="14" width="10.42578125" style="2" bestFit="1" customWidth="1"/>
    <col min="15" max="15" width="9.7109375" style="2" bestFit="1" customWidth="1"/>
    <col min="16" max="16" width="12.7109375" style="1" bestFit="1" customWidth="1"/>
    <col min="17" max="17" width="10.42578125" style="1" bestFit="1" customWidth="1"/>
    <col min="18" max="18" width="17.85546875" style="1" customWidth="1"/>
    <col min="19" max="19" width="47" customWidth="1"/>
  </cols>
  <sheetData>
    <row r="2" spans="1:19" ht="51" x14ac:dyDescent="0.25">
      <c r="A2" s="10" t="s">
        <v>0</v>
      </c>
      <c r="B2" s="10" t="s">
        <v>4</v>
      </c>
      <c r="C2" s="11" t="s">
        <v>5</v>
      </c>
      <c r="D2" s="11" t="s">
        <v>1</v>
      </c>
      <c r="E2" s="12" t="s">
        <v>2</v>
      </c>
      <c r="F2" s="12" t="s">
        <v>27</v>
      </c>
      <c r="G2" s="12" t="s">
        <v>9</v>
      </c>
      <c r="H2" s="12" t="s">
        <v>10</v>
      </c>
      <c r="I2" s="11" t="s">
        <v>13</v>
      </c>
      <c r="J2" s="13" t="s">
        <v>11</v>
      </c>
      <c r="K2" s="13" t="s">
        <v>12</v>
      </c>
      <c r="L2" s="13" t="s">
        <v>7</v>
      </c>
      <c r="M2" s="13" t="s">
        <v>14</v>
      </c>
      <c r="N2" s="13" t="s">
        <v>6</v>
      </c>
      <c r="O2" s="13" t="s">
        <v>26</v>
      </c>
      <c r="P2" s="14" t="s">
        <v>35</v>
      </c>
      <c r="Q2" s="14" t="s">
        <v>25</v>
      </c>
      <c r="R2" s="13" t="s">
        <v>8</v>
      </c>
    </row>
    <row r="3" spans="1:19" ht="25.5" x14ac:dyDescent="0.25">
      <c r="A3" s="40" t="s">
        <v>22</v>
      </c>
      <c r="B3" s="15" t="s">
        <v>21</v>
      </c>
      <c r="C3" s="16" t="s">
        <v>36</v>
      </c>
      <c r="D3" s="17" t="s">
        <v>3</v>
      </c>
      <c r="E3" s="18">
        <v>1</v>
      </c>
      <c r="F3" s="18">
        <v>2</v>
      </c>
      <c r="G3" s="18">
        <v>12</v>
      </c>
      <c r="H3" s="18">
        <v>250</v>
      </c>
      <c r="I3" s="19" t="s">
        <v>24</v>
      </c>
      <c r="J3" s="20">
        <f t="shared" ref="J3:J15" si="0">((448*G3)/6)</f>
        <v>896</v>
      </c>
      <c r="K3" s="20">
        <f t="shared" ref="K3:K15" si="1">(H3*488)/100</f>
        <v>1220</v>
      </c>
      <c r="L3" s="20">
        <f t="shared" ref="L3:L15" si="2">J3+K3</f>
        <v>2116</v>
      </c>
      <c r="M3" s="20">
        <f t="shared" ref="M3:M15" si="3">$D$19</f>
        <v>1676</v>
      </c>
      <c r="N3" s="20">
        <v>0</v>
      </c>
      <c r="O3" s="20">
        <v>0</v>
      </c>
      <c r="P3" s="20">
        <v>0</v>
      </c>
      <c r="Q3" s="20">
        <f t="shared" ref="Q3:Q15" si="4">$D$23</f>
        <v>1142.4000000000001</v>
      </c>
      <c r="R3" s="21">
        <f t="shared" ref="R3:R15" si="5">SUM(L3:Q3)</f>
        <v>4934.3999999999996</v>
      </c>
      <c r="S3" s="2"/>
    </row>
    <row r="4" spans="1:19" ht="25.5" x14ac:dyDescent="0.25">
      <c r="A4" s="41"/>
      <c r="B4" s="15" t="s">
        <v>23</v>
      </c>
      <c r="C4" s="16" t="s">
        <v>36</v>
      </c>
      <c r="D4" s="17" t="s">
        <v>3</v>
      </c>
      <c r="E4" s="18">
        <v>1</v>
      </c>
      <c r="F4" s="18">
        <v>2</v>
      </c>
      <c r="G4" s="18">
        <v>12</v>
      </c>
      <c r="H4" s="18">
        <v>250</v>
      </c>
      <c r="I4" s="19" t="s">
        <v>24</v>
      </c>
      <c r="J4" s="20">
        <f t="shared" si="0"/>
        <v>896</v>
      </c>
      <c r="K4" s="20">
        <f t="shared" si="1"/>
        <v>1220</v>
      </c>
      <c r="L4" s="20">
        <f t="shared" si="2"/>
        <v>2116</v>
      </c>
      <c r="M4" s="20">
        <f t="shared" si="3"/>
        <v>1676</v>
      </c>
      <c r="N4" s="20">
        <v>0</v>
      </c>
      <c r="O4" s="20">
        <v>0</v>
      </c>
      <c r="P4" s="20">
        <v>0</v>
      </c>
      <c r="Q4" s="20">
        <f t="shared" si="4"/>
        <v>1142.4000000000001</v>
      </c>
      <c r="R4" s="21">
        <f t="shared" si="5"/>
        <v>4934.3999999999996</v>
      </c>
      <c r="S4" s="2"/>
    </row>
    <row r="5" spans="1:19" ht="25.5" x14ac:dyDescent="0.25">
      <c r="A5" s="41"/>
      <c r="B5" s="15" t="s">
        <v>29</v>
      </c>
      <c r="C5" s="16" t="s">
        <v>30</v>
      </c>
      <c r="D5" s="17" t="s">
        <v>3</v>
      </c>
      <c r="E5" s="18">
        <v>1</v>
      </c>
      <c r="F5" s="18">
        <v>2</v>
      </c>
      <c r="G5" s="18">
        <v>12</v>
      </c>
      <c r="H5" s="18">
        <v>250</v>
      </c>
      <c r="I5" s="19" t="s">
        <v>24</v>
      </c>
      <c r="J5" s="20">
        <f t="shared" si="0"/>
        <v>896</v>
      </c>
      <c r="K5" s="20">
        <f t="shared" si="1"/>
        <v>1220</v>
      </c>
      <c r="L5" s="20">
        <f t="shared" si="2"/>
        <v>2116</v>
      </c>
      <c r="M5" s="20">
        <f t="shared" si="3"/>
        <v>1676</v>
      </c>
      <c r="N5" s="20"/>
      <c r="O5" s="20">
        <f>$D$24*($F5*100)</f>
        <v>17418.240000000002</v>
      </c>
      <c r="P5" s="20"/>
      <c r="Q5" s="20">
        <f t="shared" si="4"/>
        <v>1142.4000000000001</v>
      </c>
      <c r="R5" s="21">
        <f t="shared" si="5"/>
        <v>22352.640000000003</v>
      </c>
      <c r="S5" s="2"/>
    </row>
    <row r="6" spans="1:19" ht="25.5" x14ac:dyDescent="0.25">
      <c r="A6" s="41"/>
      <c r="B6" s="15" t="s">
        <v>21</v>
      </c>
      <c r="C6" s="16" t="s">
        <v>37</v>
      </c>
      <c r="D6" s="17" t="s">
        <v>3</v>
      </c>
      <c r="E6" s="18">
        <v>1</v>
      </c>
      <c r="F6" s="18">
        <v>4</v>
      </c>
      <c r="G6" s="18">
        <v>16</v>
      </c>
      <c r="H6" s="18">
        <v>500</v>
      </c>
      <c r="I6" s="19" t="s">
        <v>24</v>
      </c>
      <c r="J6" s="20">
        <f t="shared" si="0"/>
        <v>1194.6666666666667</v>
      </c>
      <c r="K6" s="20">
        <f t="shared" si="1"/>
        <v>2440</v>
      </c>
      <c r="L6" s="20">
        <f t="shared" si="2"/>
        <v>3634.666666666667</v>
      </c>
      <c r="M6" s="20">
        <f t="shared" si="3"/>
        <v>1676</v>
      </c>
      <c r="N6" s="20">
        <f>$D$18*($F6*100)</f>
        <v>87843.840000000011</v>
      </c>
      <c r="P6" s="20">
        <v>0</v>
      </c>
      <c r="Q6" s="20">
        <f t="shared" si="4"/>
        <v>1142.4000000000001</v>
      </c>
      <c r="R6" s="21">
        <f t="shared" si="5"/>
        <v>94296.906666666677</v>
      </c>
      <c r="S6" s="2"/>
    </row>
    <row r="7" spans="1:19" ht="25.5" x14ac:dyDescent="0.25">
      <c r="A7" s="41"/>
      <c r="B7" s="15" t="s">
        <v>23</v>
      </c>
      <c r="C7" s="16" t="s">
        <v>37</v>
      </c>
      <c r="D7" s="17" t="s">
        <v>3</v>
      </c>
      <c r="E7" s="18">
        <v>1</v>
      </c>
      <c r="F7" s="18">
        <v>4</v>
      </c>
      <c r="G7" s="18">
        <v>16</v>
      </c>
      <c r="H7" s="18">
        <v>500</v>
      </c>
      <c r="I7" s="19" t="s">
        <v>24</v>
      </c>
      <c r="J7" s="20">
        <f t="shared" si="0"/>
        <v>1194.6666666666667</v>
      </c>
      <c r="K7" s="20">
        <f t="shared" si="1"/>
        <v>2440</v>
      </c>
      <c r="L7" s="20">
        <f t="shared" si="2"/>
        <v>3634.666666666667</v>
      </c>
      <c r="M7" s="20">
        <f t="shared" si="3"/>
        <v>1676</v>
      </c>
      <c r="N7" s="20">
        <f>$D$18*($F7*100)</f>
        <v>87843.840000000011</v>
      </c>
      <c r="O7" s="20"/>
      <c r="P7" s="20">
        <v>0</v>
      </c>
      <c r="Q7" s="20">
        <f t="shared" si="4"/>
        <v>1142.4000000000001</v>
      </c>
      <c r="R7" s="21">
        <f t="shared" si="5"/>
        <v>94296.906666666677</v>
      </c>
      <c r="S7" s="2"/>
    </row>
    <row r="8" spans="1:19" ht="25.5" x14ac:dyDescent="0.25">
      <c r="A8" s="41"/>
      <c r="B8" s="15" t="s">
        <v>18</v>
      </c>
      <c r="C8" s="16" t="s">
        <v>19</v>
      </c>
      <c r="D8" s="17" t="s">
        <v>3</v>
      </c>
      <c r="E8" s="18">
        <v>1</v>
      </c>
      <c r="F8" s="24">
        <v>10</v>
      </c>
      <c r="G8" s="18">
        <v>24</v>
      </c>
      <c r="H8" s="18">
        <v>500</v>
      </c>
      <c r="I8" s="19" t="s">
        <v>24</v>
      </c>
      <c r="J8" s="23">
        <f t="shared" si="0"/>
        <v>1792</v>
      </c>
      <c r="K8" s="23">
        <f t="shared" si="1"/>
        <v>2440</v>
      </c>
      <c r="L8" s="23">
        <f t="shared" si="2"/>
        <v>4232</v>
      </c>
      <c r="M8" s="23">
        <f t="shared" si="3"/>
        <v>1676</v>
      </c>
      <c r="N8" s="23">
        <v>0</v>
      </c>
      <c r="O8" s="23">
        <v>0</v>
      </c>
      <c r="P8" s="23">
        <f>($D$21*F8)+$D$22</f>
        <v>200312.00000000003</v>
      </c>
      <c r="Q8" s="20">
        <f t="shared" si="4"/>
        <v>1142.4000000000001</v>
      </c>
      <c r="R8" s="21">
        <f t="shared" si="5"/>
        <v>207362.40000000002</v>
      </c>
      <c r="S8" s="2"/>
    </row>
    <row r="9" spans="1:19" ht="25.5" x14ac:dyDescent="0.25">
      <c r="A9" s="42"/>
      <c r="B9" s="15" t="s">
        <v>32</v>
      </c>
      <c r="C9" s="16" t="s">
        <v>31</v>
      </c>
      <c r="D9" s="17" t="s">
        <v>3</v>
      </c>
      <c r="E9" s="18">
        <v>1</v>
      </c>
      <c r="F9" s="24">
        <v>10</v>
      </c>
      <c r="G9" s="18">
        <v>24</v>
      </c>
      <c r="H9" s="18">
        <v>500</v>
      </c>
      <c r="I9" s="19" t="s">
        <v>24</v>
      </c>
      <c r="J9" s="23">
        <f t="shared" si="0"/>
        <v>1792</v>
      </c>
      <c r="K9" s="23">
        <f t="shared" si="1"/>
        <v>2440</v>
      </c>
      <c r="L9" s="23">
        <f t="shared" si="2"/>
        <v>4232</v>
      </c>
      <c r="M9" s="23">
        <f t="shared" si="3"/>
        <v>1676</v>
      </c>
      <c r="N9" s="23">
        <v>0</v>
      </c>
      <c r="O9" s="23">
        <v>0</v>
      </c>
      <c r="P9" s="23">
        <f>($D$21*F9)+$D$22</f>
        <v>200312.00000000003</v>
      </c>
      <c r="Q9" s="20">
        <f t="shared" si="4"/>
        <v>1142.4000000000001</v>
      </c>
      <c r="R9" s="21">
        <f t="shared" si="5"/>
        <v>207362.40000000002</v>
      </c>
      <c r="S9" s="2"/>
    </row>
    <row r="10" spans="1:19" ht="25.5" x14ac:dyDescent="0.25">
      <c r="A10" s="40" t="s">
        <v>38</v>
      </c>
      <c r="B10" s="15" t="s">
        <v>21</v>
      </c>
      <c r="C10" s="16" t="s">
        <v>36</v>
      </c>
      <c r="D10" s="17" t="s">
        <v>3</v>
      </c>
      <c r="E10" s="18">
        <v>1</v>
      </c>
      <c r="F10" s="18">
        <v>2</v>
      </c>
      <c r="G10" s="18">
        <v>12</v>
      </c>
      <c r="H10" s="18">
        <v>250</v>
      </c>
      <c r="I10" s="19" t="s">
        <v>24</v>
      </c>
      <c r="J10" s="20">
        <f t="shared" si="0"/>
        <v>896</v>
      </c>
      <c r="K10" s="20">
        <f t="shared" si="1"/>
        <v>1220</v>
      </c>
      <c r="L10" s="20">
        <f t="shared" si="2"/>
        <v>2116</v>
      </c>
      <c r="M10" s="20">
        <f t="shared" si="3"/>
        <v>1676</v>
      </c>
      <c r="N10" s="20">
        <v>0</v>
      </c>
      <c r="O10" s="20">
        <v>0</v>
      </c>
      <c r="P10" s="20">
        <v>0</v>
      </c>
      <c r="Q10" s="20">
        <f t="shared" si="4"/>
        <v>1142.4000000000001</v>
      </c>
      <c r="R10" s="21">
        <f t="shared" si="5"/>
        <v>4934.3999999999996</v>
      </c>
      <c r="S10" s="2"/>
    </row>
    <row r="11" spans="1:19" ht="25.5" x14ac:dyDescent="0.25">
      <c r="A11" s="41"/>
      <c r="B11" s="15" t="s">
        <v>29</v>
      </c>
      <c r="C11" s="16" t="s">
        <v>30</v>
      </c>
      <c r="D11" s="17" t="s">
        <v>3</v>
      </c>
      <c r="E11" s="18">
        <v>1</v>
      </c>
      <c r="F11" s="18">
        <v>2</v>
      </c>
      <c r="G11" s="18">
        <v>12</v>
      </c>
      <c r="H11" s="18">
        <v>250</v>
      </c>
      <c r="I11" s="19" t="s">
        <v>24</v>
      </c>
      <c r="J11" s="20">
        <f t="shared" si="0"/>
        <v>896</v>
      </c>
      <c r="K11" s="20">
        <f t="shared" si="1"/>
        <v>1220</v>
      </c>
      <c r="L11" s="20">
        <f t="shared" si="2"/>
        <v>2116</v>
      </c>
      <c r="M11" s="20">
        <f t="shared" si="3"/>
        <v>1676</v>
      </c>
      <c r="N11" s="20"/>
      <c r="O11" s="20">
        <f>$D$24*($F11*100)</f>
        <v>17418.240000000002</v>
      </c>
      <c r="P11" s="20"/>
      <c r="Q11" s="20">
        <f t="shared" si="4"/>
        <v>1142.4000000000001</v>
      </c>
      <c r="R11" s="21">
        <f t="shared" si="5"/>
        <v>22352.640000000003</v>
      </c>
      <c r="S11" s="2"/>
    </row>
    <row r="12" spans="1:19" ht="25.5" x14ac:dyDescent="0.25">
      <c r="A12" s="41"/>
      <c r="B12" s="15" t="s">
        <v>21</v>
      </c>
      <c r="C12" s="16" t="s">
        <v>37</v>
      </c>
      <c r="D12" s="17" t="s">
        <v>3</v>
      </c>
      <c r="E12" s="18">
        <v>1</v>
      </c>
      <c r="F12" s="18">
        <v>4</v>
      </c>
      <c r="G12" s="18">
        <v>16</v>
      </c>
      <c r="H12" s="18">
        <v>500</v>
      </c>
      <c r="I12" s="19" t="s">
        <v>24</v>
      </c>
      <c r="J12" s="20">
        <f t="shared" si="0"/>
        <v>1194.6666666666667</v>
      </c>
      <c r="K12" s="20">
        <f t="shared" si="1"/>
        <v>2440</v>
      </c>
      <c r="L12" s="20">
        <f t="shared" si="2"/>
        <v>3634.666666666667</v>
      </c>
      <c r="M12" s="20">
        <f t="shared" si="3"/>
        <v>1676</v>
      </c>
      <c r="N12" s="20">
        <f>$D$18*($F12*100)</f>
        <v>87843.840000000011</v>
      </c>
      <c r="P12" s="20">
        <v>0</v>
      </c>
      <c r="Q12" s="20">
        <f t="shared" si="4"/>
        <v>1142.4000000000001</v>
      </c>
      <c r="R12" s="21">
        <f t="shared" si="5"/>
        <v>94296.906666666677</v>
      </c>
      <c r="S12" s="2"/>
    </row>
    <row r="13" spans="1:19" ht="25.5" x14ac:dyDescent="0.25">
      <c r="A13" s="41"/>
      <c r="B13" s="15" t="s">
        <v>18</v>
      </c>
      <c r="C13" s="16" t="s">
        <v>19</v>
      </c>
      <c r="D13" s="17" t="s">
        <v>3</v>
      </c>
      <c r="E13" s="18">
        <v>1</v>
      </c>
      <c r="F13" s="24">
        <v>10</v>
      </c>
      <c r="G13" s="18">
        <v>24</v>
      </c>
      <c r="H13" s="18">
        <v>500</v>
      </c>
      <c r="I13" s="19" t="s">
        <v>24</v>
      </c>
      <c r="J13" s="23">
        <f t="shared" si="0"/>
        <v>1792</v>
      </c>
      <c r="K13" s="23">
        <f t="shared" si="1"/>
        <v>2440</v>
      </c>
      <c r="L13" s="23">
        <f t="shared" si="2"/>
        <v>4232</v>
      </c>
      <c r="M13" s="23">
        <f t="shared" si="3"/>
        <v>1676</v>
      </c>
      <c r="N13" s="23">
        <v>0</v>
      </c>
      <c r="O13" s="23">
        <v>0</v>
      </c>
      <c r="P13" s="23">
        <f>($D$21*F13)+$D$22</f>
        <v>200312.00000000003</v>
      </c>
      <c r="Q13" s="20">
        <f t="shared" si="4"/>
        <v>1142.4000000000001</v>
      </c>
      <c r="R13" s="21">
        <f t="shared" si="5"/>
        <v>207362.40000000002</v>
      </c>
      <c r="S13" s="2"/>
    </row>
    <row r="14" spans="1:19" ht="25.5" x14ac:dyDescent="0.25">
      <c r="A14" s="40" t="s">
        <v>28</v>
      </c>
      <c r="B14" s="15" t="s">
        <v>21</v>
      </c>
      <c r="C14" s="16" t="s">
        <v>39</v>
      </c>
      <c r="D14" s="17" t="s">
        <v>3</v>
      </c>
      <c r="E14" s="18">
        <v>1</v>
      </c>
      <c r="F14" s="18">
        <v>1</v>
      </c>
      <c r="G14" s="18">
        <v>8</v>
      </c>
      <c r="H14" s="18">
        <v>250</v>
      </c>
      <c r="I14" s="19" t="s">
        <v>24</v>
      </c>
      <c r="J14" s="20">
        <f t="shared" si="0"/>
        <v>597.33333333333337</v>
      </c>
      <c r="K14" s="20">
        <f t="shared" si="1"/>
        <v>1220</v>
      </c>
      <c r="L14" s="20">
        <f t="shared" si="2"/>
        <v>1817.3333333333335</v>
      </c>
      <c r="M14" s="20">
        <f t="shared" si="3"/>
        <v>1676</v>
      </c>
      <c r="N14" s="20">
        <f>$D$18*($F14*100)</f>
        <v>21960.960000000003</v>
      </c>
      <c r="O14" s="20">
        <f>$D$24*($F14*100)</f>
        <v>8709.1200000000008</v>
      </c>
      <c r="P14" s="20">
        <v>0</v>
      </c>
      <c r="Q14" s="20">
        <f t="shared" si="4"/>
        <v>1142.4000000000001</v>
      </c>
      <c r="R14" s="21">
        <f t="shared" si="5"/>
        <v>35305.813333333339</v>
      </c>
      <c r="S14" s="8"/>
    </row>
    <row r="15" spans="1:19" ht="25.5" x14ac:dyDescent="0.25">
      <c r="A15" s="42"/>
      <c r="B15" s="15" t="s">
        <v>18</v>
      </c>
      <c r="C15" s="16" t="s">
        <v>19</v>
      </c>
      <c r="D15" s="17" t="s">
        <v>3</v>
      </c>
      <c r="E15" s="18">
        <v>1</v>
      </c>
      <c r="F15" s="18">
        <v>1</v>
      </c>
      <c r="G15" s="18">
        <v>8</v>
      </c>
      <c r="H15" s="18">
        <v>250</v>
      </c>
      <c r="I15" s="19" t="s">
        <v>24</v>
      </c>
      <c r="J15" s="23">
        <f t="shared" si="0"/>
        <v>597.33333333333337</v>
      </c>
      <c r="K15" s="23">
        <f t="shared" si="1"/>
        <v>1220</v>
      </c>
      <c r="L15" s="23">
        <f t="shared" si="2"/>
        <v>1817.3333333333335</v>
      </c>
      <c r="M15" s="23">
        <f t="shared" si="3"/>
        <v>1676</v>
      </c>
      <c r="N15" s="23">
        <v>0</v>
      </c>
      <c r="O15" s="23">
        <v>0</v>
      </c>
      <c r="P15" s="23">
        <f>($D$21*F15)+$D$22</f>
        <v>23912.000000000004</v>
      </c>
      <c r="Q15" s="20">
        <f t="shared" si="4"/>
        <v>1142.4000000000001</v>
      </c>
      <c r="R15" s="21">
        <f t="shared" si="5"/>
        <v>28547.733333333337</v>
      </c>
    </row>
    <row r="16" spans="1:19" ht="15.75" thickBot="1" x14ac:dyDescent="0.3">
      <c r="L16" s="20">
        <f t="shared" ref="L16:R16" si="6">SUM(L3:L15)</f>
        <v>37814.666666666672</v>
      </c>
      <c r="M16" s="20">
        <f t="shared" si="6"/>
        <v>21788</v>
      </c>
      <c r="N16" s="20">
        <f t="shared" si="6"/>
        <v>285492.48000000004</v>
      </c>
      <c r="O16" s="20">
        <f t="shared" si="6"/>
        <v>43545.600000000006</v>
      </c>
      <c r="P16" s="20">
        <f t="shared" si="6"/>
        <v>624848.00000000012</v>
      </c>
      <c r="Q16" s="20">
        <f t="shared" si="6"/>
        <v>14851.199999999997</v>
      </c>
      <c r="R16" s="9">
        <f t="shared" si="6"/>
        <v>1028339.946666667</v>
      </c>
    </row>
    <row r="17" spans="3:17" x14ac:dyDescent="0.25">
      <c r="C17" s="5" t="s">
        <v>15</v>
      </c>
      <c r="D17" s="6" t="s">
        <v>16</v>
      </c>
      <c r="P17" s="20">
        <f>SUM(N16:P16)</f>
        <v>953886.08000000019</v>
      </c>
      <c r="Q17" s="20">
        <f>SUM(M16:Q16)</f>
        <v>990525.28000000014</v>
      </c>
    </row>
    <row r="18" spans="3:17" x14ac:dyDescent="0.25">
      <c r="C18" s="4" t="s">
        <v>40</v>
      </c>
      <c r="D18" s="7">
        <f>196.08*1.12</f>
        <v>219.60960000000003</v>
      </c>
    </row>
    <row r="19" spans="3:17" x14ac:dyDescent="0.25">
      <c r="C19" s="4" t="s">
        <v>14</v>
      </c>
      <c r="D19" s="7">
        <v>1676</v>
      </c>
    </row>
    <row r="20" spans="3:17" x14ac:dyDescent="0.25">
      <c r="C20" s="4" t="s">
        <v>17</v>
      </c>
      <c r="D20" s="7">
        <f>(1409 * 1.12)</f>
        <v>1578.0800000000002</v>
      </c>
    </row>
    <row r="21" spans="3:17" x14ac:dyDescent="0.25">
      <c r="C21" s="4" t="s">
        <v>33</v>
      </c>
      <c r="D21" s="7">
        <f>17500*1.12</f>
        <v>19600.000000000004</v>
      </c>
      <c r="G21" s="22" t="s">
        <v>20</v>
      </c>
    </row>
    <row r="22" spans="3:17" x14ac:dyDescent="0.25">
      <c r="C22" s="4" t="s">
        <v>34</v>
      </c>
      <c r="D22" s="7">
        <f>3850*1.12</f>
        <v>4312</v>
      </c>
    </row>
    <row r="23" spans="3:17" x14ac:dyDescent="0.25">
      <c r="C23" s="4" t="s">
        <v>25</v>
      </c>
      <c r="D23" s="7">
        <f>1020*1.12</f>
        <v>1142.4000000000001</v>
      </c>
      <c r="K23" s="1" t="s">
        <v>42</v>
      </c>
      <c r="L23" s="1" t="s">
        <v>44</v>
      </c>
    </row>
    <row r="24" spans="3:17" x14ac:dyDescent="0.25">
      <c r="C24" s="4" t="s">
        <v>41</v>
      </c>
      <c r="D24" s="7">
        <f>77.76*1.12</f>
        <v>87.091200000000015</v>
      </c>
      <c r="K24" s="1" t="s">
        <v>43</v>
      </c>
      <c r="L24" s="1" t="s">
        <v>45</v>
      </c>
    </row>
  </sheetData>
  <mergeCells count="3">
    <mergeCell ref="A3:A9"/>
    <mergeCell ref="A10:A13"/>
    <mergeCell ref="A14:A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8"/>
  <sheetViews>
    <sheetView tabSelected="1" topLeftCell="A2" zoomScale="135" zoomScaleNormal="85" workbookViewId="0">
      <pane xSplit="2" ySplit="1" topLeftCell="C18" activePane="bottomRight" state="frozen"/>
      <selection activeCell="A2" sqref="A2"/>
      <selection pane="topRight" activeCell="C2" sqref="C2"/>
      <selection pane="bottomLeft" activeCell="A3" sqref="A3"/>
      <selection pane="bottomRight" activeCell="C24" sqref="C24:H28"/>
    </sheetView>
  </sheetViews>
  <sheetFormatPr baseColWidth="10" defaultColWidth="9.140625" defaultRowHeight="15" x14ac:dyDescent="0.25"/>
  <cols>
    <col min="1" max="1" width="11.42578125" bestFit="1" customWidth="1"/>
    <col min="2" max="2" width="19.28515625" bestFit="1" customWidth="1"/>
    <col min="3" max="3" width="32.85546875" bestFit="1" customWidth="1"/>
    <col min="4" max="4" width="13.28515625" customWidth="1"/>
    <col min="5" max="5" width="11" style="3" customWidth="1"/>
    <col min="6" max="6" width="15.140625" style="3" customWidth="1"/>
    <col min="7" max="7" width="12.140625" style="3" customWidth="1"/>
    <col min="8" max="8" width="13.7109375" style="3" customWidth="1"/>
    <col min="9" max="9" width="21.85546875" bestFit="1" customWidth="1"/>
    <col min="10" max="10" width="14.42578125" customWidth="1"/>
    <col min="12" max="12" width="15.7109375" customWidth="1"/>
    <col min="16" max="16" width="11.28515625" bestFit="1" customWidth="1"/>
    <col min="17" max="17" width="10.42578125" bestFit="1" customWidth="1"/>
    <col min="18" max="18" width="9.28515625" bestFit="1" customWidth="1"/>
    <col min="19" max="19" width="12.140625" bestFit="1" customWidth="1"/>
  </cols>
  <sheetData>
    <row r="2" spans="1:23" ht="25.5" x14ac:dyDescent="0.25">
      <c r="A2" s="10" t="s">
        <v>0</v>
      </c>
      <c r="B2" s="10" t="s">
        <v>4</v>
      </c>
      <c r="C2" s="11" t="s">
        <v>5</v>
      </c>
      <c r="D2" s="11" t="s">
        <v>1</v>
      </c>
      <c r="E2" s="12" t="s">
        <v>2</v>
      </c>
      <c r="F2" s="12" t="s">
        <v>27</v>
      </c>
      <c r="G2" s="12" t="s">
        <v>9</v>
      </c>
      <c r="H2" s="12" t="s">
        <v>10</v>
      </c>
      <c r="I2" s="11" t="s">
        <v>13</v>
      </c>
      <c r="J2" s="13" t="s">
        <v>6</v>
      </c>
      <c r="K2" s="13" t="s">
        <v>26</v>
      </c>
      <c r="L2" s="14" t="s">
        <v>46</v>
      </c>
      <c r="M2" s="14" t="s">
        <v>48</v>
      </c>
      <c r="N2" s="14" t="s">
        <v>66</v>
      </c>
      <c r="O2" s="14" t="s">
        <v>63</v>
      </c>
      <c r="P2" s="14" t="s">
        <v>64</v>
      </c>
      <c r="Q2" s="14" t="s">
        <v>65</v>
      </c>
      <c r="R2" s="14" t="s">
        <v>67</v>
      </c>
      <c r="S2" s="14" t="s">
        <v>62</v>
      </c>
    </row>
    <row r="3" spans="1:23" x14ac:dyDescent="0.25">
      <c r="A3" s="40" t="s">
        <v>22</v>
      </c>
      <c r="B3" s="15" t="s">
        <v>21</v>
      </c>
      <c r="C3" s="16" t="s">
        <v>36</v>
      </c>
      <c r="D3" s="17" t="s">
        <v>3</v>
      </c>
      <c r="E3" s="18">
        <v>1</v>
      </c>
      <c r="F3" s="18">
        <v>2</v>
      </c>
      <c r="G3" s="18">
        <v>12</v>
      </c>
      <c r="H3" s="18">
        <v>250</v>
      </c>
      <c r="I3" s="19" t="s">
        <v>24</v>
      </c>
      <c r="J3" s="20">
        <v>0</v>
      </c>
      <c r="K3" s="20">
        <v>0</v>
      </c>
      <c r="L3" s="20">
        <v>0</v>
      </c>
      <c r="M3" s="33">
        <v>0</v>
      </c>
      <c r="N3" s="33">
        <v>0.2117848360655738</v>
      </c>
      <c r="O3" s="33">
        <v>0.13575000000000001</v>
      </c>
      <c r="P3">
        <f>+M3*732</f>
        <v>0</v>
      </c>
      <c r="Q3">
        <f>+N3*732</f>
        <v>155.02650000000003</v>
      </c>
      <c r="R3">
        <f>+O3*H3</f>
        <v>33.9375</v>
      </c>
      <c r="S3" s="33">
        <f>+P3+Q3+R3</f>
        <v>188.96400000000003</v>
      </c>
    </row>
    <row r="4" spans="1:23" x14ac:dyDescent="0.25">
      <c r="A4" s="41"/>
      <c r="B4" s="15" t="s">
        <v>23</v>
      </c>
      <c r="C4" s="16" t="s">
        <v>36</v>
      </c>
      <c r="D4" s="17" t="s">
        <v>3</v>
      </c>
      <c r="E4" s="18">
        <v>1</v>
      </c>
      <c r="F4" s="18">
        <v>2</v>
      </c>
      <c r="G4" s="18">
        <v>12</v>
      </c>
      <c r="H4" s="18">
        <v>250</v>
      </c>
      <c r="I4" s="19" t="s">
        <v>24</v>
      </c>
      <c r="J4" s="20">
        <v>0</v>
      </c>
      <c r="K4" s="20">
        <v>0</v>
      </c>
      <c r="L4" s="20">
        <v>0</v>
      </c>
      <c r="M4" s="33">
        <v>0</v>
      </c>
      <c r="N4" s="33">
        <v>0.2117848360655738</v>
      </c>
      <c r="O4" s="33">
        <v>0.13575000000000001</v>
      </c>
      <c r="P4">
        <f t="shared" ref="P4:Q5" si="0">+M4*732</f>
        <v>0</v>
      </c>
      <c r="Q4">
        <f t="shared" si="0"/>
        <v>155.02650000000003</v>
      </c>
      <c r="R4">
        <f t="shared" ref="R4:R17" si="1">+O4*H4</f>
        <v>33.9375</v>
      </c>
      <c r="S4" s="33">
        <f t="shared" ref="S4:S5" si="2">+P4+Q4+R4</f>
        <v>188.96400000000003</v>
      </c>
    </row>
    <row r="5" spans="1:23" x14ac:dyDescent="0.25">
      <c r="A5" s="41"/>
      <c r="B5" s="15" t="s">
        <v>29</v>
      </c>
      <c r="C5" s="16" t="s">
        <v>30</v>
      </c>
      <c r="D5" s="17" t="s">
        <v>3</v>
      </c>
      <c r="E5" s="18">
        <v>1</v>
      </c>
      <c r="F5" s="18">
        <v>2</v>
      </c>
      <c r="G5" s="18">
        <v>12</v>
      </c>
      <c r="H5" s="18">
        <v>250</v>
      </c>
      <c r="I5" s="19" t="s">
        <v>24</v>
      </c>
      <c r="J5" s="20"/>
      <c r="K5" s="20" t="s">
        <v>47</v>
      </c>
      <c r="L5" s="20"/>
      <c r="M5" s="33">
        <v>2.1720000000000002</v>
      </c>
      <c r="N5" s="33">
        <v>0.21177000000000001</v>
      </c>
      <c r="O5" s="33">
        <v>0.13575000000000001</v>
      </c>
      <c r="P5">
        <f t="shared" si="0"/>
        <v>1589.9040000000002</v>
      </c>
      <c r="Q5">
        <f t="shared" si="0"/>
        <v>155.01564000000002</v>
      </c>
      <c r="R5">
        <f t="shared" si="1"/>
        <v>33.9375</v>
      </c>
      <c r="S5" s="33">
        <f t="shared" si="2"/>
        <v>1778.8571400000003</v>
      </c>
    </row>
    <row r="6" spans="1:23" x14ac:dyDescent="0.25">
      <c r="A6" s="41"/>
      <c r="B6" s="15" t="s">
        <v>21</v>
      </c>
      <c r="C6" s="16" t="s">
        <v>37</v>
      </c>
      <c r="D6" s="17" t="s">
        <v>3</v>
      </c>
      <c r="E6" s="18">
        <v>1</v>
      </c>
      <c r="F6" s="18">
        <v>4</v>
      </c>
      <c r="G6" s="18">
        <v>16</v>
      </c>
      <c r="H6" s="18">
        <v>500</v>
      </c>
      <c r="I6" s="19" t="s">
        <v>24</v>
      </c>
      <c r="J6" s="20" t="s">
        <v>47</v>
      </c>
      <c r="K6" s="2"/>
      <c r="L6" s="20">
        <v>0</v>
      </c>
      <c r="M6" s="33">
        <v>3.9095999999999997</v>
      </c>
      <c r="N6" s="33">
        <v>0.34209000000000001</v>
      </c>
      <c r="O6" s="33">
        <v>0.13575000000000001</v>
      </c>
      <c r="P6" s="33">
        <f t="shared" ref="P6:Q8" si="3">+M6*732</f>
        <v>2861.8271999999997</v>
      </c>
      <c r="Q6">
        <f t="shared" si="3"/>
        <v>250.40988000000002</v>
      </c>
      <c r="R6">
        <f t="shared" si="1"/>
        <v>67.875</v>
      </c>
      <c r="S6" s="33">
        <f>+P6+Q6+R6</f>
        <v>3180.1120799999999</v>
      </c>
    </row>
    <row r="7" spans="1:23" x14ac:dyDescent="0.25">
      <c r="A7" s="41"/>
      <c r="B7" s="15" t="s">
        <v>23</v>
      </c>
      <c r="C7" s="16" t="s">
        <v>37</v>
      </c>
      <c r="D7" s="17" t="s">
        <v>3</v>
      </c>
      <c r="E7" s="18">
        <v>1</v>
      </c>
      <c r="F7" s="18">
        <v>4</v>
      </c>
      <c r="G7" s="18">
        <v>16</v>
      </c>
      <c r="H7" s="18">
        <v>500</v>
      </c>
      <c r="I7" s="19" t="s">
        <v>24</v>
      </c>
      <c r="J7" s="20" t="s">
        <v>47</v>
      </c>
      <c r="K7" s="20"/>
      <c r="L7" s="20">
        <v>0</v>
      </c>
      <c r="M7" s="33">
        <v>3.9095999999999997</v>
      </c>
      <c r="N7" s="33">
        <v>0.34209000000000001</v>
      </c>
      <c r="O7" s="33">
        <v>0.13575000000000001</v>
      </c>
      <c r="P7" s="33">
        <f t="shared" si="3"/>
        <v>2861.8271999999997</v>
      </c>
      <c r="Q7">
        <f t="shared" si="3"/>
        <v>250.40988000000002</v>
      </c>
      <c r="R7">
        <f t="shared" si="1"/>
        <v>67.875</v>
      </c>
      <c r="S7" s="33">
        <f>+P7+Q7+R7</f>
        <v>3180.1120799999999</v>
      </c>
    </row>
    <row r="8" spans="1:23" x14ac:dyDescent="0.25">
      <c r="A8" s="41"/>
      <c r="B8" s="15" t="s">
        <v>18</v>
      </c>
      <c r="C8" s="16" t="s">
        <v>19</v>
      </c>
      <c r="D8" s="17" t="s">
        <v>3</v>
      </c>
      <c r="E8" s="18">
        <v>1</v>
      </c>
      <c r="F8" s="24">
        <v>6</v>
      </c>
      <c r="G8" s="24">
        <v>32</v>
      </c>
      <c r="H8" s="24">
        <v>1000</v>
      </c>
      <c r="I8" s="19" t="s">
        <v>24</v>
      </c>
      <c r="J8" s="23">
        <v>0</v>
      </c>
      <c r="K8" s="23">
        <v>0</v>
      </c>
      <c r="L8" s="23" t="s">
        <v>47</v>
      </c>
      <c r="M8" s="33">
        <v>0</v>
      </c>
      <c r="N8" s="33">
        <v>1.933083709016393</v>
      </c>
      <c r="O8" s="33">
        <v>0.31222500000000003</v>
      </c>
      <c r="P8">
        <f t="shared" si="3"/>
        <v>0</v>
      </c>
      <c r="Q8">
        <f t="shared" si="3"/>
        <v>1415.0172749999997</v>
      </c>
      <c r="R8">
        <f t="shared" si="1"/>
        <v>312.22500000000002</v>
      </c>
      <c r="S8" s="33">
        <f>+P8+Q8+R8</f>
        <v>1727.2422749999996</v>
      </c>
    </row>
    <row r="9" spans="1:23" x14ac:dyDescent="0.25">
      <c r="A9" s="42"/>
      <c r="B9" s="15" t="s">
        <v>32</v>
      </c>
      <c r="C9" s="25" t="s">
        <v>31</v>
      </c>
      <c r="D9" s="17"/>
      <c r="E9" s="18"/>
      <c r="F9" s="18"/>
      <c r="G9" s="18"/>
      <c r="H9" s="18"/>
      <c r="I9" s="19"/>
      <c r="J9" s="23"/>
      <c r="K9" s="23"/>
      <c r="L9" s="23"/>
      <c r="M9" s="33"/>
      <c r="N9" s="33"/>
      <c r="O9" s="33"/>
    </row>
    <row r="10" spans="1:23" s="31" customFormat="1" x14ac:dyDescent="0.25">
      <c r="A10" s="44" t="s">
        <v>38</v>
      </c>
      <c r="B10" s="26" t="s">
        <v>21</v>
      </c>
      <c r="C10" s="27" t="s">
        <v>36</v>
      </c>
      <c r="D10" s="28" t="s">
        <v>3</v>
      </c>
      <c r="E10" s="29">
        <v>1</v>
      </c>
      <c r="F10" s="29">
        <v>2</v>
      </c>
      <c r="G10" s="29">
        <v>12</v>
      </c>
      <c r="H10" s="29">
        <v>250</v>
      </c>
      <c r="I10" s="30" t="s">
        <v>24</v>
      </c>
      <c r="J10" s="32"/>
      <c r="K10" s="32"/>
      <c r="L10" s="32"/>
      <c r="M10" s="35"/>
      <c r="N10" s="35"/>
      <c r="O10" s="35"/>
    </row>
    <row r="11" spans="1:23" s="31" customFormat="1" x14ac:dyDescent="0.25">
      <c r="A11" s="45"/>
      <c r="B11" s="26" t="s">
        <v>29</v>
      </c>
      <c r="C11" s="27" t="s">
        <v>30</v>
      </c>
      <c r="D11" s="28" t="s">
        <v>3</v>
      </c>
      <c r="E11" s="29">
        <v>1</v>
      </c>
      <c r="F11" s="29">
        <v>2</v>
      </c>
      <c r="G11" s="29">
        <v>12</v>
      </c>
      <c r="H11" s="29">
        <v>250</v>
      </c>
      <c r="I11" s="30" t="s">
        <v>24</v>
      </c>
      <c r="J11" s="32"/>
      <c r="K11" s="32"/>
      <c r="L11" s="32"/>
      <c r="M11" s="35"/>
      <c r="N11" s="35"/>
      <c r="O11" s="35"/>
    </row>
    <row r="12" spans="1:23" s="31" customFormat="1" x14ac:dyDescent="0.25">
      <c r="A12" s="45"/>
      <c r="B12" s="26" t="s">
        <v>21</v>
      </c>
      <c r="C12" s="27" t="s">
        <v>37</v>
      </c>
      <c r="D12" s="28" t="s">
        <v>3</v>
      </c>
      <c r="E12" s="29">
        <v>1</v>
      </c>
      <c r="F12" s="29">
        <v>4</v>
      </c>
      <c r="G12" s="29">
        <v>16</v>
      </c>
      <c r="H12" s="29">
        <v>500</v>
      </c>
      <c r="I12" s="30" t="s">
        <v>24</v>
      </c>
      <c r="J12" s="32"/>
      <c r="K12" s="32"/>
      <c r="L12" s="32"/>
      <c r="M12" s="35"/>
      <c r="N12" s="35"/>
      <c r="O12" s="35"/>
    </row>
    <row r="13" spans="1:23" s="31" customFormat="1" x14ac:dyDescent="0.25">
      <c r="A13" s="45"/>
      <c r="B13" s="26" t="s">
        <v>18</v>
      </c>
      <c r="C13" s="27" t="s">
        <v>19</v>
      </c>
      <c r="D13" s="28" t="s">
        <v>3</v>
      </c>
      <c r="E13" s="29">
        <v>1</v>
      </c>
      <c r="F13" s="29">
        <v>4</v>
      </c>
      <c r="G13" s="29">
        <v>24</v>
      </c>
      <c r="H13" s="29">
        <v>500</v>
      </c>
      <c r="I13" s="30" t="s">
        <v>24</v>
      </c>
      <c r="J13" s="32"/>
      <c r="K13" s="32"/>
      <c r="L13" s="32"/>
      <c r="M13" s="35"/>
      <c r="N13" s="35"/>
      <c r="O13" s="35"/>
    </row>
    <row r="14" spans="1:23" x14ac:dyDescent="0.25">
      <c r="A14" s="40" t="s">
        <v>28</v>
      </c>
      <c r="B14" s="15" t="s">
        <v>21</v>
      </c>
      <c r="C14" s="16" t="s">
        <v>39</v>
      </c>
      <c r="D14" s="17" t="s">
        <v>3</v>
      </c>
      <c r="E14" s="18">
        <v>1</v>
      </c>
      <c r="F14" s="18">
        <v>1</v>
      </c>
      <c r="G14" s="18">
        <v>8</v>
      </c>
      <c r="H14" s="18">
        <v>250</v>
      </c>
      <c r="I14" s="19" t="s">
        <v>24</v>
      </c>
      <c r="J14" s="20" t="s">
        <v>47</v>
      </c>
      <c r="K14" s="20" t="s">
        <v>47</v>
      </c>
      <c r="L14" s="20">
        <v>0</v>
      </c>
      <c r="M14" s="33">
        <v>3.9748000000000001</v>
      </c>
      <c r="N14" s="33">
        <v>0.20004749999999999</v>
      </c>
      <c r="O14" s="33">
        <v>6.5375000000000003E-2</v>
      </c>
      <c r="P14">
        <f>+M14*$B$21</f>
        <v>794.96</v>
      </c>
      <c r="Q14">
        <f>+N14*$B$21</f>
        <v>40.009499999999996</v>
      </c>
      <c r="R14">
        <f t="shared" si="1"/>
        <v>16.34375</v>
      </c>
      <c r="S14" s="33">
        <f>+P14+Q14+R14</f>
        <v>851.31325000000004</v>
      </c>
    </row>
    <row r="15" spans="1:23" x14ac:dyDescent="0.25">
      <c r="A15" s="42"/>
      <c r="B15" s="15" t="s">
        <v>18</v>
      </c>
      <c r="C15" s="16" t="s">
        <v>19</v>
      </c>
      <c r="D15" s="17" t="s">
        <v>3</v>
      </c>
      <c r="E15" s="18">
        <v>1</v>
      </c>
      <c r="F15" s="18">
        <v>1</v>
      </c>
      <c r="G15" s="18">
        <v>8</v>
      </c>
      <c r="H15" s="18">
        <v>250</v>
      </c>
      <c r="I15" s="19" t="s">
        <v>24</v>
      </c>
      <c r="J15" s="23">
        <v>0</v>
      </c>
      <c r="K15" s="23">
        <v>0</v>
      </c>
      <c r="L15" s="23" t="s">
        <v>47</v>
      </c>
      <c r="M15" s="33">
        <v>0</v>
      </c>
      <c r="N15" s="33">
        <v>0.18958749999999999</v>
      </c>
      <c r="O15" s="33">
        <v>0.13075000000000001</v>
      </c>
      <c r="P15">
        <f t="shared" ref="P15:Q15" si="4">+M15*$B$21</f>
        <v>0</v>
      </c>
      <c r="Q15">
        <f t="shared" si="4"/>
        <v>37.917499999999997</v>
      </c>
      <c r="R15">
        <f t="shared" si="1"/>
        <v>32.6875</v>
      </c>
      <c r="S15" s="33">
        <f>+P15+Q15+R15</f>
        <v>70.60499999999999</v>
      </c>
    </row>
    <row r="16" spans="1:23" x14ac:dyDescent="0.25">
      <c r="A16" s="40" t="s">
        <v>50</v>
      </c>
      <c r="B16" s="15" t="s">
        <v>21</v>
      </c>
      <c r="C16" s="16" t="s">
        <v>39</v>
      </c>
      <c r="D16" s="17" t="s">
        <v>3</v>
      </c>
      <c r="E16" s="18">
        <v>1</v>
      </c>
      <c r="F16" s="18">
        <v>1</v>
      </c>
      <c r="G16" s="18">
        <v>8</v>
      </c>
      <c r="H16" s="18">
        <v>250</v>
      </c>
      <c r="I16" s="19" t="s">
        <v>24</v>
      </c>
      <c r="J16" s="20" t="s">
        <v>47</v>
      </c>
      <c r="K16" s="20" t="s">
        <v>47</v>
      </c>
      <c r="L16" s="20">
        <v>0</v>
      </c>
      <c r="M16" s="36">
        <v>3.9748000000000001</v>
      </c>
      <c r="N16" s="33">
        <v>0.20004749999999999</v>
      </c>
      <c r="O16" s="33">
        <v>6.5375000000000003E-2</v>
      </c>
      <c r="P16">
        <f>+M16*$B$25</f>
        <v>397.48</v>
      </c>
      <c r="Q16">
        <f>+N16*$B$25</f>
        <v>20.004749999999998</v>
      </c>
      <c r="R16">
        <f t="shared" si="1"/>
        <v>16.34375</v>
      </c>
      <c r="S16" s="33">
        <f>+P16+Q16+R16</f>
        <v>433.82850000000002</v>
      </c>
      <c r="W16" s="33"/>
    </row>
    <row r="17" spans="1:23" x14ac:dyDescent="0.25">
      <c r="A17" s="42"/>
      <c r="B17" s="15" t="s">
        <v>18</v>
      </c>
      <c r="C17" s="16" t="s">
        <v>19</v>
      </c>
      <c r="D17" s="17" t="s">
        <v>3</v>
      </c>
      <c r="E17" s="18">
        <v>1</v>
      </c>
      <c r="F17" s="18">
        <v>1</v>
      </c>
      <c r="G17" s="18">
        <v>8</v>
      </c>
      <c r="H17" s="18">
        <v>250</v>
      </c>
      <c r="I17" s="19" t="s">
        <v>24</v>
      </c>
      <c r="J17" s="23">
        <v>0</v>
      </c>
      <c r="K17" s="23">
        <v>0</v>
      </c>
      <c r="L17" s="23" t="s">
        <v>47</v>
      </c>
      <c r="M17" s="37">
        <v>0</v>
      </c>
      <c r="N17" s="33">
        <v>0.18958749999999999</v>
      </c>
      <c r="O17" s="33">
        <v>0.13075000000000001</v>
      </c>
      <c r="P17">
        <f>+M17*$B$25</f>
        <v>0</v>
      </c>
      <c r="Q17">
        <f>+N17*$B$25</f>
        <v>18.958749999999998</v>
      </c>
      <c r="R17">
        <f t="shared" si="1"/>
        <v>32.6875</v>
      </c>
      <c r="S17" s="33">
        <f>+P17+Q17+R17</f>
        <v>51.646249999999995</v>
      </c>
      <c r="W17" s="33"/>
    </row>
    <row r="19" spans="1:23" ht="30" x14ac:dyDescent="0.25">
      <c r="A19" s="43" t="s">
        <v>28</v>
      </c>
      <c r="B19" s="43"/>
      <c r="C19" s="46" t="s">
        <v>69</v>
      </c>
      <c r="D19" s="47" t="s">
        <v>64</v>
      </c>
      <c r="E19" s="47" t="s">
        <v>65</v>
      </c>
      <c r="F19" s="47" t="s">
        <v>67</v>
      </c>
      <c r="G19" s="47" t="s">
        <v>62</v>
      </c>
      <c r="H19" s="47" t="s">
        <v>89</v>
      </c>
    </row>
    <row r="20" spans="1:23" x14ac:dyDescent="0.25">
      <c r="A20" s="34" t="s">
        <v>51</v>
      </c>
      <c r="B20" s="34" t="s">
        <v>52</v>
      </c>
      <c r="C20" s="48" t="s">
        <v>68</v>
      </c>
      <c r="D20" s="49">
        <f>+SUM(P3:P8)</f>
        <v>7313.5583999999999</v>
      </c>
      <c r="E20" s="49">
        <f t="shared" ref="E20:F20" si="5">+SUM(Q3:Q8)</f>
        <v>2380.905675</v>
      </c>
      <c r="F20" s="49">
        <f t="shared" si="5"/>
        <v>549.78750000000002</v>
      </c>
      <c r="G20" s="49">
        <f>+SUM(S3:S8)+G35</f>
        <v>10396.945586875003</v>
      </c>
      <c r="H20" s="50">
        <f>+G20*12</f>
        <v>124763.34704250004</v>
      </c>
    </row>
    <row r="21" spans="1:23" x14ac:dyDescent="0.25">
      <c r="A21">
        <v>10</v>
      </c>
      <c r="B21">
        <f>+A21*5*4</f>
        <v>200</v>
      </c>
      <c r="C21" s="48" t="s">
        <v>28</v>
      </c>
      <c r="D21" s="49">
        <f>+SUM(P14:P15)</f>
        <v>794.96</v>
      </c>
      <c r="E21" s="49">
        <f t="shared" ref="E21:F21" si="6">+SUM(Q14:Q15)</f>
        <v>77.926999999999992</v>
      </c>
      <c r="F21" s="49">
        <f t="shared" si="6"/>
        <v>49.03125</v>
      </c>
      <c r="G21" s="49">
        <f>+SUM(S14:S15)+G30</f>
        <v>1022.2501221250001</v>
      </c>
      <c r="H21" s="50">
        <f>+G21*12</f>
        <v>12267.001465500001</v>
      </c>
    </row>
    <row r="22" spans="1:23" x14ac:dyDescent="0.25">
      <c r="C22" s="48" t="s">
        <v>53</v>
      </c>
      <c r="D22" s="49">
        <f>+SUM(P16:P17)</f>
        <v>397.48</v>
      </c>
      <c r="E22" s="49">
        <f t="shared" ref="E22:F22" si="7">+SUM(Q16:Q17)</f>
        <v>38.963499999999996</v>
      </c>
      <c r="F22" s="49">
        <f t="shared" si="7"/>
        <v>49.03125</v>
      </c>
      <c r="G22" s="49">
        <f>+SUM(S16:S17)+G30</f>
        <v>585.80662212499999</v>
      </c>
      <c r="H22" s="50">
        <f>+G22*12</f>
        <v>7029.6794654999994</v>
      </c>
    </row>
    <row r="23" spans="1:23" x14ac:dyDescent="0.25">
      <c r="A23" s="43" t="s">
        <v>53</v>
      </c>
      <c r="B23" s="43"/>
      <c r="G23" s="51" t="s">
        <v>91</v>
      </c>
      <c r="H23" s="50">
        <f>SUM(H20:H22)</f>
        <v>144060.02797350005</v>
      </c>
    </row>
    <row r="24" spans="1:23" ht="26.1" customHeight="1" x14ac:dyDescent="0.25">
      <c r="A24" s="34" t="s">
        <v>51</v>
      </c>
      <c r="B24" s="34" t="s">
        <v>52</v>
      </c>
      <c r="C24" s="46" t="s">
        <v>69</v>
      </c>
      <c r="D24" s="47" t="s">
        <v>90</v>
      </c>
      <c r="E24" s="47" t="s">
        <v>65</v>
      </c>
      <c r="F24" s="47" t="s">
        <v>67</v>
      </c>
      <c r="G24" s="47" t="s">
        <v>62</v>
      </c>
      <c r="H24" s="47" t="s">
        <v>89</v>
      </c>
    </row>
    <row r="25" spans="1:23" x14ac:dyDescent="0.25">
      <c r="A25">
        <f>+A21/2</f>
        <v>5</v>
      </c>
      <c r="B25">
        <f>+A25*5*4</f>
        <v>100</v>
      </c>
      <c r="C25" s="48" t="s">
        <v>68</v>
      </c>
      <c r="D25" s="49">
        <f>+J36+J37</f>
        <v>61758.455000000002</v>
      </c>
      <c r="E25" s="49">
        <f>+E20</f>
        <v>2380.905675</v>
      </c>
      <c r="F25" s="49">
        <f>+F20</f>
        <v>549.78750000000002</v>
      </c>
      <c r="G25" s="49">
        <f>+E25+F25+G35</f>
        <v>3083.3871868749998</v>
      </c>
      <c r="H25" s="50">
        <f>+(G25*12)+D25</f>
        <v>98759.101242500008</v>
      </c>
      <c r="I25" s="38">
        <f>1-H25/H20</f>
        <v>0.2084285682969198</v>
      </c>
    </row>
    <row r="26" spans="1:23" x14ac:dyDescent="0.25">
      <c r="C26" s="48" t="s">
        <v>28</v>
      </c>
      <c r="D26" s="49">
        <f>+SUM(P14:P15)</f>
        <v>794.96</v>
      </c>
      <c r="E26" s="49">
        <f t="shared" ref="E26:G26" si="8">+SUM(Q14:Q15)</f>
        <v>77.926999999999992</v>
      </c>
      <c r="F26" s="49">
        <f t="shared" si="8"/>
        <v>49.03125</v>
      </c>
      <c r="G26" s="49">
        <f>+SUM(S14:S15)+G30</f>
        <v>1022.2501221250001</v>
      </c>
      <c r="H26" s="50">
        <f>+G26*12</f>
        <v>12267.001465500001</v>
      </c>
      <c r="I26" s="38"/>
    </row>
    <row r="27" spans="1:23" x14ac:dyDescent="0.25">
      <c r="C27" s="48" t="s">
        <v>53</v>
      </c>
      <c r="D27" s="49">
        <f>+SUM(P16:P17)</f>
        <v>397.48</v>
      </c>
      <c r="E27" s="49">
        <f t="shared" ref="E27:G27" si="9">+SUM(Q16:Q17)</f>
        <v>38.963499999999996</v>
      </c>
      <c r="F27" s="49">
        <f t="shared" si="9"/>
        <v>49.03125</v>
      </c>
      <c r="G27" s="49">
        <f>+SUM(S16:S17) + G30</f>
        <v>585.80662212499999</v>
      </c>
      <c r="H27" s="50">
        <f>+G27*12</f>
        <v>7029.6794654999994</v>
      </c>
    </row>
    <row r="28" spans="1:23" x14ac:dyDescent="0.25">
      <c r="G28" s="51" t="s">
        <v>91</v>
      </c>
      <c r="H28" s="39">
        <f>SUM(H25:H27)</f>
        <v>118055.7821735</v>
      </c>
    </row>
    <row r="30" spans="1:23" x14ac:dyDescent="0.25">
      <c r="C30" s="43" t="s">
        <v>61</v>
      </c>
      <c r="D30" s="43"/>
      <c r="G30" s="33">
        <f>+SUM(G31:G33)</f>
        <v>100.331872125</v>
      </c>
    </row>
    <row r="31" spans="1:23" x14ac:dyDescent="0.25">
      <c r="C31" t="s">
        <v>49</v>
      </c>
      <c r="D31" t="s">
        <v>54</v>
      </c>
      <c r="E31" s="3" t="s">
        <v>55</v>
      </c>
      <c r="F31" s="3" t="s">
        <v>56</v>
      </c>
      <c r="G31" s="33">
        <v>47.830889999999997</v>
      </c>
    </row>
    <row r="32" spans="1:23" x14ac:dyDescent="0.25">
      <c r="C32" t="s">
        <v>57</v>
      </c>
      <c r="D32" t="s">
        <v>58</v>
      </c>
      <c r="E32" s="3" t="s">
        <v>55</v>
      </c>
      <c r="F32" s="3" t="s">
        <v>59</v>
      </c>
      <c r="G32" s="33">
        <v>49.440195000000003</v>
      </c>
    </row>
    <row r="33" spans="3:10" x14ac:dyDescent="0.25">
      <c r="C33" t="s">
        <v>57</v>
      </c>
      <c r="D33" t="s">
        <v>58</v>
      </c>
      <c r="E33" s="3" t="s">
        <v>55</v>
      </c>
      <c r="F33" s="3" t="s">
        <v>60</v>
      </c>
      <c r="G33" s="33">
        <v>3.0607871250000001</v>
      </c>
    </row>
    <row r="35" spans="3:10" x14ac:dyDescent="0.25">
      <c r="C35" s="43" t="s">
        <v>68</v>
      </c>
      <c r="D35" s="43"/>
      <c r="G35" s="33">
        <f>+SUM(G36:G48)</f>
        <v>152.694011875</v>
      </c>
    </row>
    <row r="36" spans="3:10" x14ac:dyDescent="0.25">
      <c r="C36" t="s">
        <v>57</v>
      </c>
      <c r="D36" t="s">
        <v>58</v>
      </c>
      <c r="E36" s="3" t="s">
        <v>55</v>
      </c>
      <c r="F36" s="3" t="s">
        <v>59</v>
      </c>
      <c r="G36" s="33">
        <v>49.440195000000003</v>
      </c>
      <c r="I36" t="s">
        <v>6</v>
      </c>
      <c r="J36" s="33">
        <f>23090.45*2</f>
        <v>46180.9</v>
      </c>
    </row>
    <row r="37" spans="3:10" x14ac:dyDescent="0.25">
      <c r="C37" t="s">
        <v>57</v>
      </c>
      <c r="D37" t="s">
        <v>58</v>
      </c>
      <c r="E37" s="3" t="s">
        <v>55</v>
      </c>
      <c r="F37" s="3" t="s">
        <v>70</v>
      </c>
      <c r="G37" s="33">
        <v>1.3508250000000001E-2</v>
      </c>
      <c r="I37" t="s">
        <v>26</v>
      </c>
      <c r="J37" s="33">
        <v>15577.555</v>
      </c>
    </row>
    <row r="38" spans="3:10" x14ac:dyDescent="0.25">
      <c r="C38" t="s">
        <v>57</v>
      </c>
      <c r="D38" t="s">
        <v>58</v>
      </c>
      <c r="E38" s="3" t="s">
        <v>55</v>
      </c>
      <c r="F38" s="3" t="s">
        <v>60</v>
      </c>
      <c r="G38" s="33">
        <v>6.0787124999999997E-2</v>
      </c>
    </row>
    <row r="39" spans="3:10" x14ac:dyDescent="0.25">
      <c r="C39" t="s">
        <v>80</v>
      </c>
      <c r="D39" t="s">
        <v>81</v>
      </c>
      <c r="E39" s="3" t="s">
        <v>55</v>
      </c>
      <c r="F39" s="3" t="s">
        <v>71</v>
      </c>
      <c r="G39" s="33">
        <v>2.7016499999999999</v>
      </c>
    </row>
    <row r="40" spans="3:10" x14ac:dyDescent="0.25">
      <c r="C40" t="s">
        <v>57</v>
      </c>
      <c r="D40" t="s">
        <v>82</v>
      </c>
      <c r="E40" s="3" t="s">
        <v>55</v>
      </c>
      <c r="F40" s="3" t="s">
        <v>72</v>
      </c>
      <c r="G40" s="33">
        <v>8.7803625000000007</v>
      </c>
    </row>
    <row r="41" spans="3:10" x14ac:dyDescent="0.25">
      <c r="C41" t="s">
        <v>80</v>
      </c>
      <c r="D41" t="s">
        <v>83</v>
      </c>
      <c r="E41" s="3" t="s">
        <v>55</v>
      </c>
      <c r="F41" s="3" t="s">
        <v>73</v>
      </c>
      <c r="G41" s="33">
        <v>11.754125</v>
      </c>
    </row>
    <row r="42" spans="3:10" x14ac:dyDescent="0.25">
      <c r="C42" t="s">
        <v>80</v>
      </c>
      <c r="D42" t="s">
        <v>83</v>
      </c>
      <c r="E42" s="3" t="s">
        <v>55</v>
      </c>
      <c r="F42" s="3" t="s">
        <v>74</v>
      </c>
      <c r="G42" s="33">
        <v>4.3508250000000004</v>
      </c>
    </row>
    <row r="43" spans="3:10" x14ac:dyDescent="0.25">
      <c r="C43" t="s">
        <v>80</v>
      </c>
      <c r="D43" t="s">
        <v>83</v>
      </c>
      <c r="E43" s="3" t="s">
        <v>55</v>
      </c>
      <c r="F43" s="3" t="s">
        <v>75</v>
      </c>
      <c r="G43" s="33">
        <v>0.81049499999999997</v>
      </c>
    </row>
    <row r="44" spans="3:10" x14ac:dyDescent="0.25">
      <c r="C44" t="s">
        <v>84</v>
      </c>
      <c r="D44" t="s">
        <v>85</v>
      </c>
      <c r="E44" s="3" t="s">
        <v>55</v>
      </c>
      <c r="F44" s="3" t="s">
        <v>76</v>
      </c>
      <c r="G44" s="33">
        <v>4.7016499999999999</v>
      </c>
    </row>
    <row r="45" spans="3:10" x14ac:dyDescent="0.25">
      <c r="C45" t="s">
        <v>84</v>
      </c>
      <c r="D45" t="s">
        <v>85</v>
      </c>
      <c r="E45" s="3" t="s">
        <v>55</v>
      </c>
      <c r="F45" s="3" t="s">
        <v>77</v>
      </c>
      <c r="G45" s="33">
        <v>1.0405247500000001</v>
      </c>
    </row>
    <row r="46" spans="3:10" x14ac:dyDescent="0.25">
      <c r="C46" t="s">
        <v>49</v>
      </c>
      <c r="D46" t="s">
        <v>86</v>
      </c>
      <c r="E46" s="3" t="s">
        <v>55</v>
      </c>
      <c r="F46" s="3" t="s">
        <v>78</v>
      </c>
      <c r="G46" s="33">
        <v>10.391739250000001</v>
      </c>
    </row>
    <row r="47" spans="3:10" x14ac:dyDescent="0.25">
      <c r="C47" t="s">
        <v>84</v>
      </c>
      <c r="D47" t="s">
        <v>87</v>
      </c>
      <c r="E47" s="3" t="s">
        <v>55</v>
      </c>
      <c r="F47" s="3" t="s">
        <v>79</v>
      </c>
      <c r="G47" s="33">
        <v>8.7016500000000008</v>
      </c>
    </row>
    <row r="48" spans="3:10" x14ac:dyDescent="0.25">
      <c r="C48" t="s">
        <v>88</v>
      </c>
      <c r="G48" s="33">
        <v>49.9465</v>
      </c>
    </row>
  </sheetData>
  <mergeCells count="8">
    <mergeCell ref="A23:B23"/>
    <mergeCell ref="C30:D30"/>
    <mergeCell ref="C35:D35"/>
    <mergeCell ref="A3:A9"/>
    <mergeCell ref="A10:A13"/>
    <mergeCell ref="A14:A15"/>
    <mergeCell ref="A16:A17"/>
    <mergeCell ref="A19:B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</vt:lpstr>
      <vt:lpstr>Costo HW &amp; SW PostGre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2019-02-14T14:14:57Z</dcterms:modified>
</cp:coreProperties>
</file>