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AquestLlibreDeTreball" defaultThemeVersion="164011"/>
  <bookViews>
    <workbookView xWindow="0" yWindow="465" windowWidth="28800" windowHeight="15840"/>
  </bookViews>
  <sheets>
    <sheet name="Costo HW &amp; SW PostGre SQL" sheetId="12" r:id="rId1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2" l="1"/>
  <c r="P13" i="12"/>
  <c r="P8" i="12"/>
  <c r="D26" i="12"/>
  <c r="O14" i="12" s="1"/>
  <c r="D25" i="12"/>
  <c r="D24" i="12"/>
  <c r="D21" i="12"/>
  <c r="D20" i="12"/>
  <c r="D18" i="12"/>
  <c r="N6" i="12" s="1"/>
  <c r="M3" i="12"/>
  <c r="M4" i="12"/>
  <c r="M16" i="12" s="1"/>
  <c r="M5" i="12"/>
  <c r="M6" i="12"/>
  <c r="M7" i="12"/>
  <c r="M8" i="12"/>
  <c r="M10" i="12"/>
  <c r="M11" i="12"/>
  <c r="M12" i="12"/>
  <c r="M13" i="12"/>
  <c r="M14" i="12"/>
  <c r="M15" i="12"/>
  <c r="N7" i="12"/>
  <c r="N12" i="12"/>
  <c r="N14" i="12"/>
  <c r="P16" i="12"/>
  <c r="Q3" i="12"/>
  <c r="Q4" i="12"/>
  <c r="Q5" i="12"/>
  <c r="Q6" i="12"/>
  <c r="Q7" i="12"/>
  <c r="Q8" i="12"/>
  <c r="Q10" i="12"/>
  <c r="Q11" i="12"/>
  <c r="Q12" i="12"/>
  <c r="Q13" i="12"/>
  <c r="Q14" i="12"/>
  <c r="Q15" i="12"/>
  <c r="Q16" i="12"/>
  <c r="J3" i="12"/>
  <c r="K3" i="12"/>
  <c r="J4" i="12"/>
  <c r="K4" i="12"/>
  <c r="J5" i="12"/>
  <c r="K5" i="12"/>
  <c r="L5" i="12" s="1"/>
  <c r="J6" i="12"/>
  <c r="K6" i="12"/>
  <c r="L6" i="12" s="1"/>
  <c r="R6" i="12" s="1"/>
  <c r="J7" i="12"/>
  <c r="K7" i="12"/>
  <c r="J8" i="12"/>
  <c r="K8" i="12"/>
  <c r="J10" i="12"/>
  <c r="K10" i="12"/>
  <c r="L10" i="12" s="1"/>
  <c r="J11" i="12"/>
  <c r="K11" i="12"/>
  <c r="L11" i="12" s="1"/>
  <c r="J12" i="12"/>
  <c r="K12" i="12"/>
  <c r="J13" i="12"/>
  <c r="K13" i="12"/>
  <c r="J14" i="12"/>
  <c r="K14" i="12"/>
  <c r="L14" i="12" s="1"/>
  <c r="J15" i="12"/>
  <c r="K15" i="12"/>
  <c r="L15" i="12" s="1"/>
  <c r="R15" i="12" s="1"/>
  <c r="R11" i="12" l="1"/>
  <c r="R10" i="12"/>
  <c r="O11" i="12"/>
  <c r="N19" i="12"/>
  <c r="N16" i="12"/>
  <c r="R14" i="12"/>
  <c r="L12" i="12"/>
  <c r="R12" i="12" s="1"/>
  <c r="L8" i="12"/>
  <c r="R8" i="12" s="1"/>
  <c r="L3" i="12"/>
  <c r="R3" i="12" s="1"/>
  <c r="O5" i="12"/>
  <c r="O16" i="12" s="1"/>
  <c r="L13" i="12"/>
  <c r="R13" i="12" s="1"/>
  <c r="L7" i="12"/>
  <c r="R7" i="12" s="1"/>
  <c r="L4" i="12"/>
  <c r="R4" i="12" s="1"/>
  <c r="N20" i="12"/>
  <c r="Q17" i="12"/>
  <c r="R5" i="12" l="1"/>
  <c r="L16" i="12"/>
  <c r="R16" i="12"/>
  <c r="N21" i="12"/>
  <c r="P17" i="12"/>
  <c r="M21" i="12" l="1"/>
  <c r="N23" i="12"/>
  <c r="N25" i="12" s="1"/>
  <c r="N24" i="12"/>
  <c r="N26" i="12" s="1"/>
  <c r="M26" i="12" s="1"/>
</calcChain>
</file>

<file path=xl/sharedStrings.xml><?xml version="1.0" encoding="utf-8"?>
<sst xmlns="http://schemas.openxmlformats.org/spreadsheetml/2006/main" count="90" uniqueCount="51">
  <si>
    <t>Ambiente</t>
  </si>
  <si>
    <t>Fisico / Virtual</t>
  </si>
  <si>
    <t>CPUs</t>
  </si>
  <si>
    <t>Virtual</t>
  </si>
  <si>
    <t>Nombre</t>
  </si>
  <si>
    <t>Descripción</t>
  </si>
  <si>
    <t>IBM WebSphere</t>
  </si>
  <si>
    <t>Costo Hardware</t>
  </si>
  <si>
    <t>Total Server</t>
  </si>
  <si>
    <t>Memory GB</t>
  </si>
  <si>
    <t>Disco GB</t>
  </si>
  <si>
    <t>Costo Memoria</t>
  </si>
  <si>
    <t>Costo Disco</t>
  </si>
  <si>
    <t>SO_Versión/ Aplicaciones</t>
  </si>
  <si>
    <t>Monitoreo/ Antivirus/ Imagen</t>
  </si>
  <si>
    <t>Licencia</t>
  </si>
  <si>
    <t>Costo</t>
  </si>
  <si>
    <t>SQL Server 2014 Estandar + IVA</t>
  </si>
  <si>
    <t>Servidor BD</t>
  </si>
  <si>
    <t>Servidor de Base de datos</t>
  </si>
  <si>
    <t xml:space="preserve"> </t>
  </si>
  <si>
    <t>Servidor Aplicación</t>
  </si>
  <si>
    <t>PRODUCCIÓN</t>
  </si>
  <si>
    <t>Servidor Aplicación HD</t>
  </si>
  <si>
    <t>RedHat Enterprise Linux 7</t>
  </si>
  <si>
    <t>Suscripción Linux</t>
  </si>
  <si>
    <t>IBM MQ</t>
  </si>
  <si>
    <t>COREs</t>
  </si>
  <si>
    <t>DESARROLLO</t>
  </si>
  <si>
    <t>Servidor Mensajeria</t>
  </si>
  <si>
    <t>Servidor  MQ IBM</t>
  </si>
  <si>
    <t>Servidor de Base de datos HD</t>
  </si>
  <si>
    <t>Servidor BD HD</t>
  </si>
  <si>
    <t>Oracle Standard Edition 12 c por Procesador</t>
  </si>
  <si>
    <t>Software Update License &amp; Support Oracle</t>
  </si>
  <si>
    <t>Servidor de Aplicación Alert Engine</t>
  </si>
  <si>
    <t>Servidor de Aplicación SDP + COLAS</t>
  </si>
  <si>
    <t>DRP</t>
  </si>
  <si>
    <t>Servidor de Aplicación AE + SDP + COLAS</t>
  </si>
  <si>
    <t>IBM WebSphere por PVU + SW Suscription &amp; Support 12 Months</t>
  </si>
  <si>
    <t>Costo de MQ por PVU + SW Suscription &amp; Support 12 Months</t>
  </si>
  <si>
    <t>PostGre SQL Mantenimiento y Soporte</t>
  </si>
  <si>
    <t>DDBB POstGre SQL</t>
  </si>
  <si>
    <t>PostGre SQL  9.2</t>
  </si>
  <si>
    <t xml:space="preserve">Cluster de 6 servidores redundantes </t>
  </si>
  <si>
    <t>2nd Quadrant</t>
  </si>
  <si>
    <t>Rebaja total de un 40%</t>
  </si>
  <si>
    <t>Producción (HA)</t>
  </si>
  <si>
    <t>Desarrollo (no HA)</t>
  </si>
  <si>
    <t>Latinia instalará una version de sus licencias que permitirá bajar a la mitad (a confirmar con IBM) los precios del WAS, ya que pasamos de la Network Deployment a la Standard.</t>
  </si>
  <si>
    <t>Estos precios son de lista, y muy por encima. (objetivo minimo alcanzar descuento de 15-20%)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</si>
</sst>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\ * #,##0.00_);_(&quot;$&quot;\ * \(#,##0.00\);_(&quot;$&quot;\ * &quot;-&quot;??_);_(@_)"/>
    <numFmt numFmtId="164" formatCode="_-* #,##0.00\ _$_-;\-* #,##0.00\ _$_-;_-* &quot;-&quot;??\ _$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  <xf numFmtId="0" fontId="5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5" fillId="5" borderId="1" xfId="1" applyFont="1" applyFill="1" applyBorder="1"/>
    <xf numFmtId="44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1" applyFont="1" applyFill="1" applyBorder="1" applyAlignment="1">
      <alignment horizontal="center" vertical="center" wrapText="1"/>
    </xf>
    <xf numFmtId="44" fontId="5" fillId="4" borderId="2" xfId="2" applyFont="1" applyFill="1" applyBorder="1" applyAlignment="1">
      <alignment horizontal="center" vertical="center" wrapText="1"/>
    </xf>
    <xf numFmtId="164" fontId="0" fillId="0" borderId="0" xfId="1" applyFont="1"/>
    <xf numFmtId="164" fontId="5" fillId="4" borderId="2" xfId="1" applyFont="1" applyFill="1" applyBorder="1" applyAlignment="1">
      <alignment horizontal="center" wrapText="1"/>
    </xf>
    <xf numFmtId="1" fontId="5" fillId="6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164" fontId="0" fillId="0" borderId="0" xfId="1" applyFont="1" applyAlignment="1">
      <alignment wrapText="1"/>
    </xf>
    <xf numFmtId="2" fontId="10" fillId="0" borderId="0" xfId="0" applyNumberFormat="1" applyFont="1" applyAlignment="1"/>
    <xf numFmtId="9" fontId="0" fillId="0" borderId="0" xfId="3" applyFont="1" applyAlignment="1">
      <alignment wrapText="1"/>
    </xf>
    <xf numFmtId="9" fontId="10" fillId="0" borderId="0" xfId="3" applyFont="1" applyAlignment="1">
      <alignment wrapText="1"/>
    </xf>
    <xf numFmtId="164" fontId="8" fillId="6" borderId="0" xfId="1" applyFont="1" applyFill="1" applyAlignment="1">
      <alignment wrapText="1"/>
    </xf>
    <xf numFmtId="2" fontId="5" fillId="0" borderId="0" xfId="0" applyNumberFormat="1" applyFont="1" applyAlignment="1">
      <alignment horizontal="right"/>
    </xf>
    <xf numFmtId="164" fontId="7" fillId="0" borderId="0" xfId="1" applyFont="1" applyAlignment="1">
      <alignment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"/>
  <sheetViews>
    <sheetView tabSelected="1" topLeftCell="A2" zoomScale="115" zoomScaleNormal="115" workbookViewId="0">
      <pane xSplit="2" ySplit="1" topLeftCell="C21" activePane="bottomRight" state="frozen"/>
      <selection activeCell="A2" sqref="A2"/>
      <selection pane="topRight" activeCell="C2" sqref="C2"/>
      <selection pane="bottomLeft" activeCell="A3" sqref="A3"/>
      <selection pane="bottomRight" activeCell="O23" sqref="O23"/>
    </sheetView>
  </sheetViews>
  <sheetFormatPr baseColWidth="10" defaultColWidth="9.140625" defaultRowHeight="15" x14ac:dyDescent="0.25"/>
  <cols>
    <col min="1" max="1" width="10.7109375" bestFit="1" customWidth="1"/>
    <col min="2" max="2" width="18.85546875" hidden="1" customWidth="1"/>
    <col min="3" max="3" width="39.28515625" customWidth="1"/>
    <col min="4" max="4" width="11.140625" bestFit="1" customWidth="1"/>
    <col min="5" max="5" width="4.7109375" style="3" bestFit="1" customWidth="1"/>
    <col min="6" max="6" width="5.42578125" style="3" bestFit="1" customWidth="1"/>
    <col min="7" max="7" width="9.28515625" style="3" bestFit="1" customWidth="1"/>
    <col min="8" max="8" width="7.140625" style="3" bestFit="1" customWidth="1"/>
    <col min="9" max="9" width="19.28515625" bestFit="1" customWidth="1"/>
    <col min="10" max="10" width="9.7109375" style="1" customWidth="1"/>
    <col min="11" max="11" width="9.28515625" style="1" bestFit="1" customWidth="1"/>
    <col min="12" max="12" width="9.7109375" style="1" bestFit="1" customWidth="1"/>
    <col min="13" max="13" width="9.7109375" style="2" bestFit="1" customWidth="1"/>
    <col min="14" max="14" width="13" style="2" bestFit="1" customWidth="1"/>
    <col min="15" max="15" width="9.7109375" style="2" bestFit="1" customWidth="1"/>
    <col min="16" max="16" width="12.7109375" style="1" bestFit="1" customWidth="1"/>
    <col min="17" max="17" width="10.42578125" style="1" bestFit="1" customWidth="1"/>
    <col min="18" max="18" width="14.28515625" style="1" customWidth="1"/>
    <col min="19" max="19" width="47" customWidth="1"/>
  </cols>
  <sheetData>
    <row r="2" spans="1:19" ht="51" x14ac:dyDescent="0.25">
      <c r="A2" s="9" t="s">
        <v>0</v>
      </c>
      <c r="B2" s="9" t="s">
        <v>4</v>
      </c>
      <c r="C2" s="10" t="s">
        <v>5</v>
      </c>
      <c r="D2" s="10" t="s">
        <v>1</v>
      </c>
      <c r="E2" s="11" t="s">
        <v>2</v>
      </c>
      <c r="F2" s="11" t="s">
        <v>27</v>
      </c>
      <c r="G2" s="11" t="s">
        <v>9</v>
      </c>
      <c r="H2" s="11" t="s">
        <v>10</v>
      </c>
      <c r="I2" s="10" t="s">
        <v>13</v>
      </c>
      <c r="J2" s="12" t="s">
        <v>11</v>
      </c>
      <c r="K2" s="12" t="s">
        <v>12</v>
      </c>
      <c r="L2" s="12" t="s">
        <v>7</v>
      </c>
      <c r="M2" s="12" t="s">
        <v>14</v>
      </c>
      <c r="N2" s="12" t="s">
        <v>6</v>
      </c>
      <c r="O2" s="12" t="s">
        <v>26</v>
      </c>
      <c r="P2" s="13" t="s">
        <v>42</v>
      </c>
      <c r="Q2" s="13" t="s">
        <v>25</v>
      </c>
      <c r="R2" s="12" t="s">
        <v>8</v>
      </c>
    </row>
    <row r="3" spans="1:19" ht="25.5" x14ac:dyDescent="0.25">
      <c r="A3" s="32" t="s">
        <v>22</v>
      </c>
      <c r="B3" s="14" t="s">
        <v>21</v>
      </c>
      <c r="C3" s="15" t="s">
        <v>35</v>
      </c>
      <c r="D3" s="16" t="s">
        <v>3</v>
      </c>
      <c r="E3" s="17">
        <v>1</v>
      </c>
      <c r="F3" s="17">
        <v>2</v>
      </c>
      <c r="G3" s="17">
        <v>12</v>
      </c>
      <c r="H3" s="17">
        <v>250</v>
      </c>
      <c r="I3" s="18" t="s">
        <v>24</v>
      </c>
      <c r="J3" s="19">
        <f>((448*G3)/6)</f>
        <v>896</v>
      </c>
      <c r="K3" s="19">
        <f>(H3*488)/100</f>
        <v>1220</v>
      </c>
      <c r="L3" s="19">
        <f>J3+K3</f>
        <v>2116</v>
      </c>
      <c r="M3" s="19">
        <f t="shared" ref="M3:M15" si="0">$D$19</f>
        <v>1676</v>
      </c>
      <c r="N3" s="19">
        <v>0</v>
      </c>
      <c r="O3" s="19">
        <v>0</v>
      </c>
      <c r="P3" s="19">
        <v>0</v>
      </c>
      <c r="Q3" s="19">
        <f t="shared" ref="Q3:Q15" si="1">$D$25</f>
        <v>1142.4000000000001</v>
      </c>
      <c r="R3" s="20">
        <f t="shared" ref="R3:R15" si="2">SUM(L3:Q3)</f>
        <v>4934.3999999999996</v>
      </c>
      <c r="S3" s="2"/>
    </row>
    <row r="4" spans="1:19" ht="25.5" x14ac:dyDescent="0.25">
      <c r="A4" s="33"/>
      <c r="B4" s="14" t="s">
        <v>23</v>
      </c>
      <c r="C4" s="15" t="s">
        <v>35</v>
      </c>
      <c r="D4" s="16" t="s">
        <v>3</v>
      </c>
      <c r="E4" s="17">
        <v>1</v>
      </c>
      <c r="F4" s="17">
        <v>2</v>
      </c>
      <c r="G4" s="17">
        <v>12</v>
      </c>
      <c r="H4" s="17">
        <v>250</v>
      </c>
      <c r="I4" s="18" t="s">
        <v>24</v>
      </c>
      <c r="J4" s="19">
        <f>((448*G4)/6)</f>
        <v>896</v>
      </c>
      <c r="K4" s="19">
        <f>(H4*488)/100</f>
        <v>1220</v>
      </c>
      <c r="L4" s="19">
        <f>J4+K4</f>
        <v>2116</v>
      </c>
      <c r="M4" s="19">
        <f t="shared" si="0"/>
        <v>1676</v>
      </c>
      <c r="N4" s="19">
        <v>0</v>
      </c>
      <c r="O4" s="19">
        <v>0</v>
      </c>
      <c r="P4" s="19">
        <v>0</v>
      </c>
      <c r="Q4" s="19">
        <f t="shared" si="1"/>
        <v>1142.4000000000001</v>
      </c>
      <c r="R4" s="20">
        <f t="shared" si="2"/>
        <v>4934.3999999999996</v>
      </c>
      <c r="S4" s="2"/>
    </row>
    <row r="5" spans="1:19" ht="25.5" x14ac:dyDescent="0.25">
      <c r="A5" s="33"/>
      <c r="B5" s="14" t="s">
        <v>29</v>
      </c>
      <c r="C5" s="15" t="s">
        <v>30</v>
      </c>
      <c r="D5" s="16" t="s">
        <v>3</v>
      </c>
      <c r="E5" s="17">
        <v>1</v>
      </c>
      <c r="F5" s="17">
        <v>2</v>
      </c>
      <c r="G5" s="17">
        <v>12</v>
      </c>
      <c r="H5" s="17">
        <v>250</v>
      </c>
      <c r="I5" s="18" t="s">
        <v>24</v>
      </c>
      <c r="J5" s="19">
        <f>((448*G5)/6)</f>
        <v>896</v>
      </c>
      <c r="K5" s="19">
        <f>(H5*488)/100</f>
        <v>1220</v>
      </c>
      <c r="L5" s="19">
        <f>J5+K5</f>
        <v>2116</v>
      </c>
      <c r="M5" s="19">
        <f t="shared" si="0"/>
        <v>1676</v>
      </c>
      <c r="N5" s="19"/>
      <c r="O5" s="19">
        <f>$D$26*($F5*100)</f>
        <v>17418.240000000002</v>
      </c>
      <c r="P5" s="19"/>
      <c r="Q5" s="19">
        <f t="shared" si="1"/>
        <v>1142.4000000000001</v>
      </c>
      <c r="R5" s="20">
        <f t="shared" si="2"/>
        <v>22352.640000000003</v>
      </c>
      <c r="S5" s="2"/>
    </row>
    <row r="6" spans="1:19" ht="25.5" x14ac:dyDescent="0.25">
      <c r="A6" s="33"/>
      <c r="B6" s="14" t="s">
        <v>21</v>
      </c>
      <c r="C6" s="15" t="s">
        <v>36</v>
      </c>
      <c r="D6" s="16" t="s">
        <v>3</v>
      </c>
      <c r="E6" s="17">
        <v>1</v>
      </c>
      <c r="F6" s="17">
        <v>4</v>
      </c>
      <c r="G6" s="17">
        <v>16</v>
      </c>
      <c r="H6" s="17">
        <v>500</v>
      </c>
      <c r="I6" s="18" t="s">
        <v>24</v>
      </c>
      <c r="J6" s="19">
        <f>((448*G6)/6)</f>
        <v>1194.6666666666667</v>
      </c>
      <c r="K6" s="19">
        <f>(H6*488)/100</f>
        <v>2440</v>
      </c>
      <c r="L6" s="19">
        <f>J6+K6</f>
        <v>3634.666666666667</v>
      </c>
      <c r="M6" s="19">
        <f t="shared" si="0"/>
        <v>1676</v>
      </c>
      <c r="N6" s="19">
        <f>$D$18*($F6*100)</f>
        <v>87843.840000000011</v>
      </c>
      <c r="P6" s="19">
        <v>0</v>
      </c>
      <c r="Q6" s="19">
        <f t="shared" si="1"/>
        <v>1142.4000000000001</v>
      </c>
      <c r="R6" s="20">
        <f t="shared" si="2"/>
        <v>94296.906666666677</v>
      </c>
      <c r="S6" s="2"/>
    </row>
    <row r="7" spans="1:19" ht="25.5" x14ac:dyDescent="0.25">
      <c r="A7" s="33"/>
      <c r="B7" s="14" t="s">
        <v>23</v>
      </c>
      <c r="C7" s="15" t="s">
        <v>36</v>
      </c>
      <c r="D7" s="16" t="s">
        <v>3</v>
      </c>
      <c r="E7" s="17">
        <v>1</v>
      </c>
      <c r="F7" s="17">
        <v>4</v>
      </c>
      <c r="G7" s="17">
        <v>16</v>
      </c>
      <c r="H7" s="17">
        <v>500</v>
      </c>
      <c r="I7" s="18" t="s">
        <v>24</v>
      </c>
      <c r="J7" s="19">
        <f>((448*G7)/6)</f>
        <v>1194.6666666666667</v>
      </c>
      <c r="K7" s="19">
        <f>(H7*488)/100</f>
        <v>2440</v>
      </c>
      <c r="L7" s="19">
        <f>J7+K7</f>
        <v>3634.666666666667</v>
      </c>
      <c r="M7" s="19">
        <f t="shared" si="0"/>
        <v>1676</v>
      </c>
      <c r="N7" s="19">
        <f>$D$18*($F7*100)</f>
        <v>87843.840000000011</v>
      </c>
      <c r="O7" s="19"/>
      <c r="P7" s="19">
        <v>0</v>
      </c>
      <c r="Q7" s="19">
        <f t="shared" si="1"/>
        <v>1142.4000000000001</v>
      </c>
      <c r="R7" s="20">
        <f t="shared" si="2"/>
        <v>94296.906666666677</v>
      </c>
      <c r="S7" s="2"/>
    </row>
    <row r="8" spans="1:19" ht="25.5" x14ac:dyDescent="0.25">
      <c r="A8" s="33"/>
      <c r="B8" s="14" t="s">
        <v>18</v>
      </c>
      <c r="C8" s="15" t="s">
        <v>19</v>
      </c>
      <c r="D8" s="16" t="s">
        <v>3</v>
      </c>
      <c r="E8" s="17">
        <v>1</v>
      </c>
      <c r="F8" s="23">
        <v>6</v>
      </c>
      <c r="G8" s="23">
        <v>32</v>
      </c>
      <c r="H8" s="23">
        <v>1000</v>
      </c>
      <c r="I8" s="18" t="s">
        <v>24</v>
      </c>
      <c r="J8" s="22">
        <f t="shared" ref="J8" si="3">((448*G8)/6)</f>
        <v>2389.3333333333335</v>
      </c>
      <c r="K8" s="22">
        <f t="shared" ref="K8" si="4">(H8*488)/100</f>
        <v>4880</v>
      </c>
      <c r="L8" s="22">
        <f t="shared" ref="L8" si="5">J8+K8</f>
        <v>7269.3333333333339</v>
      </c>
      <c r="M8" s="22">
        <f t="shared" si="0"/>
        <v>1676</v>
      </c>
      <c r="N8" s="22">
        <v>0</v>
      </c>
      <c r="O8" s="22">
        <v>0</v>
      </c>
      <c r="P8" s="22">
        <f>($D$22*F8)+$D$23</f>
        <v>8000</v>
      </c>
      <c r="Q8" s="19">
        <f t="shared" si="1"/>
        <v>1142.4000000000001</v>
      </c>
      <c r="R8" s="20">
        <f t="shared" si="2"/>
        <v>18087.733333333337</v>
      </c>
      <c r="S8" s="2"/>
    </row>
    <row r="9" spans="1:19" x14ac:dyDescent="0.25">
      <c r="A9" s="34"/>
      <c r="B9" s="14" t="s">
        <v>32</v>
      </c>
      <c r="C9" s="24" t="s">
        <v>31</v>
      </c>
      <c r="D9" s="16"/>
      <c r="E9" s="17"/>
      <c r="F9" s="17"/>
      <c r="G9" s="17"/>
      <c r="H9" s="17"/>
      <c r="I9" s="18"/>
      <c r="J9" s="22"/>
      <c r="K9" s="22"/>
      <c r="L9" s="22"/>
      <c r="M9" s="22"/>
      <c r="N9" s="22"/>
      <c r="O9" s="22"/>
      <c r="P9" s="22"/>
      <c r="Q9" s="19"/>
      <c r="R9" s="20"/>
      <c r="S9" s="2"/>
    </row>
    <row r="10" spans="1:19" ht="25.5" x14ac:dyDescent="0.25">
      <c r="A10" s="32" t="s">
        <v>37</v>
      </c>
      <c r="B10" s="14" t="s">
        <v>21</v>
      </c>
      <c r="C10" s="15" t="s">
        <v>35</v>
      </c>
      <c r="D10" s="16" t="s">
        <v>3</v>
      </c>
      <c r="E10" s="17">
        <v>1</v>
      </c>
      <c r="F10" s="17">
        <v>2</v>
      </c>
      <c r="G10" s="17">
        <v>12</v>
      </c>
      <c r="H10" s="17">
        <v>250</v>
      </c>
      <c r="I10" s="18" t="s">
        <v>24</v>
      </c>
      <c r="J10" s="19">
        <f>((448*G10)/6)</f>
        <v>896</v>
      </c>
      <c r="K10" s="19">
        <f>(H10*488)/100</f>
        <v>1220</v>
      </c>
      <c r="L10" s="19">
        <f>J10+K10</f>
        <v>2116</v>
      </c>
      <c r="M10" s="19">
        <f t="shared" si="0"/>
        <v>1676</v>
      </c>
      <c r="N10" s="19">
        <v>0</v>
      </c>
      <c r="O10" s="19">
        <v>0</v>
      </c>
      <c r="P10" s="19">
        <v>0</v>
      </c>
      <c r="Q10" s="19">
        <f t="shared" si="1"/>
        <v>1142.4000000000001</v>
      </c>
      <c r="R10" s="20">
        <f t="shared" si="2"/>
        <v>4934.3999999999996</v>
      </c>
      <c r="S10" s="2"/>
    </row>
    <row r="11" spans="1:19" ht="25.5" x14ac:dyDescent="0.25">
      <c r="A11" s="33"/>
      <c r="B11" s="14" t="s">
        <v>29</v>
      </c>
      <c r="C11" s="15" t="s">
        <v>30</v>
      </c>
      <c r="D11" s="16" t="s">
        <v>3</v>
      </c>
      <c r="E11" s="17">
        <v>1</v>
      </c>
      <c r="F11" s="17">
        <v>2</v>
      </c>
      <c r="G11" s="17">
        <v>12</v>
      </c>
      <c r="H11" s="17">
        <v>250</v>
      </c>
      <c r="I11" s="18" t="s">
        <v>24</v>
      </c>
      <c r="J11" s="19">
        <f>((448*G11)/6)</f>
        <v>896</v>
      </c>
      <c r="K11" s="19">
        <f>(H11*488)/100</f>
        <v>1220</v>
      </c>
      <c r="L11" s="19">
        <f>J11+K11</f>
        <v>2116</v>
      </c>
      <c r="M11" s="19">
        <f t="shared" si="0"/>
        <v>1676</v>
      </c>
      <c r="N11" s="19"/>
      <c r="O11" s="19">
        <f>$D$26*($F11*100)</f>
        <v>17418.240000000002</v>
      </c>
      <c r="P11" s="19"/>
      <c r="Q11" s="19">
        <f t="shared" si="1"/>
        <v>1142.4000000000001</v>
      </c>
      <c r="R11" s="20">
        <f t="shared" si="2"/>
        <v>22352.640000000003</v>
      </c>
      <c r="S11" s="2"/>
    </row>
    <row r="12" spans="1:19" ht="25.5" x14ac:dyDescent="0.25">
      <c r="A12" s="33"/>
      <c r="B12" s="14" t="s">
        <v>21</v>
      </c>
      <c r="C12" s="15" t="s">
        <v>36</v>
      </c>
      <c r="D12" s="16" t="s">
        <v>3</v>
      </c>
      <c r="E12" s="17">
        <v>1</v>
      </c>
      <c r="F12" s="17">
        <v>4</v>
      </c>
      <c r="G12" s="17">
        <v>16</v>
      </c>
      <c r="H12" s="17">
        <v>500</v>
      </c>
      <c r="I12" s="18" t="s">
        <v>24</v>
      </c>
      <c r="J12" s="19">
        <f>((448*G12)/6)</f>
        <v>1194.6666666666667</v>
      </c>
      <c r="K12" s="19">
        <f>(H12*488)/100</f>
        <v>2440</v>
      </c>
      <c r="L12" s="19">
        <f>J12+K12</f>
        <v>3634.666666666667</v>
      </c>
      <c r="M12" s="19">
        <f t="shared" si="0"/>
        <v>1676</v>
      </c>
      <c r="N12" s="19">
        <f>$D$18*($F12*100)</f>
        <v>87843.840000000011</v>
      </c>
      <c r="P12" s="19">
        <v>0</v>
      </c>
      <c r="Q12" s="19">
        <f t="shared" si="1"/>
        <v>1142.4000000000001</v>
      </c>
      <c r="R12" s="20">
        <f t="shared" si="2"/>
        <v>94296.906666666677</v>
      </c>
      <c r="S12" s="2"/>
    </row>
    <row r="13" spans="1:19" ht="25.5" x14ac:dyDescent="0.25">
      <c r="A13" s="33"/>
      <c r="B13" s="14" t="s">
        <v>18</v>
      </c>
      <c r="C13" s="15" t="s">
        <v>19</v>
      </c>
      <c r="D13" s="16" t="s">
        <v>3</v>
      </c>
      <c r="E13" s="17">
        <v>1</v>
      </c>
      <c r="F13" s="23">
        <v>4</v>
      </c>
      <c r="G13" s="17">
        <v>24</v>
      </c>
      <c r="H13" s="17">
        <v>500</v>
      </c>
      <c r="I13" s="18" t="s">
        <v>24</v>
      </c>
      <c r="J13" s="22">
        <f t="shared" ref="J13" si="6">((448*G13)/6)</f>
        <v>1792</v>
      </c>
      <c r="K13" s="22">
        <f t="shared" ref="K13" si="7">(H13*488)/100</f>
        <v>2440</v>
      </c>
      <c r="L13" s="22">
        <f t="shared" ref="L13" si="8">J13+K13</f>
        <v>4232</v>
      </c>
      <c r="M13" s="22">
        <f t="shared" si="0"/>
        <v>1676</v>
      </c>
      <c r="N13" s="22">
        <v>0</v>
      </c>
      <c r="O13" s="22">
        <v>0</v>
      </c>
      <c r="P13" s="22">
        <f>($D$22*F13)+$D$23</f>
        <v>8000</v>
      </c>
      <c r="Q13" s="19">
        <f t="shared" si="1"/>
        <v>1142.4000000000001</v>
      </c>
      <c r="R13" s="20">
        <f t="shared" si="2"/>
        <v>15050.4</v>
      </c>
      <c r="S13" s="2"/>
    </row>
    <row r="14" spans="1:19" ht="25.5" x14ac:dyDescent="0.25">
      <c r="A14" s="32" t="s">
        <v>28</v>
      </c>
      <c r="B14" s="14" t="s">
        <v>21</v>
      </c>
      <c r="C14" s="15" t="s">
        <v>38</v>
      </c>
      <c r="D14" s="16" t="s">
        <v>3</v>
      </c>
      <c r="E14" s="17">
        <v>1</v>
      </c>
      <c r="F14" s="17">
        <v>1</v>
      </c>
      <c r="G14" s="17">
        <v>8</v>
      </c>
      <c r="H14" s="17">
        <v>250</v>
      </c>
      <c r="I14" s="18" t="s">
        <v>24</v>
      </c>
      <c r="J14" s="19">
        <f>((448*G14)/6)</f>
        <v>597.33333333333337</v>
      </c>
      <c r="K14" s="19">
        <f>(H14*488)/100</f>
        <v>1220</v>
      </c>
      <c r="L14" s="19">
        <f>J14+K14</f>
        <v>1817.3333333333335</v>
      </c>
      <c r="M14" s="19">
        <f t="shared" si="0"/>
        <v>1676</v>
      </c>
      <c r="N14" s="19">
        <f>$D$18*($F14*100)</f>
        <v>21960.960000000003</v>
      </c>
      <c r="O14" s="19">
        <f>$D$26*($F14*100)</f>
        <v>8709.1200000000008</v>
      </c>
      <c r="P14" s="19">
        <v>0</v>
      </c>
      <c r="Q14" s="19">
        <f t="shared" si="1"/>
        <v>1142.4000000000001</v>
      </c>
      <c r="R14" s="20">
        <f t="shared" si="2"/>
        <v>35305.813333333339</v>
      </c>
      <c r="S14" s="8"/>
    </row>
    <row r="15" spans="1:19" ht="25.5" x14ac:dyDescent="0.25">
      <c r="A15" s="34"/>
      <c r="B15" s="14" t="s">
        <v>18</v>
      </c>
      <c r="C15" s="15" t="s">
        <v>19</v>
      </c>
      <c r="D15" s="16" t="s">
        <v>3</v>
      </c>
      <c r="E15" s="17">
        <v>1</v>
      </c>
      <c r="F15" s="17">
        <v>1</v>
      </c>
      <c r="G15" s="17">
        <v>8</v>
      </c>
      <c r="H15" s="17">
        <v>250</v>
      </c>
      <c r="I15" s="18" t="s">
        <v>24</v>
      </c>
      <c r="J15" s="22">
        <f t="shared" ref="J15" si="9">((448*G15)/6)</f>
        <v>597.33333333333337</v>
      </c>
      <c r="K15" s="22">
        <f t="shared" ref="K15" si="10">(H15*488)/100</f>
        <v>1220</v>
      </c>
      <c r="L15" s="22">
        <f t="shared" ref="L15" si="11">J15+K15</f>
        <v>1817.3333333333335</v>
      </c>
      <c r="M15" s="22">
        <f t="shared" si="0"/>
        <v>1676</v>
      </c>
      <c r="N15" s="22">
        <v>0</v>
      </c>
      <c r="O15" s="22">
        <v>0</v>
      </c>
      <c r="P15" s="22">
        <f>($D$22*F15)+$D$23</f>
        <v>8000</v>
      </c>
      <c r="Q15" s="19">
        <f t="shared" si="1"/>
        <v>1142.4000000000001</v>
      </c>
      <c r="R15" s="20">
        <f t="shared" si="2"/>
        <v>12635.733333333334</v>
      </c>
    </row>
    <row r="16" spans="1:19" x14ac:dyDescent="0.25">
      <c r="L16" s="19">
        <f>SUM(L3:L15)</f>
        <v>36620.000000000015</v>
      </c>
      <c r="M16" s="19">
        <f t="shared" ref="M16:P16" si="12">SUM(M3:M15)</f>
        <v>20112</v>
      </c>
      <c r="N16" s="19">
        <f t="shared" si="12"/>
        <v>285492.48000000004</v>
      </c>
      <c r="O16" s="19">
        <f t="shared" si="12"/>
        <v>43545.600000000006</v>
      </c>
      <c r="P16" s="19">
        <f t="shared" si="12"/>
        <v>24000</v>
      </c>
      <c r="Q16" s="19">
        <f>SUM(Q3:Q15)</f>
        <v>13708.799999999997</v>
      </c>
      <c r="R16" s="29">
        <f>R3+R4+R5+R6+R7+R8+R9+R10+R11+R12+R13+R14+R15</f>
        <v>423478.88000000006</v>
      </c>
    </row>
    <row r="17" spans="1:19" x14ac:dyDescent="0.25">
      <c r="C17" s="5" t="s">
        <v>15</v>
      </c>
      <c r="D17" s="6" t="s">
        <v>16</v>
      </c>
      <c r="P17" s="19">
        <f>SUM(N16:P16)</f>
        <v>353038.08000000007</v>
      </c>
      <c r="Q17" s="19">
        <f>SUM(M16:Q16)</f>
        <v>386858.88000000006</v>
      </c>
    </row>
    <row r="18" spans="1:19" x14ac:dyDescent="0.25">
      <c r="C18" s="4" t="s">
        <v>39</v>
      </c>
      <c r="D18" s="7">
        <f>196.08*1.12</f>
        <v>219.60960000000003</v>
      </c>
    </row>
    <row r="19" spans="1:19" x14ac:dyDescent="0.25">
      <c r="C19" s="4" t="s">
        <v>14</v>
      </c>
      <c r="D19" s="7">
        <v>1676</v>
      </c>
      <c r="M19" s="30" t="s">
        <v>47</v>
      </c>
      <c r="N19" s="25">
        <f>N6+N7</f>
        <v>175687.68000000002</v>
      </c>
    </row>
    <row r="20" spans="1:19" x14ac:dyDescent="0.25">
      <c r="C20" s="4" t="s">
        <v>17</v>
      </c>
      <c r="D20" s="7">
        <f>(1409 * 1.12)</f>
        <v>1578.0800000000002</v>
      </c>
      <c r="M20" s="30" t="s">
        <v>48</v>
      </c>
      <c r="N20" s="25">
        <f>N12+N14</f>
        <v>109804.80000000002</v>
      </c>
    </row>
    <row r="21" spans="1:19" s="1" customFormat="1" x14ac:dyDescent="0.25">
      <c r="A21"/>
      <c r="B21"/>
      <c r="C21" s="4" t="s">
        <v>33</v>
      </c>
      <c r="D21" s="7">
        <f>17500*1.12</f>
        <v>19600.000000000004</v>
      </c>
      <c r="E21" s="3"/>
      <c r="F21" s="3"/>
      <c r="G21" s="21" t="s">
        <v>20</v>
      </c>
      <c r="H21" s="3"/>
      <c r="I21"/>
      <c r="M21" s="28">
        <f>N21/R16</f>
        <v>0.67415990143357329</v>
      </c>
      <c r="N21" s="25">
        <f>N16</f>
        <v>285492.48000000004</v>
      </c>
      <c r="O21" s="26"/>
      <c r="S21"/>
    </row>
    <row r="22" spans="1:19" s="1" customFormat="1" x14ac:dyDescent="0.25">
      <c r="A22"/>
      <c r="B22"/>
      <c r="C22" s="4" t="s">
        <v>43</v>
      </c>
      <c r="D22" s="7">
        <v>0</v>
      </c>
      <c r="E22" s="3"/>
      <c r="F22" s="3"/>
      <c r="G22" s="21"/>
      <c r="H22" s="3"/>
      <c r="I22"/>
      <c r="M22" s="2"/>
      <c r="N22" s="2"/>
      <c r="O22" s="26"/>
      <c r="S22"/>
    </row>
    <row r="23" spans="1:19" s="1" customFormat="1" x14ac:dyDescent="0.25">
      <c r="A23"/>
      <c r="B23"/>
      <c r="C23" s="4" t="s">
        <v>41</v>
      </c>
      <c r="D23" s="7">
        <v>8000</v>
      </c>
      <c r="E23" s="3"/>
      <c r="F23" s="3"/>
      <c r="G23" s="21" t="s">
        <v>44</v>
      </c>
      <c r="H23" s="3"/>
      <c r="I23"/>
      <c r="J23" s="19">
        <v>10000</v>
      </c>
      <c r="K23" s="1" t="s">
        <v>45</v>
      </c>
      <c r="M23" s="2"/>
      <c r="N23" s="25">
        <f>N21/2</f>
        <v>142746.24000000002</v>
      </c>
      <c r="O23" s="26" t="s">
        <v>49</v>
      </c>
      <c r="S23"/>
    </row>
    <row r="24" spans="1:19" s="1" customFormat="1" x14ac:dyDescent="0.25">
      <c r="A24"/>
      <c r="B24"/>
      <c r="C24" s="4" t="s">
        <v>34</v>
      </c>
      <c r="D24" s="7">
        <f>3850*1.12</f>
        <v>4312</v>
      </c>
      <c r="E24" s="3"/>
      <c r="F24" s="3"/>
      <c r="G24" s="3"/>
      <c r="H24" s="3"/>
      <c r="I24"/>
      <c r="M24" s="2"/>
      <c r="N24" s="31">
        <f>R16-(N21-N23)</f>
        <v>280732.64</v>
      </c>
      <c r="O24" s="2"/>
      <c r="S24"/>
    </row>
    <row r="25" spans="1:19" s="1" customFormat="1" x14ac:dyDescent="0.25">
      <c r="A25"/>
      <c r="B25"/>
      <c r="C25" s="4" t="s">
        <v>25</v>
      </c>
      <c r="D25" s="7">
        <f>1020*1.12</f>
        <v>1142.4000000000001</v>
      </c>
      <c r="E25" s="3"/>
      <c r="F25" s="3"/>
      <c r="G25" s="3"/>
      <c r="H25" s="3"/>
      <c r="I25"/>
      <c r="M25" s="2"/>
      <c r="N25" s="25">
        <f>(N23+O16)*15%</f>
        <v>27943.776000000002</v>
      </c>
      <c r="O25" s="26" t="s">
        <v>50</v>
      </c>
      <c r="S25"/>
    </row>
    <row r="26" spans="1:19" s="1" customFormat="1" x14ac:dyDescent="0.25">
      <c r="A26"/>
      <c r="B26"/>
      <c r="C26" s="4" t="s">
        <v>40</v>
      </c>
      <c r="D26" s="7">
        <f>77.76*1.12</f>
        <v>87.091200000000015</v>
      </c>
      <c r="E26" s="3"/>
      <c r="F26" s="3"/>
      <c r="G26" s="3"/>
      <c r="H26" s="3"/>
      <c r="I26"/>
      <c r="M26" s="27">
        <f>N26/R16</f>
        <v>0.59693381639244902</v>
      </c>
      <c r="N26" s="29">
        <f>N24-N25</f>
        <v>252788.864</v>
      </c>
      <c r="O26" s="26" t="s">
        <v>46</v>
      </c>
      <c r="S26"/>
    </row>
  </sheetData>
  <mergeCells count="3">
    <mergeCell ref="A3:A9"/>
    <mergeCell ref="A10:A13"/>
    <mergeCell ref="A14:A1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 HW &amp; SW PostGre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2019-02-13T20:54:09Z</dcterms:modified>
</cp:coreProperties>
</file>